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13.xml" ContentType="application/vnd.openxmlformats-officedocument.drawing+xml"/>
  <Override PartName="/xl/comments4.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comments5.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omments6.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EstaPastaDeTrabalho"/>
  <mc:AlternateContent xmlns:mc="http://schemas.openxmlformats.org/markup-compatibility/2006">
    <mc:Choice Requires="x15">
      <x15ac:absPath xmlns:x15ac="http://schemas.microsoft.com/office/spreadsheetml/2010/11/ac" url="E:\22.07.2024 - Arquivos atualizados projeto 27 milhoes\ORCAMENTO SOMENTE OBRAS\"/>
    </mc:Choice>
  </mc:AlternateContent>
  <xr:revisionPtr revIDLastSave="0" documentId="13_ncr:1_{FB0A4536-EBCC-43DE-AEEC-0C3FE8194F45}" xr6:coauthVersionLast="47" xr6:coauthVersionMax="47" xr10:uidLastSave="{00000000-0000-0000-0000-000000000000}"/>
  <bookViews>
    <workbookView xWindow="-120" yWindow="-120" windowWidth="29040" windowHeight="15840" tabRatio="872" firstSheet="11" activeTab="30" xr2:uid="{00000000-000D-0000-FFFF-FFFF00000000}"/>
  </bookViews>
  <sheets>
    <sheet name="DADOS (F)" sheetId="59" r:id="rId1"/>
    <sheet name="Lista Amoras" sheetId="61" r:id="rId2"/>
    <sheet name="QCI " sheetId="71" r:id="rId3"/>
    <sheet name="RESUMO" sheetId="58" r:id="rId4"/>
    <sheet name="ORÇAMENTO (F)" sheetId="64" r:id="rId5"/>
    <sheet name="ORÇAMENTO" sheetId="16" state="hidden" r:id="rId6"/>
    <sheet name="CRONOGRAMA GERAL" sheetId="26" r:id="rId7"/>
    <sheet name="MC-DRE" sheetId="37" r:id="rId8"/>
    <sheet name="MC-TER" sheetId="46" r:id="rId9"/>
    <sheet name="MC-PAV e DREN SUPER" sheetId="39" r:id="rId10"/>
    <sheet name="MC- URBANIZAÇÃO " sheetId="84" r:id="rId11"/>
    <sheet name="MC-SINALIZAÇÃO" sheetId="82" r:id="rId12"/>
    <sheet name="DADOS PROJETO ÁGUA" sheetId="72" r:id="rId13"/>
    <sheet name="MC - ÁGUA PARTE 1" sheetId="73" r:id="rId14"/>
    <sheet name="MC ÁGUA PARTE 2" sheetId="83" r:id="rId15"/>
    <sheet name="MC-PONTE" sheetId="57" state="hidden" r:id="rId16"/>
    <sheet name="Orç PONTE" sheetId="56" state="hidden" r:id="rId17"/>
    <sheet name="CPU I" sheetId="47" r:id="rId18"/>
    <sheet name="CPU Ia" sheetId="63" r:id="rId19"/>
    <sheet name="CPU II" sheetId="48" r:id="rId20"/>
    <sheet name="CPU III" sheetId="49" r:id="rId21"/>
    <sheet name="CPU IV" sheetId="50" r:id="rId22"/>
    <sheet name="CPU V" sheetId="51" r:id="rId23"/>
    <sheet name="CPU VI" sheetId="52" r:id="rId24"/>
    <sheet name="CPU-VII" sheetId="43" state="hidden" r:id="rId25"/>
    <sheet name="CPU VII" sheetId="53" r:id="rId26"/>
    <sheet name="CPU VIII" sheetId="54" r:id="rId27"/>
    <sheet name="CPU IX" sheetId="85" r:id="rId28"/>
    <sheet name="LS" sheetId="33" r:id="rId29"/>
    <sheet name="BDI" sheetId="34" r:id="rId30"/>
    <sheet name="BDI EQUIPAMENTO" sheetId="86" r:id="rId31"/>
    <sheet name="CPU-cbuq" sheetId="24" state="hidden" r:id="rId32"/>
    <sheet name="PV PARA REDE 600" sheetId="35" state="hidden"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s>
  <definedNames>
    <definedName name="\0" localSheetId="18">#REF!</definedName>
    <definedName name="\0">#REF!</definedName>
    <definedName name="\C" localSheetId="18">[1]Reforma!#REF!</definedName>
    <definedName name="\c">'[2]Bm 8'!#REF!</definedName>
    <definedName name="\D" localSheetId="18">[1]Reforma!#REF!</definedName>
    <definedName name="\d">'[2]Bm 8'!#REF!</definedName>
    <definedName name="\f">#N/A</definedName>
    <definedName name="\G" localSheetId="18">[1]Reforma!#REF!</definedName>
    <definedName name="\G">[3]Reforma!#REF!</definedName>
    <definedName name="\I" localSheetId="18">[1]Reforma!#REF!</definedName>
    <definedName name="\I">[3]Reforma!#REF!</definedName>
    <definedName name="\M" localSheetId="18">[1]Reforma!#REF!</definedName>
    <definedName name="\M">[3]Reforma!#REF!</definedName>
    <definedName name="\P" localSheetId="18">[1]Reforma!#REF!</definedName>
    <definedName name="\p">#N/A</definedName>
    <definedName name="\q" localSheetId="18">'[4]Bm 8'!#REF!</definedName>
    <definedName name="\q">'[2]Bm 8'!#REF!</definedName>
    <definedName name="\R" localSheetId="18">[1]Reforma!#REF!</definedName>
    <definedName name="\R">[3]Reforma!#REF!</definedName>
    <definedName name="\s" localSheetId="18">'[4]Bm 8'!#REF!</definedName>
    <definedName name="\s">'[2]Bm 8'!#REF!</definedName>
    <definedName name="\x" localSheetId="18">'[4]Bm 8'!#REF!</definedName>
    <definedName name="\x">'[2]Bm 8'!#REF!</definedName>
    <definedName name="\Y" localSheetId="18">[1]Reforma!#REF!</definedName>
    <definedName name="\Y">[3]Reforma!#REF!</definedName>
    <definedName name="_" localSheetId="18">[1]Reforma!#REF!</definedName>
    <definedName name="_">[3]Reforma!#REF!</definedName>
    <definedName name="_______________________________________________________________r">#REF!</definedName>
    <definedName name="______________________________________________________________r">#REF!</definedName>
    <definedName name="_____________________________________________________________r">#REF!</definedName>
    <definedName name="____________________________________________________________r">#REF!</definedName>
    <definedName name="___________________________________________________________r">#REF!</definedName>
    <definedName name="__________________________________________________________r">#REF!</definedName>
    <definedName name="_________________________________________________________r">#REF!</definedName>
    <definedName name="________________________________________________________r">#REF!</definedName>
    <definedName name="_______________________________________________________r">#REF!</definedName>
    <definedName name="______________________________________________________r">#REF!</definedName>
    <definedName name="_____________________________________________________r">#REF!</definedName>
    <definedName name="____________________________________________________r">#REF!</definedName>
    <definedName name="___________________________________________________r">#REF!</definedName>
    <definedName name="__________________________________________________r">#REF!</definedName>
    <definedName name="_________________________________________________r" localSheetId="18">#REF!</definedName>
    <definedName name="_________________________________________________r">#REF!</definedName>
    <definedName name="________________________________________________r" localSheetId="18">#REF!</definedName>
    <definedName name="________________________________________________r">#REF!</definedName>
    <definedName name="_______________________________________________r" localSheetId="18">#REF!</definedName>
    <definedName name="_______________________________________________r">#REF!</definedName>
    <definedName name="______________________________________________r" localSheetId="18">#REF!</definedName>
    <definedName name="______________________________________________r">#REF!</definedName>
    <definedName name="_____________________________________________r">#REF!</definedName>
    <definedName name="____________________________________________r" localSheetId="18">#REF!</definedName>
    <definedName name="____________________________________________r">#REF!</definedName>
    <definedName name="___________________________________________r" localSheetId="18">#REF!</definedName>
    <definedName name="___________________________________________r">#REF!</definedName>
    <definedName name="__________________________________________r" localSheetId="18">#REF!</definedName>
    <definedName name="__________________________________________r">#REF!</definedName>
    <definedName name="_________________________________________r" localSheetId="18">#REF!</definedName>
    <definedName name="_________________________________________r">#REF!</definedName>
    <definedName name="________________________________________r" localSheetId="18">#REF!</definedName>
    <definedName name="________________________________________r">#REF!</definedName>
    <definedName name="_______________________________________r" localSheetId="18">#REF!</definedName>
    <definedName name="_______________________________________r">#REF!</definedName>
    <definedName name="______________________________________r" localSheetId="18">#REF!</definedName>
    <definedName name="______________________________________r">#REF!</definedName>
    <definedName name="_____________________________________r" localSheetId="18">#REF!</definedName>
    <definedName name="_____________________________________r">#REF!</definedName>
    <definedName name="____________________________________r" localSheetId="18">#REF!</definedName>
    <definedName name="____________________________________r">#REF!</definedName>
    <definedName name="___________________________________r" localSheetId="18">#REF!</definedName>
    <definedName name="___________________________________r">#REF!</definedName>
    <definedName name="__________________________________r" localSheetId="18">#REF!</definedName>
    <definedName name="__________________________________r">#REF!</definedName>
    <definedName name="_________________________________r" localSheetId="18">#REF!</definedName>
    <definedName name="_________________________________r">#REF!</definedName>
    <definedName name="________________________________BOR1">'[4]Bm 8'!#REF!</definedName>
    <definedName name="________________________________MAT1" localSheetId="18">#REF!</definedName>
    <definedName name="________________________________MAT1">#REF!</definedName>
    <definedName name="________________________________r" localSheetId="18">#REF!</definedName>
    <definedName name="________________________________r">#REF!</definedName>
    <definedName name="_______________________________BOR1">'[4]Bm 8'!#REF!</definedName>
    <definedName name="_______________________________MAT1">#REF!</definedName>
    <definedName name="_______________________________r" localSheetId="18">#REF!</definedName>
    <definedName name="_______________________________r">#REF!</definedName>
    <definedName name="______________________________BOR1">'[4]Bm 8'!#REF!</definedName>
    <definedName name="______________________________MAT1">#REF!</definedName>
    <definedName name="______________________________r" localSheetId="18">#REF!</definedName>
    <definedName name="______________________________r">#REF!</definedName>
    <definedName name="_____________________________BOR1">'[4]Bm 8'!#REF!</definedName>
    <definedName name="_____________________________MAT1">#REF!</definedName>
    <definedName name="_____________________________r" localSheetId="18">#REF!</definedName>
    <definedName name="_____________________________r">#REF!</definedName>
    <definedName name="____________________________BOR1">'[4]Bm 8'!#REF!</definedName>
    <definedName name="____________________________MAT1">#REF!</definedName>
    <definedName name="____________________________r" localSheetId="18">#REF!</definedName>
    <definedName name="____________________________r">#REF!</definedName>
    <definedName name="___________________________BOR1">'[4]Bm 8'!#REF!</definedName>
    <definedName name="___________________________MAT1">#REF!</definedName>
    <definedName name="___________________________r" localSheetId="18">#REF!</definedName>
    <definedName name="___________________________r">#REF!</definedName>
    <definedName name="__________________________BOR1">'[4]Bm 8'!#REF!</definedName>
    <definedName name="__________________________MAT1">#REF!</definedName>
    <definedName name="__________________________r" localSheetId="18">#REF!</definedName>
    <definedName name="__________________________r">#REF!</definedName>
    <definedName name="_________________________BOR1">'[4]Bm 8'!#REF!</definedName>
    <definedName name="_________________________MAT1">#REF!</definedName>
    <definedName name="_________________________r" localSheetId="18">#REF!</definedName>
    <definedName name="_________________________r">#REF!</definedName>
    <definedName name="________________________BOR1">'[4]Bm 8'!#REF!</definedName>
    <definedName name="________________________MAT1">#REF!</definedName>
    <definedName name="________________________r" localSheetId="18">#REF!</definedName>
    <definedName name="________________________r">#REF!</definedName>
    <definedName name="_______________________BOR1">'[4]Bm 8'!#REF!</definedName>
    <definedName name="_______________________MAT1">#REF!</definedName>
    <definedName name="_______________________r" localSheetId="18">#REF!</definedName>
    <definedName name="_______________________r">#REF!</definedName>
    <definedName name="______________________BOR1">'[4]Bm 8'!#REF!</definedName>
    <definedName name="______________________MAT1">#REF!</definedName>
    <definedName name="______________________r" localSheetId="18">#REF!</definedName>
    <definedName name="______________________r">#REF!</definedName>
    <definedName name="_____________________BOR1">'[4]Bm 8'!#REF!</definedName>
    <definedName name="_____________________MAT1">#REF!</definedName>
    <definedName name="_____________________r" localSheetId="18">#REF!</definedName>
    <definedName name="_____________________r">#REF!</definedName>
    <definedName name="____________________BOR1">'[4]Bm 8'!#REF!</definedName>
    <definedName name="____________________MAT1">#REF!</definedName>
    <definedName name="____________________r" localSheetId="18">#REF!</definedName>
    <definedName name="____________________r">#REF!</definedName>
    <definedName name="___________________BOR1">'[4]Bm 8'!#REF!</definedName>
    <definedName name="___________________MAT1">#REF!</definedName>
    <definedName name="___________________r" localSheetId="18">#REF!</definedName>
    <definedName name="___________________r">#REF!</definedName>
    <definedName name="__________________BOR1" localSheetId="18">'[4]Bm 8'!#REF!</definedName>
    <definedName name="__________________BOR1">'[4]Bm 8'!#REF!</definedName>
    <definedName name="__________________MAT1" localSheetId="18">#REF!</definedName>
    <definedName name="__________________MAT1">#REF!</definedName>
    <definedName name="__________________r" localSheetId="18">#REF!</definedName>
    <definedName name="__________________r">#REF!</definedName>
    <definedName name="_________________BOR1" localSheetId="18">'[4]Bm 8'!#REF!</definedName>
    <definedName name="_________________BOR1">'[4]Bm 8'!#REF!</definedName>
    <definedName name="_________________MAT1" localSheetId="18">#REF!</definedName>
    <definedName name="_________________MAT1">#REF!</definedName>
    <definedName name="_________________r" localSheetId="18">#REF!</definedName>
    <definedName name="_________________r">#REF!</definedName>
    <definedName name="________________BOR1" localSheetId="18">'[4]Bm 8'!#REF!</definedName>
    <definedName name="________________BOR1">'[4]Bm 8'!#REF!</definedName>
    <definedName name="________________MAT1" localSheetId="18">#REF!</definedName>
    <definedName name="________________MAT1">#REF!</definedName>
    <definedName name="________________r" localSheetId="18">#REF!</definedName>
    <definedName name="________________r">#REF!</definedName>
    <definedName name="_______________BOR1" localSheetId="18">'[4]Bm 8'!#REF!</definedName>
    <definedName name="_______________BOR1">'[4]Bm 8'!#REF!</definedName>
    <definedName name="_______________MAT1" localSheetId="18">#REF!</definedName>
    <definedName name="_______________MAT1">#REF!</definedName>
    <definedName name="_______________r" localSheetId="18">#REF!</definedName>
    <definedName name="_______________r">#REF!</definedName>
    <definedName name="______________BOR1">'[4]Bm 8'!#REF!</definedName>
    <definedName name="______________MAT1" localSheetId="18">#REF!</definedName>
    <definedName name="______________MAT1">#REF!</definedName>
    <definedName name="______________r" localSheetId="18">#REF!</definedName>
    <definedName name="______________r">#REF!</definedName>
    <definedName name="_____________BOR1" localSheetId="18">'[4]Bm 8'!#REF!</definedName>
    <definedName name="_____________BOR1">'[4]Bm 8'!#REF!</definedName>
    <definedName name="_____________MAT1">#REF!</definedName>
    <definedName name="_____________r" localSheetId="18">#REF!</definedName>
    <definedName name="_____________r">#REF!</definedName>
    <definedName name="____________BOR1" localSheetId="18">'[4]Bm 8'!#REF!</definedName>
    <definedName name="____________BOR1">'[4]Bm 8'!#REF!</definedName>
    <definedName name="____________MAT1" localSheetId="18">#REF!</definedName>
    <definedName name="____________MAT1">#REF!</definedName>
    <definedName name="____________r" localSheetId="18">#REF!</definedName>
    <definedName name="____________r">#REF!</definedName>
    <definedName name="___________BOR1" localSheetId="18">'[4]Bm 8'!#REF!</definedName>
    <definedName name="___________BOR1">'[4]Bm 8'!#REF!</definedName>
    <definedName name="___________MAT1" localSheetId="18">#REF!</definedName>
    <definedName name="___________MAT1">#REF!</definedName>
    <definedName name="___________r" localSheetId="18">#REF!</definedName>
    <definedName name="___________r">#REF!</definedName>
    <definedName name="__________BOR1" localSheetId="18">'[4]Bm 8'!#REF!</definedName>
    <definedName name="__________BOR1">'[4]Bm 8'!#REF!</definedName>
    <definedName name="__________MAT1" localSheetId="18">#REF!</definedName>
    <definedName name="__________MAT1">#REF!</definedName>
    <definedName name="__________r" localSheetId="18">#REF!</definedName>
    <definedName name="__________r">#REF!</definedName>
    <definedName name="_________BOR1" localSheetId="18">'[4]Bm 8'!#REF!</definedName>
    <definedName name="_________BOR1">'[4]Bm 8'!#REF!</definedName>
    <definedName name="_________MAT1" localSheetId="18">#REF!</definedName>
    <definedName name="_________MAT1">#REF!</definedName>
    <definedName name="_________r" localSheetId="18">#REF!</definedName>
    <definedName name="_________r">#REF!</definedName>
    <definedName name="________BOR1" localSheetId="18">'[4]Bm 8'!#REF!</definedName>
    <definedName name="________BOR1">'[4]Bm 8'!#REF!</definedName>
    <definedName name="________MAT1" localSheetId="18">#REF!</definedName>
    <definedName name="________MAT1">#REF!</definedName>
    <definedName name="________r" localSheetId="18">#REF!</definedName>
    <definedName name="________r">#REF!</definedName>
    <definedName name="_______BOR1" localSheetId="18">'[4]Bm 8'!#REF!</definedName>
    <definedName name="_______BOR1">'[4]Bm 8'!#REF!</definedName>
    <definedName name="_______MAT1" localSheetId="18">#REF!</definedName>
    <definedName name="_______MAT1">#REF!</definedName>
    <definedName name="_______MDO1" localSheetId="18">#REF!</definedName>
    <definedName name="_______MDO1">#REF!</definedName>
    <definedName name="_______MDO2" localSheetId="18">#REF!</definedName>
    <definedName name="_______MDO2">#REF!</definedName>
    <definedName name="_______OR14">'[5]orc ID nº 14'!$A$14:$G$16</definedName>
    <definedName name="_______OR15">'[5]orc ID nº 15'!$A$14:$G$104</definedName>
    <definedName name="_______OR16">'[5]orc ID nº16'!$A$14:$G$33</definedName>
    <definedName name="_______OR17">'[5]orc ID nº17'!$A$16:$G$80</definedName>
    <definedName name="_______OR18">'[5]orc ID nº 18'!$A$14:$G$123</definedName>
    <definedName name="_______OR19">'[5]orc ID nº19'!$A$14:$G$96</definedName>
    <definedName name="_______OR2">'[5]orc ID nº2 '!$A$14:$G$70</definedName>
    <definedName name="_______OR3">'[5]orc ID nº3'!$A$14:$G$134</definedName>
    <definedName name="_______OR4">'[5]orcID nº4'!$A$14:$G$165</definedName>
    <definedName name="_______OR5">'[5]orcID nº5'!$A$14:$G$149</definedName>
    <definedName name="_______OR6">'[5]orcID nº6'!$A$14:$G$138</definedName>
    <definedName name="_______OR7">'[5]orcID nº7'!$A$14:$G$137</definedName>
    <definedName name="_______OR8">'[5]orc ID nº8'!$A$14:$G$133</definedName>
    <definedName name="_______OR9">'[5]orc ID nº9'!$A$14:$G$157</definedName>
    <definedName name="_______R" localSheetId="18">#REF!</definedName>
    <definedName name="_______r">#REF!</definedName>
    <definedName name="______BOR1" localSheetId="18">'[4]Bm 8'!#REF!</definedName>
    <definedName name="______BOR1">'[4]Bm 8'!#REF!</definedName>
    <definedName name="______MAT1" localSheetId="18">#REF!</definedName>
    <definedName name="______MAT1">#REF!</definedName>
    <definedName name="______MDO1" localSheetId="18">#REF!</definedName>
    <definedName name="______MDO1">#REF!</definedName>
    <definedName name="______MDO2" localSheetId="18">#REF!</definedName>
    <definedName name="______MDO2">#REF!</definedName>
    <definedName name="______OR14">'[5]orc ID nº 14'!$A$14:$G$16</definedName>
    <definedName name="______OR15">'[5]orc ID nº 15'!$A$14:$G$104</definedName>
    <definedName name="______OR16">'[5]orc ID nº16'!$A$14:$G$33</definedName>
    <definedName name="______OR17">'[5]orc ID nº17'!$A$16:$G$80</definedName>
    <definedName name="______OR18">'[5]orc ID nº 18'!$A$14:$G$123</definedName>
    <definedName name="______OR19">'[5]orc ID nº19'!$A$14:$G$96</definedName>
    <definedName name="______OR2">'[5]orc ID nº2 '!$A$14:$G$70</definedName>
    <definedName name="______OR3">'[5]orc ID nº3'!$A$14:$G$134</definedName>
    <definedName name="______OR4">'[5]orcID nº4'!$A$14:$G$165</definedName>
    <definedName name="______OR5">'[5]orcID nº5'!$A$14:$G$149</definedName>
    <definedName name="______OR6">'[5]orcID nº6'!$A$14:$G$138</definedName>
    <definedName name="______OR7">'[5]orcID nº7'!$A$14:$G$137</definedName>
    <definedName name="______OR8">'[5]orc ID nº8'!$A$14:$G$133</definedName>
    <definedName name="______OR9">'[5]orc ID nº9'!$A$14:$G$157</definedName>
    <definedName name="______R" localSheetId="18">#REF!</definedName>
    <definedName name="______r">#REF!</definedName>
    <definedName name="_____BOR1" localSheetId="18">'[4]Bm 8'!#REF!</definedName>
    <definedName name="_____BOR1">'[4]Bm 8'!#REF!</definedName>
    <definedName name="_____KM406407" localSheetId="18">#REF!</definedName>
    <definedName name="_____KM406407">#REF!</definedName>
    <definedName name="_____MAT1" localSheetId="18">#REF!</definedName>
    <definedName name="_____MAT1">#REF!</definedName>
    <definedName name="_____MDO1" localSheetId="18">#REF!</definedName>
    <definedName name="_____MDO1">#REF!</definedName>
    <definedName name="_____MDO2" localSheetId="18">#REF!</definedName>
    <definedName name="_____MDO2">#REF!</definedName>
    <definedName name="_____OR14">'[5]orc ID nº 14'!$A$14:$G$16</definedName>
    <definedName name="_____OR15">'[5]orc ID nº 15'!$A$14:$G$104</definedName>
    <definedName name="_____OR16">'[5]orc ID nº16'!$A$14:$G$33</definedName>
    <definedName name="_____OR17">'[5]orc ID nº17'!$A$16:$G$80</definedName>
    <definedName name="_____OR18">'[5]orc ID nº 18'!$A$14:$G$123</definedName>
    <definedName name="_____OR19">'[5]orc ID nº19'!$A$14:$G$96</definedName>
    <definedName name="_____OR2">'[5]orc ID nº2 '!$A$14:$G$70</definedName>
    <definedName name="_____OR3">'[5]orc ID nº3'!$A$14:$G$134</definedName>
    <definedName name="_____OR4">'[5]orcID nº4'!$A$14:$G$165</definedName>
    <definedName name="_____OR5">'[5]orcID nº5'!$A$14:$G$149</definedName>
    <definedName name="_____OR6">'[5]orcID nº6'!$A$14:$G$138</definedName>
    <definedName name="_____OR7">'[5]orcID nº7'!$A$14:$G$137</definedName>
    <definedName name="_____OR8">'[5]orc ID nº8'!$A$14:$G$133</definedName>
    <definedName name="_____OR9">'[5]orc ID nº9'!$A$14:$G$157</definedName>
    <definedName name="_____R" localSheetId="18">#REF!</definedName>
    <definedName name="_____r">#REF!</definedName>
    <definedName name="_____TR2">#REF!</definedName>
    <definedName name="_____y" localSheetId="18">#REF!</definedName>
    <definedName name="_____y">#REF!</definedName>
    <definedName name="____BOR1" localSheetId="18">'[4]Bm 8'!#REF!</definedName>
    <definedName name="____BOR1">'[4]Bm 8'!#REF!</definedName>
    <definedName name="____KM406407" localSheetId="18">#REF!</definedName>
    <definedName name="____KM406407">#REF!</definedName>
    <definedName name="____Km406408" localSheetId="18">#REF!</definedName>
    <definedName name="____Km406408">#REF!</definedName>
    <definedName name="____MAT1" localSheetId="18">#REF!</definedName>
    <definedName name="____MAT1">#REF!</definedName>
    <definedName name="____MDO1" localSheetId="18">#REF!</definedName>
    <definedName name="____MDO1">#REF!</definedName>
    <definedName name="____MDO2" localSheetId="18">#REF!</definedName>
    <definedName name="____MDO2">#REF!</definedName>
    <definedName name="____OR14">'[5]orc ID nº 14'!$A$14:$G$16</definedName>
    <definedName name="____OR15">'[5]orc ID nº 15'!$A$14:$G$104</definedName>
    <definedName name="____OR16">'[5]orc ID nº16'!$A$14:$G$33</definedName>
    <definedName name="____OR17">'[5]orc ID nº17'!$A$16:$G$80</definedName>
    <definedName name="____OR18">'[5]orc ID nº 18'!$A$14:$G$123</definedName>
    <definedName name="____OR19">'[5]orc ID nº19'!$A$14:$G$96</definedName>
    <definedName name="____OR2">'[5]orc ID nº2 '!$A$14:$G$70</definedName>
    <definedName name="____OR3">'[5]orc ID nº3'!$A$14:$G$134</definedName>
    <definedName name="____OR4">'[5]orcID nº4'!$A$14:$G$165</definedName>
    <definedName name="____OR5">'[5]orcID nº5'!$A$14:$G$149</definedName>
    <definedName name="____OR6">'[5]orcID nº6'!$A$14:$G$138</definedName>
    <definedName name="____OR7">'[5]orcID nº7'!$A$14:$G$137</definedName>
    <definedName name="____OR8">'[5]orc ID nº8'!$A$14:$G$133</definedName>
    <definedName name="____OR9">'[5]orc ID nº9'!$A$14:$G$157</definedName>
    <definedName name="____R" localSheetId="18">#REF!</definedName>
    <definedName name="____r">#REF!</definedName>
    <definedName name="____s" localSheetId="18">#REF!</definedName>
    <definedName name="____s">#REF!</definedName>
    <definedName name="____TR2">#REF!</definedName>
    <definedName name="___BOR1" localSheetId="18">'[4]Bm 8'!#REF!</definedName>
    <definedName name="___BOR1">'[2]Bm 8'!#REF!</definedName>
    <definedName name="___KM406407" localSheetId="18">#REF!</definedName>
    <definedName name="___KM406407">#REF!</definedName>
    <definedName name="___MAT1" localSheetId="18">#REF!</definedName>
    <definedName name="___MAT1">#REF!</definedName>
    <definedName name="___MDO1" localSheetId="18">#REF!</definedName>
    <definedName name="___MDO1">#REF!</definedName>
    <definedName name="___MDO2" localSheetId="18">#REF!</definedName>
    <definedName name="___MDO2">#REF!</definedName>
    <definedName name="___OR14">'[5]orc ID nº 14'!$A$14:$G$16</definedName>
    <definedName name="___OR15">'[5]orc ID nº 15'!$A$14:$G$104</definedName>
    <definedName name="___OR16">'[5]orc ID nº16'!$A$14:$G$33</definedName>
    <definedName name="___OR17">'[5]orc ID nº17'!$A$16:$G$80</definedName>
    <definedName name="___OR18">'[5]orc ID nº 18'!$A$14:$G$123</definedName>
    <definedName name="___OR19">'[5]orc ID nº19'!$A$14:$G$96</definedName>
    <definedName name="___OR2">'[5]orc ID nº2 '!$A$14:$G$70</definedName>
    <definedName name="___OR3">'[5]orc ID nº3'!$A$14:$G$134</definedName>
    <definedName name="___OR4">'[5]orcID nº4'!$A$14:$G$165</definedName>
    <definedName name="___OR5">'[5]orcID nº5'!$A$14:$G$149</definedName>
    <definedName name="___OR6">'[5]orcID nº6'!$A$14:$G$138</definedName>
    <definedName name="___OR7">'[5]orcID nº7'!$A$14:$G$137</definedName>
    <definedName name="___OR8">'[5]orc ID nº8'!$A$14:$G$133</definedName>
    <definedName name="___OR9">'[5]orc ID nº9'!$A$14:$G$157</definedName>
    <definedName name="___R" localSheetId="18">#REF!</definedName>
    <definedName name="___r">#REF!</definedName>
    <definedName name="___TR2">#REF!</definedName>
    <definedName name="__123Graph_A" localSheetId="18" hidden="1">#REF!</definedName>
    <definedName name="__123Graph_A" hidden="1">#REF!</definedName>
    <definedName name="__123Graph_B" localSheetId="18" hidden="1">#REF!</definedName>
    <definedName name="__123Graph_B" hidden="1">#REF!</definedName>
    <definedName name="__123Graph_C" localSheetId="18" hidden="1">#REF!</definedName>
    <definedName name="__123Graph_C" hidden="1">#REF!</definedName>
    <definedName name="__123Graph_D" localSheetId="18" hidden="1">'[6]Etapa Única'!$C$125:$C$134</definedName>
    <definedName name="__123Graph_D" hidden="1">'[7]Etapa Única'!$C$125:$C$134</definedName>
    <definedName name="__123Graph_E" localSheetId="18" hidden="1">'[6]Etapa Única'!$E$125:$E$134</definedName>
    <definedName name="__123Graph_E" hidden="1">'[7]Etapa Única'!$E$125:$E$134</definedName>
    <definedName name="__123Graph_X" localSheetId="18" hidden="1">#REF!</definedName>
    <definedName name="__123Graph_X" hidden="1">#REF!</definedName>
    <definedName name="__1Excel_BuiltIn_Print_Area_1_1">#REF!</definedName>
    <definedName name="__2Excel_BuiltIn_Print_Area_1_1" localSheetId="18">#REF!</definedName>
    <definedName name="__2Excel_BuiltIn_Print_Area_1_1">#REF!</definedName>
    <definedName name="__BOR1" localSheetId="18">'[4]Bm 8'!#REF!</definedName>
    <definedName name="__BOR1">'[2]Bm 8'!#REF!</definedName>
    <definedName name="__KM406407" localSheetId="18">#REF!</definedName>
    <definedName name="__KM406407">#REF!</definedName>
    <definedName name="__MAT1" localSheetId="18">#REF!</definedName>
    <definedName name="__MAT1">#REF!</definedName>
    <definedName name="__MDO1" localSheetId="18">#REF!</definedName>
    <definedName name="__MDO1">#REF!</definedName>
    <definedName name="__MDO2" localSheetId="18">#REF!</definedName>
    <definedName name="__MDO2">#REF!</definedName>
    <definedName name="__OR14">'[5]orc ID nº 14'!$A$14:$G$16</definedName>
    <definedName name="__OR15">'[5]orc ID nº 15'!$A$14:$G$104</definedName>
    <definedName name="__OR16">'[5]orc ID nº16'!$A$14:$G$33</definedName>
    <definedName name="__OR17">'[5]orc ID nº17'!$A$16:$G$80</definedName>
    <definedName name="__OR18">'[5]orc ID nº 18'!$A$14:$G$123</definedName>
    <definedName name="__OR19">'[5]orc ID nº19'!$A$14:$G$96</definedName>
    <definedName name="__OR2">'[5]orc ID nº2 '!$A$14:$G$70</definedName>
    <definedName name="__OR3">'[5]orc ID nº3'!$A$14:$G$134</definedName>
    <definedName name="__OR4">'[5]orcID nº4'!$A$14:$G$165</definedName>
    <definedName name="__OR5">'[5]orcID nº5'!$A$14:$G$149</definedName>
    <definedName name="__OR6">'[5]orcID nº6'!$A$14:$G$138</definedName>
    <definedName name="__OR7">'[5]orcID nº7'!$A$14:$G$137</definedName>
    <definedName name="__OR8">'[5]orc ID nº8'!$A$14:$G$133</definedName>
    <definedName name="__OR9">'[5]orc ID nº9'!$A$14:$G$157</definedName>
    <definedName name="__R" localSheetId="18">#REF!</definedName>
    <definedName name="__r">#REF!</definedName>
    <definedName name="__s" localSheetId="18">#REF!</definedName>
    <definedName name="__s">#REF!</definedName>
    <definedName name="__TR2">#REF!</definedName>
    <definedName name="_01_01_2005">'[8]Prazo OK'!A1,'[8]Prazo OK'!A2</definedName>
    <definedName name="_08.302.01" localSheetId="18">#REF!</definedName>
    <definedName name="_08.302.01">#REF!</definedName>
    <definedName name="_1Excel_BuiltIn_Print_Area_1_1" localSheetId="18">#REF!</definedName>
    <definedName name="_1Excel_BuiltIn_Print_Area_1_1">#REF!</definedName>
    <definedName name="_1Excel_BuiltIn_Print_Area_1_1_1_1_1">#REF!</definedName>
    <definedName name="_2Excel_BuiltIn_Print_Area_1_1" localSheetId="18">#REF!</definedName>
    <definedName name="_2Excel_BuiltIn_Print_Area_1_1">#REF!</definedName>
    <definedName name="_2Excel_BuiltIn_Print_Area_1_1_1_1_1_1">#REF!</definedName>
    <definedName name="_3Excel_BuiltIn_Print_Area_1_1" localSheetId="18">#REF!</definedName>
    <definedName name="_3Excel_BuiltIn_Print_Area_1_1">#REF!</definedName>
    <definedName name="_BD2" localSheetId="18">#REF!</definedName>
    <definedName name="_BD2">#REF!</definedName>
    <definedName name="_BOR1" localSheetId="18">'[4]Bm 8'!#REF!</definedName>
    <definedName name="_BOR1">'[2]Bm 8'!#REF!</definedName>
    <definedName name="_C" localSheetId="18">[1]Reforma!#REF!</definedName>
    <definedName name="_C">[1]Reforma!#REF!</definedName>
    <definedName name="_C_1" localSheetId="18">[1]Reforma!#REF!</definedName>
    <definedName name="_C_1">[1]Reforma!#REF!</definedName>
    <definedName name="_D" localSheetId="18">[1]Reforma!#REF!</definedName>
    <definedName name="_d">#REF!</definedName>
    <definedName name="_D_1" localSheetId="18">[1]Reforma!#REF!</definedName>
    <definedName name="_D_1">[1]Reforma!#REF!</definedName>
    <definedName name="_f" localSheetId="18">#REF!</definedName>
    <definedName name="_f">#REF!</definedName>
    <definedName name="_FCCEMED_" localSheetId="18">[1]Reforma!#REF!</definedName>
    <definedName name="_FCCEMED_">[3]Reforma!#REF!</definedName>
    <definedName name="_fer" localSheetId="18">[1]Reforma!#REF!</definedName>
    <definedName name="_fer">[3]Reforma!#REF!</definedName>
    <definedName name="_Fill" localSheetId="18" hidden="1">#REF!</definedName>
    <definedName name="_Fill" hidden="1">#REF!</definedName>
    <definedName name="_xlnm._FilterDatabase" localSheetId="18">#REF!</definedName>
    <definedName name="_xlnm._FilterDatabase" localSheetId="5" hidden="1">ORÇAMENTO!$A$15:$P$16</definedName>
    <definedName name="_xlnm._FilterDatabase" localSheetId="4" hidden="1">'ORÇAMENTO (F)'!$B$15:$M$16</definedName>
    <definedName name="_xlnm._FilterDatabase">#REF!</definedName>
    <definedName name="_G" localSheetId="18">[1]Reforma!#REF!</definedName>
    <definedName name="_G">[1]Reforma!#REF!</definedName>
    <definedName name="_G_1" localSheetId="18">[1]Reforma!#REF!</definedName>
    <definedName name="_G_1">[1]Reforma!#REF!</definedName>
    <definedName name="_GOTO_D1_" localSheetId="18">[1]Reforma!#REF!</definedName>
    <definedName name="_GOTO_D1_">[3]Reforma!#REF!</definedName>
    <definedName name="_GOTO_E1_" localSheetId="18">[1]Reforma!#REF!</definedName>
    <definedName name="_GOTO_E1_">[3]Reforma!#REF!</definedName>
    <definedName name="_GOTO_N1_" localSheetId="18">[1]Reforma!#REF!</definedName>
    <definedName name="_GOTO_N1_">[3]Reforma!#REF!</definedName>
    <definedName name="_HOME__" localSheetId="18">[1]Reforma!#REF!</definedName>
    <definedName name="_HOME__">[3]Reforma!#REF!</definedName>
    <definedName name="_I" localSheetId="18">[1]Reforma!#REF!</definedName>
    <definedName name="_I">[1]Reforma!#REF!</definedName>
    <definedName name="_I_1" localSheetId="18">[1]Reforma!#REF!</definedName>
    <definedName name="_I_1">[1]Reforma!#REF!</definedName>
    <definedName name="_Key1" localSheetId="18" hidden="1">#REF!</definedName>
    <definedName name="_Key1" hidden="1">#REF!</definedName>
    <definedName name="_KM406407" localSheetId="18">#REF!</definedName>
    <definedName name="_KM406407">#REF!</definedName>
    <definedName name="_M" localSheetId="18">[1]Reforma!#REF!</definedName>
    <definedName name="_M">[1]Reforma!#REF!</definedName>
    <definedName name="_M_1" localSheetId="18">[1]Reforma!#REF!</definedName>
    <definedName name="_M_1">[1]Reforma!#REF!</definedName>
    <definedName name="_MAT1" localSheetId="18">#REF!</definedName>
    <definedName name="_MAT1">#REF!</definedName>
    <definedName name="_MDO1" localSheetId="18">#REF!</definedName>
    <definedName name="_MDO1">#REF!</definedName>
    <definedName name="_MDO2" localSheetId="18">#REF!</definedName>
    <definedName name="_MDO2">#REF!</definedName>
    <definedName name="_MM" localSheetId="18" hidden="1">#REF!</definedName>
    <definedName name="_MM" hidden="1">#REF!</definedName>
    <definedName name="_OR14">'[5]orc ID nº 14'!$A$14:$G$16</definedName>
    <definedName name="_OR15">'[5]orc ID nº 15'!$A$14:$G$104</definedName>
    <definedName name="_OR16">'[5]orc ID nº16'!$A$14:$G$33</definedName>
    <definedName name="_OR17">'[5]orc ID nº17'!$A$16:$G$80</definedName>
    <definedName name="_OR18">'[5]orc ID nº 18'!$A$14:$G$123</definedName>
    <definedName name="_OR19">'[5]orc ID nº19'!$A$14:$G$96</definedName>
    <definedName name="_OR2">'[5]orc ID nº2 '!$A$14:$G$70</definedName>
    <definedName name="_OR3">'[5]orc ID nº3'!$A$14:$G$134</definedName>
    <definedName name="_OR4">'[5]orcID nº4'!$A$14:$G$165</definedName>
    <definedName name="_OR5">'[5]orcID nº5'!$A$14:$G$149</definedName>
    <definedName name="_OR6">'[5]orcID nº6'!$A$14:$G$138</definedName>
    <definedName name="_OR7">'[5]orcID nº7'!$A$14:$G$137</definedName>
    <definedName name="_OR8">'[5]orc ID nº8'!$A$14:$G$133</definedName>
    <definedName name="_OR9">'[5]orc ID nº9'!$A$14:$G$157</definedName>
    <definedName name="_Order1" hidden="1">255</definedName>
    <definedName name="_P" localSheetId="18">[1]Reforma!#REF!</definedName>
    <definedName name="_p">#REF!</definedName>
    <definedName name="_P_1" localSheetId="18">[1]Reforma!#REF!</definedName>
    <definedName name="_P_1">[1]Reforma!#REF!</definedName>
    <definedName name="_PPOS015Q_AGPQ_" localSheetId="18">#REF!</definedName>
    <definedName name="_PPOS015Q_AGPQ_">#REF!</definedName>
    <definedName name="_PPOS015Q_AGPQ__6" localSheetId="18">#REF!</definedName>
    <definedName name="_PPOS015Q_AGPQ__6">#REF!</definedName>
    <definedName name="_q">'[9]plan comp'!#REF!</definedName>
    <definedName name="_R" localSheetId="18">[1]Reforma!#REF!</definedName>
    <definedName name="_r">#REF!</definedName>
    <definedName name="_R_1" localSheetId="18">[1]Reforma!#REF!</definedName>
    <definedName name="_R_1">[1]Reforma!#REF!</definedName>
    <definedName name="_RAN1" localSheetId="18">#REF!</definedName>
    <definedName name="_RAN1">#REF!</definedName>
    <definedName name="_REA1.N10_" localSheetId="18">[1]Reforma!#REF!</definedName>
    <definedName name="_REA1.N10_">[3]Reforma!#REF!</definedName>
    <definedName name="_s">'[9]plan comp'!#REF!</definedName>
    <definedName name="_Sort" localSheetId="18" hidden="1">#REF!</definedName>
    <definedName name="_Sort" hidden="1">#REF!</definedName>
    <definedName name="_TIT1">#REF!</definedName>
    <definedName name="_TIT2">#REF!</definedName>
    <definedName name="_TR2">#REF!</definedName>
    <definedName name="_U" localSheetId="18">#REF!</definedName>
    <definedName name="_U">#REF!</definedName>
    <definedName name="_wal1">#REF!</definedName>
    <definedName name="_wal10">#REF!</definedName>
    <definedName name="_wal11">#REF!</definedName>
    <definedName name="_wal12">#REF!</definedName>
    <definedName name="_wal13">#REF!</definedName>
    <definedName name="_wal14">#REF!</definedName>
    <definedName name="_wal15">#REF!</definedName>
    <definedName name="_wal16">#REF!</definedName>
    <definedName name="_wal2">#REF!</definedName>
    <definedName name="_wal3">#REF!</definedName>
    <definedName name="_wal5">#REF!</definedName>
    <definedName name="_wal6">#REF!</definedName>
    <definedName name="_wal7">#REF!</definedName>
    <definedName name="_wal8">#REF!</definedName>
    <definedName name="_wal9">#REF!</definedName>
    <definedName name="_WCS13_" localSheetId="18">[1]Reforma!#REF!</definedName>
    <definedName name="_WCS13_">[3]Reforma!#REF!</definedName>
    <definedName name="_WCS43_" localSheetId="18">[1]Reforma!#REF!</definedName>
    <definedName name="_WCS43_">[3]Reforma!#REF!</definedName>
    <definedName name="_WDCN1.S1_" localSheetId="18">[1]Reforma!#REF!</definedName>
    <definedName name="_WDCN1.S1_">[3]Reforma!#REF!</definedName>
    <definedName name="_WGZY_" localSheetId="18">#REF!</definedName>
    <definedName name="_WGZY_">#REF!</definedName>
    <definedName name="_WGZY__6" localSheetId="18">#REF!</definedName>
    <definedName name="_WGZY__6">#REF!</definedName>
    <definedName name="_WICE1_" localSheetId="18">[1]Reforma!#REF!</definedName>
    <definedName name="_WICE1_">[3]Reforma!#REF!</definedName>
    <definedName name="_WIRA1.A8_" localSheetId="18">[1]Reforma!#REF!</definedName>
    <definedName name="_WIRA1.A8_">[3]Reforma!#REF!</definedName>
    <definedName name="_x">'[9]plan comp'!#REF!</definedName>
    <definedName name="_Y" localSheetId="18">[1]Reforma!#REF!</definedName>
    <definedName name="_Y">[1]Reforma!#REF!</definedName>
    <definedName name="_Y_1" localSheetId="18">[1]Reforma!#REF!</definedName>
    <definedName name="_Y_1">[1]Reforma!#REF!</definedName>
    <definedName name="a" localSheetId="18">#REF!</definedName>
    <definedName name="A" hidden="1">{#N/A,#N/A,FALSE,"Planilha";#N/A,#N/A,FALSE,"Resumo";#N/A,#N/A,FALSE,"Fisico";#N/A,#N/A,FALSE,"Financeiro";#N/A,#N/A,FALSE,"Financeiro"}</definedName>
    <definedName name="aa" localSheetId="18">#REF!</definedName>
    <definedName name="aa">#REF!</definedName>
    <definedName name="AAA" localSheetId="18">#REF!</definedName>
    <definedName name="AAA">#REF!</definedName>
    <definedName name="AAAA" localSheetId="18">#REF!</definedName>
    <definedName name="aaaa">#REF!</definedName>
    <definedName name="abc">#REF!</definedName>
    <definedName name="Ac" localSheetId="18">#REF!</definedName>
    <definedName name="Ac">#REF!</definedName>
    <definedName name="acha.coluna" localSheetId="18">#REF!</definedName>
    <definedName name="acha.coluna">#REF!</definedName>
    <definedName name="acha.dados" localSheetId="18">#REF!</definedName>
    <definedName name="acha.dados">#REF!</definedName>
    <definedName name="acha.linha" localSheetId="18">#REF!</definedName>
    <definedName name="acha.linha">#REF!</definedName>
    <definedName name="Acomp">#REF!</definedName>
    <definedName name="agua">#REF!</definedName>
    <definedName name="alcool" localSheetId="18">#REF!</definedName>
    <definedName name="alcool">#REF!</definedName>
    <definedName name="ANA" localSheetId="18">'[10]Refor Out_ 2001 _ BDI_20_ Ajust'!#REF!</definedName>
    <definedName name="ana">[11]RESUMO!#REF!</definedName>
    <definedName name="ANO">[12]DB!$B$1</definedName>
    <definedName name="anscount" hidden="1">3</definedName>
    <definedName name="_xlnm.Extract" localSheetId="18">#REF!</definedName>
    <definedName name="_xlnm.Extract">#REF!</definedName>
    <definedName name="_xlnm.Print_Area" localSheetId="29">BDI!$A$1:$H$52</definedName>
    <definedName name="_xlnm.Print_Area" localSheetId="17">'CPU I'!$A$1:$G$44</definedName>
    <definedName name="_xlnm.Print_Area" localSheetId="18">'CPU Ia'!$A$1:$I$56</definedName>
    <definedName name="_xlnm.Print_Area" localSheetId="19">'CPU II'!$A$1:$G$35</definedName>
    <definedName name="_xlnm.Print_Area" localSheetId="20">'CPU III'!$A$1:$G$40</definedName>
    <definedName name="_xlnm.Print_Area" localSheetId="21">'CPU IV'!$A$1:$G$40</definedName>
    <definedName name="_xlnm.Print_Area" localSheetId="22">'CPU V'!$A$1:$G$41</definedName>
    <definedName name="_xlnm.Print_Area" localSheetId="23">'CPU VI'!$A$1:$G$41</definedName>
    <definedName name="_xlnm.Print_Area" localSheetId="25">'CPU VII'!$A$1:$G$55</definedName>
    <definedName name="_xlnm.Print_Area" localSheetId="26">'CPU VIII'!$A$1:$G$59</definedName>
    <definedName name="_xlnm.Print_Area" localSheetId="31">'CPU-cbuq'!$A$1:$G$46</definedName>
    <definedName name="_xlnm.Print_Area" localSheetId="24">'CPU-VII'!$A$1:$G$46</definedName>
    <definedName name="_xlnm.Print_Area" localSheetId="6">'CRONOGRAMA GERAL'!$A$1:$AN$41</definedName>
    <definedName name="_xlnm.Print_Area" localSheetId="0">'DADOS (F)'!$A$1:$R$84</definedName>
    <definedName name="_xlnm.Print_Area" localSheetId="7">'MC-DRE'!$A$1:$S$361</definedName>
    <definedName name="_xlnm.Print_Area" localSheetId="9">'MC-PAV e DREN SUPER'!$A$3:$AD$126</definedName>
    <definedName name="_xlnm.Print_Area" localSheetId="8">'MC-TER'!$A$1:$Y$97</definedName>
    <definedName name="_xlnm.Print_Area" localSheetId="5">ORÇAMENTO!$C$1:$K$163</definedName>
    <definedName name="_xlnm.Print_Area" localSheetId="4">'ORÇAMENTO (F)'!$B$1:$K$874</definedName>
    <definedName name="_xlnm.Print_Area" localSheetId="2">'QCI '!$A$1:$H$174</definedName>
    <definedName name="_xlnm.Print_Area">#REF!</definedName>
    <definedName name="Área_impressão_IM" localSheetId="18">#REF!</definedName>
    <definedName name="Área_impressão_IM">#REF!</definedName>
    <definedName name="as">'[13]Ser-Price'!$B$13:$G$92</definedName>
    <definedName name="Asfaltic" localSheetId="18">Plan1</definedName>
    <definedName name="Asfaltic" localSheetId="4">Plan1</definedName>
    <definedName name="Asfaltic">Plan1</definedName>
    <definedName name="Assentamento" localSheetId="18">#REF!</definedName>
    <definedName name="Assentamento">#REF!</definedName>
    <definedName name="Aterro_arenoso">[14]Preços!$C$15</definedName>
    <definedName name="AUXILIARES" localSheetId="18">#REF!</definedName>
    <definedName name="AUXILIARES">#REF!</definedName>
    <definedName name="b" localSheetId="18">#REF!</definedName>
    <definedName name="b">#REF!</definedName>
    <definedName name="BA" localSheetId="18">#REF!</definedName>
    <definedName name="BA">#REF!</definedName>
    <definedName name="BAA" localSheetId="18">#REF!</definedName>
    <definedName name="BAA">#REF!</definedName>
    <definedName name="BAB" localSheetId="18">#REF!</definedName>
    <definedName name="BAB">#REF!</definedName>
    <definedName name="BALSAS">#REF!</definedName>
    <definedName name="BANCO" localSheetId="18">#REF!</definedName>
    <definedName name="BANCO">#REF!</definedName>
    <definedName name="Banco_dados_IM" localSheetId="18">#REF!</definedName>
    <definedName name="Banco_dados_IM">#REF!</definedName>
    <definedName name="_xlnm.Database" localSheetId="18">#REF!</definedName>
    <definedName name="_xlnm.Database">#REF!</definedName>
    <definedName name="Bancos">#REF!</definedName>
    <definedName name="BARRA_DO_CORDA">#REF!</definedName>
    <definedName name="barre">#REF!</definedName>
    <definedName name="bb" localSheetId="18">#REF!</definedName>
    <definedName name="bb">#REF!</definedName>
    <definedName name="bbb" localSheetId="18">#REF!</definedName>
    <definedName name="bbb">#REF!</definedName>
    <definedName name="bbcla">#REF!</definedName>
    <definedName name="BDI" localSheetId="18">#REF!</definedName>
    <definedName name="BDI">#REF!</definedName>
    <definedName name="BDI_1" localSheetId="18">[15]RESUMO!#REF!</definedName>
    <definedName name="BDI_1">[15]RESUMO!#REF!</definedName>
    <definedName name="BDI_EQUIPAMENTOS">[16]BD!$B$3</definedName>
    <definedName name="BDI_REAL" localSheetId="18">#REF!</definedName>
    <definedName name="BDI_REAL">#REF!</definedName>
    <definedName name="BDI_SERVIÇOS">[16]BD!$B$2</definedName>
    <definedName name="BDIc" localSheetId="18">#REF!</definedName>
    <definedName name="BDIc">#REF!</definedName>
    <definedName name="BDIf" localSheetId="18">#REF!</definedName>
    <definedName name="BDIf">#REF!</definedName>
    <definedName name="BDIIVS" localSheetId="18">#REF!</definedName>
    <definedName name="BDIIVS">#REF!</definedName>
    <definedName name="BI" localSheetId="18">#REF!</definedName>
    <definedName name="BI">#REF!</definedName>
    <definedName name="Bloco1">#REF!</definedName>
    <definedName name="Bloco1.2">#REF!</definedName>
    <definedName name="Bloco1.3">#REF!</definedName>
    <definedName name="Bloco10">#REF!</definedName>
    <definedName name="Bloco11">#REF!</definedName>
    <definedName name="Bloco12">#REF!</definedName>
    <definedName name="Bloco13">#REF!</definedName>
    <definedName name="Bloco14">#REF!</definedName>
    <definedName name="Bloco15">#REF!</definedName>
    <definedName name="Bloco16">#REF!</definedName>
    <definedName name="Bloco17">#REF!</definedName>
    <definedName name="Bloco18">#REF!</definedName>
    <definedName name="Bloco19">#REF!</definedName>
    <definedName name="Bloco2">#REF!</definedName>
    <definedName name="Bloco20">#REF!</definedName>
    <definedName name="Bloco203">#REF!</definedName>
    <definedName name="Bloco21">#REF!</definedName>
    <definedName name="Bloco22">#REF!</definedName>
    <definedName name="Bloco23">#REF!</definedName>
    <definedName name="Bloco24">#REF!</definedName>
    <definedName name="Bloco25">#REF!</definedName>
    <definedName name="Bloco3">#REF!</definedName>
    <definedName name="Bloco4">#REF!</definedName>
    <definedName name="Bloco5">#REF!</definedName>
    <definedName name="Bloco6">#REF!</definedName>
    <definedName name="Bloco7">#REF!</definedName>
    <definedName name="Bloco8">#REF!</definedName>
    <definedName name="Bloco9">#REF!</definedName>
    <definedName name="BLOCOS" localSheetId="18" hidden="1">{#N/A,#N/A,FALSE,"Plan1"}</definedName>
    <definedName name="BLOCOS" hidden="1">{#N/A,#N/A,FALSE,"Plan1"}</definedName>
    <definedName name="BM" localSheetId="18">#REF!</definedName>
    <definedName name="BM">#REF!</definedName>
    <definedName name="BMM" localSheetId="18">#REF!</definedName>
    <definedName name="BMM">#REF!</definedName>
    <definedName name="BMMM" localSheetId="18">#REF!</definedName>
    <definedName name="BMMM">#REF!</definedName>
    <definedName name="BN" localSheetId="18">#REF!</definedName>
    <definedName name="BN">#REF!</definedName>
    <definedName name="BNN" localSheetId="18">#REF!</definedName>
    <definedName name="BNN">#REF!</definedName>
    <definedName name="BNNN" localSheetId="18">#REF!</definedName>
    <definedName name="BNNN">#REF!</definedName>
    <definedName name="BO" localSheetId="18">#REF!</definedName>
    <definedName name="BO">#REF!</definedName>
    <definedName name="Bomba_putzmeister" localSheetId="18">#REF!</definedName>
    <definedName name="Bomba_putzmeister">#REF!</definedName>
    <definedName name="BR" localSheetId="18">#REF!</definedName>
    <definedName name="BR">#REF!</definedName>
    <definedName name="Búfalo">[1]Reforma!#REF!</definedName>
    <definedName name="ca" localSheetId="18">#REF!</definedName>
    <definedName name="ca">#REF!</definedName>
    <definedName name="calinsumos">[17]Pontes!#REF!</definedName>
    <definedName name="calpunit">[18]Pontes!#REF!</definedName>
    <definedName name="CAROLINA" localSheetId="18">#REF!</definedName>
    <definedName name="CAROLINA">#REF!</definedName>
    <definedName name="Carrinho_de_mão">[14]Preços!$C$291</definedName>
    <definedName name="Cat" localSheetId="18">#REF!</definedName>
    <definedName name="Cat">#REF!</definedName>
    <definedName name="Causas_de_Rescisão" localSheetId="18">#REF!</definedName>
    <definedName name="Causas_de_Rescisão">#REF!</definedName>
    <definedName name="CBO">#REF!</definedName>
    <definedName name="CCCCCCCC" localSheetId="18" hidden="1">{#N/A,#N/A,FALSE,"Plan1"}</definedName>
    <definedName name="CCCCCCCC" hidden="1">{#N/A,#N/A,FALSE,"Plan1"}</definedName>
    <definedName name="CINSMG">[19]Pontes!#REF!</definedName>
    <definedName name="CNPJ" localSheetId="18">'[20]Cad.Fornecedores'!$A$1:$A$65536</definedName>
    <definedName name="CNPJ">'[21]Cad.Fornecedores'!$A$1:$A$65536</definedName>
    <definedName name="Código" localSheetId="18">#REF!</definedName>
    <definedName name="Código">#REF!</definedName>
    <definedName name="CODO">#REF!</definedName>
    <definedName name="CODOR18">'[5]orc ID nº 18'!$A$14:$A$1000</definedName>
    <definedName name="CODOR19">'[5]orc ID nº19'!$A$14:$A$1000</definedName>
    <definedName name="CODOR2">'[5]orc ID nº2 '!$A$14:$A$1000</definedName>
    <definedName name="CODOR3">'[5]orc ID nº3'!$A$14:$A$1001</definedName>
    <definedName name="CODOR4">'[5]orcID nº4'!$A$14:$A$1002</definedName>
    <definedName name="CODOR5">'[5]orcID nº5'!$A$14:$A$1002</definedName>
    <definedName name="CODOR6">'[5]orcID nº6'!$A$14:$A$1002</definedName>
    <definedName name="CODOR7">'[5]orcID nº7'!$A$14:$A$1003</definedName>
    <definedName name="CODOR8">'[5]orc ID nº8'!$A$14:$A$1003</definedName>
    <definedName name="CODOR9">'[5]orc ID nº9'!$A$14:$A$1002</definedName>
    <definedName name="COMP" localSheetId="18">#REF!</definedName>
    <definedName name="COMP">#REF!</definedName>
    <definedName name="Compactador_de_placa_vibratória">[14]Preços!$C$286</definedName>
    <definedName name="compeqp" localSheetId="18">#REF!</definedName>
    <definedName name="compeqp">#REF!</definedName>
    <definedName name="COMPOSIÇÃO">#REF!</definedName>
    <definedName name="Comprimento_Equivalente" localSheetId="18">#REF!</definedName>
    <definedName name="Comprimento_Equivalente">#REF!</definedName>
    <definedName name="Condulete_de_alumínio_diam_20mm">#REF!</definedName>
    <definedName name="Condulete_de_alumínio_diam_25mm">#REF!</definedName>
    <definedName name="Condulete_de_alumínio_diam_32mm">#REF!</definedName>
    <definedName name="CONSTRUÇÕES_E_COMÉRCIO">#REF!</definedName>
    <definedName name="Consumodemateriais" localSheetId="18">Plan1</definedName>
    <definedName name="Consumodemateriais" localSheetId="0">Plan1</definedName>
    <definedName name="Consumodemateriais" localSheetId="1">Plan1</definedName>
    <definedName name="Consumodemateriais" localSheetId="4">Plan1</definedName>
    <definedName name="Consumodemateriais">Plan1</definedName>
    <definedName name="contratada" localSheetId="18">#REF!</definedName>
    <definedName name="contratada">#REF!</definedName>
    <definedName name="CONTRATO">[22]contrato!$C$4:$H$411</definedName>
    <definedName name="copia" localSheetId="18">#REF!</definedName>
    <definedName name="copia">#REF!</definedName>
    <definedName name="Cosanpa" localSheetId="18">Plan1</definedName>
    <definedName name="Cosanpa" localSheetId="4">Plan1</definedName>
    <definedName name="Cosanpa">Plan1</definedName>
    <definedName name="CRECHE" localSheetId="18">#REF!</definedName>
    <definedName name="CRECHE">#REF!</definedName>
    <definedName name="crono" localSheetId="18">#REF!</definedName>
    <definedName name="crono">#REF!</definedName>
    <definedName name="cronomodificado" localSheetId="18">'[23]Planilha PROJETISTA'!#REF!</definedName>
    <definedName name="cronomodificado">'[24]Planilha PROJETISTA'!#REF!</definedName>
    <definedName name="CU" localSheetId="18">#REF!</definedName>
    <definedName name="CU">#REF!</definedName>
    <definedName name="Curva_de_ferro_galvanizado_pesado_diam_20mm">#REF!</definedName>
    <definedName name="Curva_de_ferro_galvanizado_pesado_diam_25mm">#REF!</definedName>
    <definedName name="Curva_de_ferro_galvanizado_pesado_diam_32mm">#REF!</definedName>
    <definedName name="CustoReal" localSheetId="18">#REF!</definedName>
    <definedName name="CustoReal">#REF!</definedName>
    <definedName name="D" localSheetId="18">#REF!</definedName>
    <definedName name="d" hidden="1">{#N/A,#N/A,FALSE,"Planilha";#N/A,#N/A,FALSE,"Resumo";#N/A,#N/A,FALSE,"Fisico";#N/A,#N/A,FALSE,"Financeiro";#N/A,#N/A,FALSE,"Financeiro"}</definedName>
    <definedName name="dados">#REF!</definedName>
    <definedName name="dados10">#REF!</definedName>
    <definedName name="dados2">#REF!</definedName>
    <definedName name="dados3">#REF!</definedName>
    <definedName name="dados5">#REF!</definedName>
    <definedName name="DADOS6">#REF!</definedName>
    <definedName name="dadosadutora">[25]Drenagem!$D$4:$R$469</definedName>
    <definedName name="dadosesgoto">[25]Drenagem!$D$5:$R$408</definedName>
    <definedName name="Data" localSheetId="18">#REF!</definedName>
    <definedName name="Data">#REF!</definedName>
    <definedName name="database" localSheetId="18">#REF!</definedName>
    <definedName name="database">#REF!</definedName>
    <definedName name="DD" localSheetId="18">#REF!</definedName>
    <definedName name="DD">#REF!</definedName>
    <definedName name="DDDDDD" localSheetId="18">Plan1</definedName>
    <definedName name="DDDDDD" localSheetId="0">Plan1</definedName>
    <definedName name="DDDDDD" localSheetId="1">Plan1</definedName>
    <definedName name="DDDDDD" localSheetId="4">Plan1</definedName>
    <definedName name="DDDDDD">Plan1</definedName>
    <definedName name="def" localSheetId="18" hidden="1">#REF!</definedName>
    <definedName name="def" hidden="1">#REF!</definedName>
    <definedName name="delta" localSheetId="18">Plan1</definedName>
    <definedName name="delta" localSheetId="4">Plan1</definedName>
    <definedName name="delta">Plan1</definedName>
    <definedName name="deltacastanhal" localSheetId="18">Plan1</definedName>
    <definedName name="deltacastanhal" localSheetId="4">Plan1</definedName>
    <definedName name="deltacastanhal">Plan1</definedName>
    <definedName name="demo" localSheetId="18">#REF!</definedName>
    <definedName name="demo">#REF!</definedName>
    <definedName name="dep.lote" localSheetId="18">#REF!</definedName>
    <definedName name="dep.lote">#REF!</definedName>
    <definedName name="DESONERACAO" hidden="1">IF(OR(Import.Desoneracao="DESONERADO",Import.Desoneracao="SIM"),"SIM","NÃO")</definedName>
    <definedName name="Df" localSheetId="18">#REF!</definedName>
    <definedName name="Df">#REF!</definedName>
    <definedName name="DFGGBB" hidden="1">#REF!</definedName>
    <definedName name="dflt1">'[26]Personalizar demonstrativo'!$F$21</definedName>
    <definedName name="dflt2">'[26]Personalizar demonstrativo'!$G$21</definedName>
    <definedName name="DFSGJSDFGLSDG" localSheetId="18">[27]PLANILHA!#REF!</definedName>
    <definedName name="DFSGJSDFGLSDG">[28]PLANILHA!#REF!</definedName>
    <definedName name="DIAMETRO" localSheetId="18">#REF!</definedName>
    <definedName name="DIAMETRO">#REF!</definedName>
    <definedName name="diesel" localSheetId="18">#REF!</definedName>
    <definedName name="diesel">#REF!</definedName>
    <definedName name="DIST_PV1">#REF!</definedName>
    <definedName name="Drive" localSheetId="18">#REF!</definedName>
    <definedName name="Drive">#REF!</definedName>
    <definedName name="DS">#REF!</definedName>
    <definedName name="dsafsafasf">'[29]01.01.02'!$N$51</definedName>
    <definedName name="E" localSheetId="18">#REF!</definedName>
    <definedName name="E">#REF!</definedName>
    <definedName name="EDER">#REF!</definedName>
    <definedName name="ee" localSheetId="18">[1]Reforma!#REF!</definedName>
    <definedName name="EE">#REF!</definedName>
    <definedName name="EEEEE" localSheetId="18">[1]Reforma!#REF!</definedName>
    <definedName name="EEEEE">[1]Reforma!#REF!</definedName>
    <definedName name="Eletroduto_de_ferro_galvanizado_pesado_diam_20mm" localSheetId="18">#REF!</definedName>
    <definedName name="Eletroduto_de_ferro_galvanizado_pesado_diam_20mm">#REF!</definedName>
    <definedName name="Eletroduto_de_ferro_galvanizado_pesado_diam_25mm" localSheetId="18">#REF!</definedName>
    <definedName name="Eletroduto_de_ferro_galvanizado_pesado_diam_25mm">#REF!</definedName>
    <definedName name="Eletroduto_de_ferro_galvanizado_pesado_diam_32mm" localSheetId="18">#REF!</definedName>
    <definedName name="Eletroduto_de_ferro_galvanizado_pesado_diam_32mm">#REF!</definedName>
    <definedName name="EMPRESAS" hidden="1">OFFSET('CPU IX'!$B$53,1,0):OFFSET('CPU IX'!$H$69,-1,0)</definedName>
    <definedName name="Encarregado">[14]Preços!$C$277</definedName>
    <definedName name="ENG_PROD">'[30]01.01.02'!$N$51</definedName>
    <definedName name="EQPTO" localSheetId="18">#REF!</definedName>
    <definedName name="EQPTO">#REF!</definedName>
    <definedName name="equipamento" localSheetId="18">#REF!</definedName>
    <definedName name="equipamento">#REF!</definedName>
    <definedName name="ER" localSheetId="18">[1]Reforma!#REF!</definedName>
    <definedName name="ER">[1]Reforma!#REF!</definedName>
    <definedName name="errrru" localSheetId="18">Plan1</definedName>
    <definedName name="errrru" localSheetId="4">Plan1</definedName>
    <definedName name="errrru">Plan1</definedName>
    <definedName name="ES" localSheetId="18">[1]Reforma!#REF!</definedName>
    <definedName name="ES">[1]Reforma!#REF!</definedName>
    <definedName name="ESCAV.MEC.CLAM.SHEL.DEP.LAT" localSheetId="18">#REF!</definedName>
    <definedName name="ESCAV.MEC.CLAM.SHEL.DEP.LAT">#REF!</definedName>
    <definedName name="ESCAV.MEC.RETRO.DEP.LAT" localSheetId="18">#REF!</definedName>
    <definedName name="ESCAV.MEC.RETRO.DEP.LAT">#REF!</definedName>
    <definedName name="Est">'[31]Adm Local '!$K$312</definedName>
    <definedName name="Estado_Civil" localSheetId="18">#REF!</definedName>
    <definedName name="Estado_Civil">#REF!</definedName>
    <definedName name="eu" localSheetId="18" hidden="1">{#N/A,#N/A,FALSE,"MO (2)"}</definedName>
    <definedName name="eu" hidden="1">{#N/A,#N/A,FALSE,"MO (2)"}</definedName>
    <definedName name="ex" localSheetId="18">#REF!</definedName>
    <definedName name="ex">#REF!</definedName>
    <definedName name="Excel_BuiltIn__FilterDatabase">#REF!</definedName>
    <definedName name="Excel_BuiltIn__FilterDatabase_10">#REF!</definedName>
    <definedName name="Excel_BuiltIn__FilterDatabase_11" localSheetId="18">#REF!</definedName>
    <definedName name="Excel_BuiltIn__FilterDatabase_11">#REF!</definedName>
    <definedName name="Excel_BuiltIn__FilterDatabase_12" localSheetId="18">#REF!</definedName>
    <definedName name="Excel_BuiltIn__FilterDatabase_12">#REF!</definedName>
    <definedName name="Excel_BuiltIn__FilterDatabase_14">#REF!</definedName>
    <definedName name="Excel_BuiltIn__FilterDatabase_2" localSheetId="18">#REF!</definedName>
    <definedName name="Excel_BuiltIn__FilterDatabase_2">#REF!</definedName>
    <definedName name="Excel_BuiltIn__FilterDatabase_3" localSheetId="18">#REF!</definedName>
    <definedName name="Excel_BuiltIn__FilterDatabase_3">#REF!</definedName>
    <definedName name="Excel_BuiltIn__FilterDatabase_4" localSheetId="18">#REF!</definedName>
    <definedName name="Excel_BuiltIn__FilterDatabase_4">#REF!</definedName>
    <definedName name="Excel_BuiltIn__FilterDatabase_5" localSheetId="18">#REF!</definedName>
    <definedName name="Excel_BuiltIn__FilterDatabase_5">#REF!</definedName>
    <definedName name="Excel_BuiltIn__FilterDatabase_6" localSheetId="18">#REF!</definedName>
    <definedName name="Excel_BuiltIn__FilterDatabase_6">#REF!</definedName>
    <definedName name="Excel_BuiltIn__FilterDatabase_7" localSheetId="18">#REF!</definedName>
    <definedName name="Excel_BuiltIn__FilterDatabase_7">#REF!</definedName>
    <definedName name="Excel_BuiltIn__FilterDatabase_8" localSheetId="18">#REF!</definedName>
    <definedName name="Excel_BuiltIn__FilterDatabase_8">#REF!</definedName>
    <definedName name="Excel_BuiltIn__FilterDatabase_9" localSheetId="18">#REF!</definedName>
    <definedName name="Excel_BuiltIn__FilterDatabase_9">#REF!</definedName>
    <definedName name="Excel_BuiltIn_Database" localSheetId="18">#REF!</definedName>
    <definedName name="Excel_BuiltIn_Database">#REF!</definedName>
    <definedName name="Excel_BuiltIn_Database_1" localSheetId="18">#REF!</definedName>
    <definedName name="Excel_BuiltIn_Database_1">#REF!</definedName>
    <definedName name="Excel_BuiltIn_Database_6" localSheetId="18">#REF!</definedName>
    <definedName name="Excel_BuiltIn_Database_6">#REF!</definedName>
    <definedName name="Excel_BuiltIn_Print_Area">#REF!</definedName>
    <definedName name="Excel_BuiltIn_Print_Area_0">#REF!</definedName>
    <definedName name="Excel_BuiltIn_Print_Area_1">#REF!</definedName>
    <definedName name="Excel_BuiltIn_Print_Area_1_1">#REF!</definedName>
    <definedName name="Excel_BuiltIn_Print_Area_1_1_1">#REF!</definedName>
    <definedName name="Excel_BuiltIn_Print_Area_1_1_1_1">#REF!</definedName>
    <definedName name="Excel_BuiltIn_Print_Area_1_1_1_2">#REF!</definedName>
    <definedName name="Excel_BuiltIn_Print_Area_16_1">#REF!</definedName>
    <definedName name="Excel_BuiltIn_Print_Area_2">#REF!</definedName>
    <definedName name="Excel_BuiltIn_Print_Area_2_1" localSheetId="18">#REF!</definedName>
    <definedName name="Excel_BuiltIn_Print_Area_2_1">#REF!</definedName>
    <definedName name="Excel_BuiltIn_Print_Area_3" localSheetId="18">#REF!</definedName>
    <definedName name="Excel_BuiltIn_Print_Area_3">#REF!</definedName>
    <definedName name="Excel_BuiltIn_Print_Area_4" localSheetId="18">#REF!</definedName>
    <definedName name="Excel_BuiltIn_Print_Area_4">#REF!</definedName>
    <definedName name="Excel_BuiltIn_Print_Area_5">"$#REF!.$A$1:$I$104"</definedName>
    <definedName name="Excel_BuiltIn_Print_Area_6">"$#REF!.$A$1:$K$102"</definedName>
    <definedName name="Excel_BuiltIn_Print_Area_6_1" localSheetId="18">#REF!</definedName>
    <definedName name="Excel_BuiltIn_Print_Area_6_1">#REF!</definedName>
    <definedName name="Excel_BuiltIn_Print_Area_7">"$#REF!.$A$1:$M$101"</definedName>
    <definedName name="Excel_BuiltIn_Print_Titles" localSheetId="18">#REF!</definedName>
    <definedName name="Excel_BuiltIn_Print_Titles">#REF!</definedName>
    <definedName name="Excel_BuiltIn_Print_Titles_0" localSheetId="18">#REF!</definedName>
    <definedName name="Excel_BuiltIn_Print_Titles_0">#REF!</definedName>
    <definedName name="Excel_BuiltIn_Print_Titles_1" localSheetId="18">#REF!</definedName>
    <definedName name="Excel_BuiltIn_Print_Titles_1">#REF!</definedName>
    <definedName name="Excel_BuiltIn_Print_Titles_1_1">#REF!</definedName>
    <definedName name="Excel_BuiltIn_Print_Titles_2" localSheetId="18">#REF!</definedName>
    <definedName name="Excel_BuiltIn_Print_Titles_2">#REF!</definedName>
    <definedName name="Excel_BuiltIn_Print_Titles_3" localSheetId="18">#REF!</definedName>
    <definedName name="Excel_BuiltIn_Print_Titles_3">#REF!</definedName>
    <definedName name="Excel_BuiltIn_Print_Titles_4" localSheetId="18">#REF!</definedName>
    <definedName name="Excel_BuiltIn_Print_Titles_4">#REF!</definedName>
    <definedName name="Excel_BuiltIn_Print_Titles_5">"$#REF!.$A$1:$AMJ$16"</definedName>
    <definedName name="Excel_BuiltIn_Print_Titles_6">"$#REF!.$A$1:$AMJ$16"</definedName>
    <definedName name="Excel_BuiltIn_Print_Titles_6_1" localSheetId="18">#REF!</definedName>
    <definedName name="Excel_BuiltIn_Print_Titles_6_1">#REF!</definedName>
    <definedName name="Excel_BuiltIn_Print_Titles_7">"$#REF!.$A$1:$AMJ$16"</definedName>
    <definedName name="exe" localSheetId="18">#REF!</definedName>
    <definedName name="exe">#REF!</definedName>
    <definedName name="Exist" localSheetId="18">#REF!</definedName>
    <definedName name="Exist">#REF!</definedName>
    <definedName name="F" localSheetId="18" hidden="1">#REF!</definedName>
    <definedName name="F" hidden="1">#REF!</definedName>
    <definedName name="F_01_120" localSheetId="18">#REF!</definedName>
    <definedName name="F_01_120">#REF!</definedName>
    <definedName name="F_01_150" localSheetId="18">#REF!</definedName>
    <definedName name="F_01_150">#REF!</definedName>
    <definedName name="F_01_180" localSheetId="18">#REF!</definedName>
    <definedName name="F_01_180">#REF!</definedName>
    <definedName name="F_01_210" localSheetId="18">#REF!</definedName>
    <definedName name="F_01_210">#REF!</definedName>
    <definedName name="F_01_240" localSheetId="18">#REF!</definedName>
    <definedName name="F_01_240">#REF!</definedName>
    <definedName name="F_01_270" localSheetId="18">#REF!</definedName>
    <definedName name="F_01_270">#REF!</definedName>
    <definedName name="F_01_30" localSheetId="18">#REF!</definedName>
    <definedName name="F_01_30">#REF!</definedName>
    <definedName name="F_01_300" localSheetId="18">#REF!</definedName>
    <definedName name="F_01_300">#REF!</definedName>
    <definedName name="F_01_330" localSheetId="18">#REF!</definedName>
    <definedName name="F_01_330">#REF!</definedName>
    <definedName name="F_01_360" localSheetId="18">#REF!</definedName>
    <definedName name="F_01_360">#REF!</definedName>
    <definedName name="F_01_390" localSheetId="18">#REF!</definedName>
    <definedName name="F_01_390">#REF!</definedName>
    <definedName name="F_01_420" localSheetId="18">#REF!</definedName>
    <definedName name="F_01_420">#REF!</definedName>
    <definedName name="F_01_450" localSheetId="18">#REF!</definedName>
    <definedName name="F_01_450">#REF!</definedName>
    <definedName name="F_01_480" localSheetId="18">#REF!</definedName>
    <definedName name="F_01_480">#REF!</definedName>
    <definedName name="F_01_510" localSheetId="18">#REF!</definedName>
    <definedName name="F_01_510">#REF!</definedName>
    <definedName name="F_01_540" localSheetId="18">#REF!</definedName>
    <definedName name="F_01_540">#REF!</definedName>
    <definedName name="F_01_570" localSheetId="18">#REF!</definedName>
    <definedName name="F_01_570">#REF!</definedName>
    <definedName name="F_01_60" localSheetId="18">#REF!</definedName>
    <definedName name="F_01_60">#REF!</definedName>
    <definedName name="F_01_600" localSheetId="18">#REF!</definedName>
    <definedName name="F_01_600">#REF!</definedName>
    <definedName name="F_01_630" localSheetId="18">#REF!</definedName>
    <definedName name="F_01_630">#REF!</definedName>
    <definedName name="F_01_660" localSheetId="18">#REF!</definedName>
    <definedName name="F_01_660">#REF!</definedName>
    <definedName name="F_01_690" localSheetId="18">#REF!</definedName>
    <definedName name="F_01_690">#REF!</definedName>
    <definedName name="F_01_720" localSheetId="18">#REF!</definedName>
    <definedName name="F_01_720">#REF!</definedName>
    <definedName name="F_01_90" localSheetId="18">#REF!</definedName>
    <definedName name="F_01_90">#REF!</definedName>
    <definedName name="F_02_120" localSheetId="18">#REF!</definedName>
    <definedName name="F_02_120">#REF!</definedName>
    <definedName name="F_02_150" localSheetId="18">#REF!</definedName>
    <definedName name="F_02_150">#REF!</definedName>
    <definedName name="F_02_180" localSheetId="18">#REF!</definedName>
    <definedName name="F_02_180">#REF!</definedName>
    <definedName name="F_02_210" localSheetId="18">#REF!</definedName>
    <definedName name="F_02_210">#REF!</definedName>
    <definedName name="F_02_240" localSheetId="18">#REF!</definedName>
    <definedName name="F_02_240">#REF!</definedName>
    <definedName name="F_02_270" localSheetId="18">#REF!</definedName>
    <definedName name="F_02_270">#REF!</definedName>
    <definedName name="F_02_30" localSheetId="18">#REF!</definedName>
    <definedName name="F_02_30">#REF!</definedName>
    <definedName name="F_02_300" localSheetId="18">#REF!</definedName>
    <definedName name="F_02_300">#REF!</definedName>
    <definedName name="F_02_330" localSheetId="18">#REF!</definedName>
    <definedName name="F_02_330">#REF!</definedName>
    <definedName name="F_02_360" localSheetId="18">#REF!</definedName>
    <definedName name="F_02_360">#REF!</definedName>
    <definedName name="F_02_390" localSheetId="18">#REF!</definedName>
    <definedName name="F_02_390">#REF!</definedName>
    <definedName name="F_02_420" localSheetId="18">#REF!</definedName>
    <definedName name="F_02_420">#REF!</definedName>
    <definedName name="F_02_450" localSheetId="18">#REF!</definedName>
    <definedName name="F_02_450">#REF!</definedName>
    <definedName name="F_02_480" localSheetId="18">#REF!</definedName>
    <definedName name="F_02_480">#REF!</definedName>
    <definedName name="F_02_510" localSheetId="18">#REF!</definedName>
    <definedName name="F_02_510">#REF!</definedName>
    <definedName name="F_02_540" localSheetId="18">#REF!</definedName>
    <definedName name="F_02_540">#REF!</definedName>
    <definedName name="F_02_570" localSheetId="18">#REF!</definedName>
    <definedName name="F_02_570">#REF!</definedName>
    <definedName name="F_02_60" localSheetId="18">#REF!</definedName>
    <definedName name="F_02_60">#REF!</definedName>
    <definedName name="F_02_600" localSheetId="18">#REF!</definedName>
    <definedName name="F_02_600">#REF!</definedName>
    <definedName name="F_02_630" localSheetId="18">#REF!</definedName>
    <definedName name="F_02_630">#REF!</definedName>
    <definedName name="F_02_660" localSheetId="18">#REF!</definedName>
    <definedName name="F_02_660">#REF!</definedName>
    <definedName name="F_02_690" localSheetId="18">#REF!</definedName>
    <definedName name="F_02_690">#REF!</definedName>
    <definedName name="F_02_720" localSheetId="18">#REF!</definedName>
    <definedName name="F_02_720">#REF!</definedName>
    <definedName name="F_02_90" localSheetId="18">#REF!</definedName>
    <definedName name="F_02_90">#REF!</definedName>
    <definedName name="F_03_120" localSheetId="18">#REF!</definedName>
    <definedName name="F_03_120">#REF!</definedName>
    <definedName name="F_03_150" localSheetId="18">#REF!</definedName>
    <definedName name="F_03_150">#REF!</definedName>
    <definedName name="F_03_180" localSheetId="18">#REF!</definedName>
    <definedName name="F_03_180">#REF!</definedName>
    <definedName name="F_03_210" localSheetId="18">#REF!</definedName>
    <definedName name="F_03_210">#REF!</definedName>
    <definedName name="F_03_240" localSheetId="18">#REF!</definedName>
    <definedName name="F_03_240">#REF!</definedName>
    <definedName name="F_03_270" localSheetId="18">#REF!</definedName>
    <definedName name="F_03_270">#REF!</definedName>
    <definedName name="F_03_30" localSheetId="18">#REF!</definedName>
    <definedName name="F_03_30">#REF!</definedName>
    <definedName name="F_03_300" localSheetId="18">#REF!</definedName>
    <definedName name="F_03_300">#REF!</definedName>
    <definedName name="F_03_330" localSheetId="18">#REF!</definedName>
    <definedName name="F_03_330">#REF!</definedName>
    <definedName name="F_03_360" localSheetId="18">#REF!</definedName>
    <definedName name="F_03_360">#REF!</definedName>
    <definedName name="F_03_390" localSheetId="18">#REF!</definedName>
    <definedName name="F_03_390">#REF!</definedName>
    <definedName name="F_03_420" localSheetId="18">#REF!</definedName>
    <definedName name="F_03_420">#REF!</definedName>
    <definedName name="F_03_450" localSheetId="18">#REF!</definedName>
    <definedName name="F_03_450">#REF!</definedName>
    <definedName name="F_03_480" localSheetId="18">#REF!</definedName>
    <definedName name="F_03_480">#REF!</definedName>
    <definedName name="F_03_510" localSheetId="18">#REF!</definedName>
    <definedName name="F_03_510">#REF!</definedName>
    <definedName name="F_03_540" localSheetId="18">#REF!</definedName>
    <definedName name="F_03_540">#REF!</definedName>
    <definedName name="F_03_570" localSheetId="18">#REF!</definedName>
    <definedName name="F_03_570">#REF!</definedName>
    <definedName name="F_03_60" localSheetId="18">#REF!</definedName>
    <definedName name="F_03_60">#REF!</definedName>
    <definedName name="F_03_600" localSheetId="18">#REF!</definedName>
    <definedName name="F_03_600">#REF!</definedName>
    <definedName name="F_03_630" localSheetId="18">#REF!</definedName>
    <definedName name="F_03_630">#REF!</definedName>
    <definedName name="F_03_660" localSheetId="18">#REF!</definedName>
    <definedName name="F_03_660">#REF!</definedName>
    <definedName name="F_03_690" localSheetId="18">#REF!</definedName>
    <definedName name="F_03_690">#REF!</definedName>
    <definedName name="F_03_720" localSheetId="18">#REF!</definedName>
    <definedName name="F_03_720">#REF!</definedName>
    <definedName name="F_03_90" localSheetId="18">#REF!</definedName>
    <definedName name="F_03_90">#REF!</definedName>
    <definedName name="F_04_120" localSheetId="18">#REF!</definedName>
    <definedName name="F_04_120">#REF!</definedName>
    <definedName name="F_04_150" localSheetId="18">#REF!</definedName>
    <definedName name="F_04_150">#REF!</definedName>
    <definedName name="F_04_180" localSheetId="18">#REF!</definedName>
    <definedName name="F_04_180">#REF!</definedName>
    <definedName name="F_04_210" localSheetId="18">#REF!</definedName>
    <definedName name="F_04_210">#REF!</definedName>
    <definedName name="F_04_240" localSheetId="18">#REF!</definedName>
    <definedName name="F_04_240">#REF!</definedName>
    <definedName name="F_04_270" localSheetId="18">#REF!</definedName>
    <definedName name="F_04_270">#REF!</definedName>
    <definedName name="F_04_30" localSheetId="18">#REF!</definedName>
    <definedName name="F_04_30">#REF!</definedName>
    <definedName name="F_04_300" localSheetId="18">#REF!</definedName>
    <definedName name="F_04_300">#REF!</definedName>
    <definedName name="F_04_330" localSheetId="18">#REF!</definedName>
    <definedName name="F_04_330">#REF!</definedName>
    <definedName name="F_04_360" localSheetId="18">#REF!</definedName>
    <definedName name="F_04_360">#REF!</definedName>
    <definedName name="F_04_390" localSheetId="18">#REF!</definedName>
    <definedName name="F_04_390">#REF!</definedName>
    <definedName name="F_04_420" localSheetId="18">#REF!</definedName>
    <definedName name="F_04_420">#REF!</definedName>
    <definedName name="F_04_450" localSheetId="18">#REF!</definedName>
    <definedName name="F_04_450">#REF!</definedName>
    <definedName name="F_04_480" localSheetId="18">#REF!</definedName>
    <definedName name="F_04_480">#REF!</definedName>
    <definedName name="F_04_510" localSheetId="18">#REF!</definedName>
    <definedName name="F_04_510">#REF!</definedName>
    <definedName name="F_04_540" localSheetId="18">#REF!</definedName>
    <definedName name="F_04_540">#REF!</definedName>
    <definedName name="F_04_570" localSheetId="18">#REF!</definedName>
    <definedName name="F_04_570">#REF!</definedName>
    <definedName name="F_04_60" localSheetId="18">#REF!</definedName>
    <definedName name="F_04_60">#REF!</definedName>
    <definedName name="F_04_600" localSheetId="18">#REF!</definedName>
    <definedName name="F_04_600">#REF!</definedName>
    <definedName name="F_04_630" localSheetId="18">#REF!</definedName>
    <definedName name="F_04_630">#REF!</definedName>
    <definedName name="F_04_660" localSheetId="18">#REF!</definedName>
    <definedName name="F_04_660">#REF!</definedName>
    <definedName name="F_04_690" localSheetId="18">#REF!</definedName>
    <definedName name="F_04_690">#REF!</definedName>
    <definedName name="F_04_720" localSheetId="18">#REF!</definedName>
    <definedName name="F_04_720">#REF!</definedName>
    <definedName name="F_04_90" localSheetId="18">#REF!</definedName>
    <definedName name="F_04_90">#REF!</definedName>
    <definedName name="F_05_120" localSheetId="18">#REF!</definedName>
    <definedName name="F_05_120">#REF!</definedName>
    <definedName name="F_05_150" localSheetId="18">#REF!</definedName>
    <definedName name="F_05_150">#REF!</definedName>
    <definedName name="F_05_180" localSheetId="18">#REF!</definedName>
    <definedName name="F_05_180">#REF!</definedName>
    <definedName name="F_05_210" localSheetId="18">#REF!</definedName>
    <definedName name="F_05_210">#REF!</definedName>
    <definedName name="F_05_240" localSheetId="18">#REF!</definedName>
    <definedName name="F_05_240">#REF!</definedName>
    <definedName name="F_05_270" localSheetId="18">#REF!</definedName>
    <definedName name="F_05_270">#REF!</definedName>
    <definedName name="F_05_30" localSheetId="18">#REF!</definedName>
    <definedName name="F_05_30">#REF!</definedName>
    <definedName name="F_05_300" localSheetId="18">#REF!</definedName>
    <definedName name="F_05_300">#REF!</definedName>
    <definedName name="F_05_330" localSheetId="18">#REF!</definedName>
    <definedName name="F_05_330">#REF!</definedName>
    <definedName name="F_05_360" localSheetId="18">#REF!</definedName>
    <definedName name="F_05_360">#REF!</definedName>
    <definedName name="F_05_390" localSheetId="18">#REF!</definedName>
    <definedName name="F_05_390">#REF!</definedName>
    <definedName name="F_05_420" localSheetId="18">#REF!</definedName>
    <definedName name="F_05_420">#REF!</definedName>
    <definedName name="F_05_450" localSheetId="18">#REF!</definedName>
    <definedName name="F_05_450">#REF!</definedName>
    <definedName name="F_05_480" localSheetId="18">#REF!</definedName>
    <definedName name="F_05_480">#REF!</definedName>
    <definedName name="F_05_510" localSheetId="18">#REF!</definedName>
    <definedName name="F_05_510">#REF!</definedName>
    <definedName name="F_05_540" localSheetId="18">#REF!</definedName>
    <definedName name="F_05_540">#REF!</definedName>
    <definedName name="F_05_570" localSheetId="18">#REF!</definedName>
    <definedName name="F_05_570">#REF!</definedName>
    <definedName name="F_05_60" localSheetId="18">#REF!</definedName>
    <definedName name="F_05_60">#REF!</definedName>
    <definedName name="F_05_600" localSheetId="18">#REF!</definedName>
    <definedName name="F_05_600">#REF!</definedName>
    <definedName name="F_05_630" localSheetId="18">#REF!</definedName>
    <definedName name="F_05_630">#REF!</definedName>
    <definedName name="F_05_660" localSheetId="18">#REF!</definedName>
    <definedName name="F_05_660">#REF!</definedName>
    <definedName name="F_05_690" localSheetId="18">#REF!</definedName>
    <definedName name="F_05_690">#REF!</definedName>
    <definedName name="F_05_720" localSheetId="18">#REF!</definedName>
    <definedName name="F_05_720">#REF!</definedName>
    <definedName name="F_05_90" localSheetId="18">#REF!</definedName>
    <definedName name="F_05_90">#REF!</definedName>
    <definedName name="F_06_120" localSheetId="18">#REF!</definedName>
    <definedName name="F_06_120">#REF!</definedName>
    <definedName name="F_06_150" localSheetId="18">#REF!</definedName>
    <definedName name="F_06_150">#REF!</definedName>
    <definedName name="F_06_180" localSheetId="18">#REF!</definedName>
    <definedName name="F_06_180">#REF!</definedName>
    <definedName name="F_06_210" localSheetId="18">#REF!</definedName>
    <definedName name="F_06_210">#REF!</definedName>
    <definedName name="F_06_240" localSheetId="18">#REF!</definedName>
    <definedName name="F_06_240">#REF!</definedName>
    <definedName name="F_06_270" localSheetId="18">#REF!</definedName>
    <definedName name="F_06_270">#REF!</definedName>
    <definedName name="F_06_30" localSheetId="18">#REF!</definedName>
    <definedName name="F_06_30">#REF!</definedName>
    <definedName name="F_06_300" localSheetId="18">#REF!</definedName>
    <definedName name="F_06_300">#REF!</definedName>
    <definedName name="F_06_330" localSheetId="18">#REF!</definedName>
    <definedName name="F_06_330">#REF!</definedName>
    <definedName name="F_06_360" localSheetId="18">#REF!</definedName>
    <definedName name="F_06_360">#REF!</definedName>
    <definedName name="F_06_390" localSheetId="18">#REF!</definedName>
    <definedName name="F_06_390">#REF!</definedName>
    <definedName name="F_06_420" localSheetId="18">#REF!</definedName>
    <definedName name="F_06_420">#REF!</definedName>
    <definedName name="F_06_450" localSheetId="18">#REF!</definedName>
    <definedName name="F_06_450">#REF!</definedName>
    <definedName name="F_06_480" localSheetId="18">#REF!</definedName>
    <definedName name="F_06_480">#REF!</definedName>
    <definedName name="F_06_510" localSheetId="18">#REF!</definedName>
    <definedName name="F_06_510">#REF!</definedName>
    <definedName name="F_06_540" localSheetId="18">#REF!</definedName>
    <definedName name="F_06_540">#REF!</definedName>
    <definedName name="F_06_570" localSheetId="18">#REF!</definedName>
    <definedName name="F_06_570">#REF!</definedName>
    <definedName name="F_06_60" localSheetId="18">#REF!</definedName>
    <definedName name="F_06_60">#REF!</definedName>
    <definedName name="F_06_600" localSheetId="18">#REF!</definedName>
    <definedName name="F_06_600">#REF!</definedName>
    <definedName name="F_06_630" localSheetId="18">#REF!</definedName>
    <definedName name="F_06_630">#REF!</definedName>
    <definedName name="F_06_660" localSheetId="18">#REF!</definedName>
    <definedName name="F_06_660">#REF!</definedName>
    <definedName name="F_06_690" localSheetId="18">#REF!</definedName>
    <definedName name="F_06_690">#REF!</definedName>
    <definedName name="F_06_720" localSheetId="18">#REF!</definedName>
    <definedName name="F_06_720">#REF!</definedName>
    <definedName name="F_06_90" localSheetId="18">#REF!</definedName>
    <definedName name="F_06_90">#REF!</definedName>
    <definedName name="F_07_120" localSheetId="18">#REF!</definedName>
    <definedName name="F_07_120">#REF!</definedName>
    <definedName name="F_07_150" localSheetId="18">#REF!</definedName>
    <definedName name="F_07_150">#REF!</definedName>
    <definedName name="F_07_180" localSheetId="18">#REF!</definedName>
    <definedName name="F_07_180">#REF!</definedName>
    <definedName name="F_07_210" localSheetId="18">#REF!</definedName>
    <definedName name="F_07_210">#REF!</definedName>
    <definedName name="F_07_240" localSheetId="18">#REF!</definedName>
    <definedName name="F_07_240">#REF!</definedName>
    <definedName name="F_07_270" localSheetId="18">#REF!</definedName>
    <definedName name="F_07_270">#REF!</definedName>
    <definedName name="F_07_30" localSheetId="18">#REF!</definedName>
    <definedName name="F_07_30">#REF!</definedName>
    <definedName name="F_07_300" localSheetId="18">#REF!</definedName>
    <definedName name="F_07_300">#REF!</definedName>
    <definedName name="F_07_330" localSheetId="18">#REF!</definedName>
    <definedName name="F_07_330">#REF!</definedName>
    <definedName name="F_07_360" localSheetId="18">#REF!</definedName>
    <definedName name="F_07_360">#REF!</definedName>
    <definedName name="F_07_390" localSheetId="18">#REF!</definedName>
    <definedName name="F_07_390">#REF!</definedName>
    <definedName name="F_07_420" localSheetId="18">#REF!</definedName>
    <definedName name="F_07_420">#REF!</definedName>
    <definedName name="F_07_450" localSheetId="18">#REF!</definedName>
    <definedName name="F_07_450">#REF!</definedName>
    <definedName name="F_07_480" localSheetId="18">#REF!</definedName>
    <definedName name="F_07_480">#REF!</definedName>
    <definedName name="F_07_510" localSheetId="18">#REF!</definedName>
    <definedName name="F_07_510">#REF!</definedName>
    <definedName name="F_07_540" localSheetId="18">#REF!</definedName>
    <definedName name="F_07_540">#REF!</definedName>
    <definedName name="F_07_570" localSheetId="18">#REF!</definedName>
    <definedName name="F_07_570">#REF!</definedName>
    <definedName name="F_07_60" localSheetId="18">#REF!</definedName>
    <definedName name="F_07_60">#REF!</definedName>
    <definedName name="F_07_600" localSheetId="18">#REF!</definedName>
    <definedName name="F_07_600">#REF!</definedName>
    <definedName name="F_07_630" localSheetId="18">#REF!</definedName>
    <definedName name="F_07_630">#REF!</definedName>
    <definedName name="F_07_660" localSheetId="18">#REF!</definedName>
    <definedName name="F_07_660">#REF!</definedName>
    <definedName name="F_07_690" localSheetId="18">#REF!</definedName>
    <definedName name="F_07_690">#REF!</definedName>
    <definedName name="F_07_720" localSheetId="18">#REF!</definedName>
    <definedName name="F_07_720">#REF!</definedName>
    <definedName name="F_07_90" localSheetId="18">#REF!</definedName>
    <definedName name="F_07_90">#REF!</definedName>
    <definedName name="F_08_120" localSheetId="18">#REF!</definedName>
    <definedName name="F_08_120">#REF!</definedName>
    <definedName name="F_08_150" localSheetId="18">#REF!</definedName>
    <definedName name="F_08_150">#REF!</definedName>
    <definedName name="F_08_180" localSheetId="18">#REF!</definedName>
    <definedName name="F_08_180">#REF!</definedName>
    <definedName name="F_08_210" localSheetId="18">#REF!</definedName>
    <definedName name="F_08_210">#REF!</definedName>
    <definedName name="F_08_240" localSheetId="18">#REF!</definedName>
    <definedName name="F_08_240">#REF!</definedName>
    <definedName name="F_08_270" localSheetId="18">#REF!</definedName>
    <definedName name="F_08_270">#REF!</definedName>
    <definedName name="F_08_30" localSheetId="18">#REF!</definedName>
    <definedName name="F_08_30">#REF!</definedName>
    <definedName name="F_08_300" localSheetId="18">#REF!</definedName>
    <definedName name="F_08_300">#REF!</definedName>
    <definedName name="F_08_330" localSheetId="18">#REF!</definedName>
    <definedName name="F_08_330">#REF!</definedName>
    <definedName name="F_08_360" localSheetId="18">#REF!</definedName>
    <definedName name="F_08_360">#REF!</definedName>
    <definedName name="F_08_390" localSheetId="18">#REF!</definedName>
    <definedName name="F_08_390">#REF!</definedName>
    <definedName name="F_08_420" localSheetId="18">#REF!</definedName>
    <definedName name="F_08_420">#REF!</definedName>
    <definedName name="F_08_450" localSheetId="18">#REF!</definedName>
    <definedName name="F_08_450">#REF!</definedName>
    <definedName name="F_08_480" localSheetId="18">#REF!</definedName>
    <definedName name="F_08_480">#REF!</definedName>
    <definedName name="F_08_510" localSheetId="18">#REF!</definedName>
    <definedName name="F_08_510">#REF!</definedName>
    <definedName name="F_08_540" localSheetId="18">#REF!</definedName>
    <definedName name="F_08_540">#REF!</definedName>
    <definedName name="F_08_570" localSheetId="18">#REF!</definedName>
    <definedName name="F_08_570">#REF!</definedName>
    <definedName name="F_08_60" localSheetId="18">#REF!</definedName>
    <definedName name="F_08_60">#REF!</definedName>
    <definedName name="F_08_600" localSheetId="18">#REF!</definedName>
    <definedName name="F_08_600">#REF!</definedName>
    <definedName name="F_08_630" localSheetId="18">#REF!</definedName>
    <definedName name="F_08_630">#REF!</definedName>
    <definedName name="F_08_660" localSheetId="18">#REF!</definedName>
    <definedName name="F_08_660">#REF!</definedName>
    <definedName name="F_08_690" localSheetId="18">#REF!</definedName>
    <definedName name="F_08_690">#REF!</definedName>
    <definedName name="F_08_720" localSheetId="18">#REF!</definedName>
    <definedName name="F_08_720">#REF!</definedName>
    <definedName name="F_08_90" localSheetId="18">#REF!</definedName>
    <definedName name="F_08_90">#REF!</definedName>
    <definedName name="F_09_120" localSheetId="18">#REF!</definedName>
    <definedName name="F_09_120">#REF!</definedName>
    <definedName name="F_09_150" localSheetId="18">#REF!</definedName>
    <definedName name="F_09_150">#REF!</definedName>
    <definedName name="F_09_180" localSheetId="18">#REF!</definedName>
    <definedName name="F_09_180">#REF!</definedName>
    <definedName name="F_09_210" localSheetId="18">#REF!</definedName>
    <definedName name="F_09_210">#REF!</definedName>
    <definedName name="F_09_240" localSheetId="18">#REF!</definedName>
    <definedName name="F_09_240">#REF!</definedName>
    <definedName name="F_09_270" localSheetId="18">#REF!</definedName>
    <definedName name="F_09_270">#REF!</definedName>
    <definedName name="F_09_30" localSheetId="18">#REF!</definedName>
    <definedName name="F_09_30">#REF!</definedName>
    <definedName name="F_09_300" localSheetId="18">#REF!</definedName>
    <definedName name="F_09_300">#REF!</definedName>
    <definedName name="F_09_330" localSheetId="18">#REF!</definedName>
    <definedName name="F_09_330">#REF!</definedName>
    <definedName name="F_09_360" localSheetId="18">#REF!</definedName>
    <definedName name="F_09_360">#REF!</definedName>
    <definedName name="F_09_390" localSheetId="18">#REF!</definedName>
    <definedName name="F_09_390">#REF!</definedName>
    <definedName name="F_09_420" localSheetId="18">#REF!</definedName>
    <definedName name="F_09_420">#REF!</definedName>
    <definedName name="F_09_450" localSheetId="18">#REF!</definedName>
    <definedName name="F_09_450">#REF!</definedName>
    <definedName name="F_09_480" localSheetId="18">#REF!</definedName>
    <definedName name="F_09_480">#REF!</definedName>
    <definedName name="F_09_510" localSheetId="18">#REF!</definedName>
    <definedName name="F_09_510">#REF!</definedName>
    <definedName name="F_09_540" localSheetId="18">#REF!</definedName>
    <definedName name="F_09_540">#REF!</definedName>
    <definedName name="F_09_570" localSheetId="18">#REF!</definedName>
    <definedName name="F_09_570">#REF!</definedName>
    <definedName name="F_09_60" localSheetId="18">#REF!</definedName>
    <definedName name="F_09_60">#REF!</definedName>
    <definedName name="F_09_600" localSheetId="18">#REF!</definedName>
    <definedName name="F_09_600">#REF!</definedName>
    <definedName name="F_09_630" localSheetId="18">#REF!</definedName>
    <definedName name="F_09_630">#REF!</definedName>
    <definedName name="F_09_660" localSheetId="18">#REF!</definedName>
    <definedName name="F_09_660">#REF!</definedName>
    <definedName name="F_09_690" localSheetId="18">#REF!</definedName>
    <definedName name="F_09_690">#REF!</definedName>
    <definedName name="F_09_720" localSheetId="18">#REF!</definedName>
    <definedName name="F_09_720">#REF!</definedName>
    <definedName name="F_09_90" localSheetId="18">#REF!</definedName>
    <definedName name="F_09_90">#REF!</definedName>
    <definedName name="F_10_120" localSheetId="18">#REF!</definedName>
    <definedName name="F_10_120">#REF!</definedName>
    <definedName name="F_10_150" localSheetId="18">#REF!</definedName>
    <definedName name="F_10_150">#REF!</definedName>
    <definedName name="F_10_180" localSheetId="18">#REF!</definedName>
    <definedName name="F_10_180">#REF!</definedName>
    <definedName name="F_10_210" localSheetId="18">#REF!</definedName>
    <definedName name="F_10_210">#REF!</definedName>
    <definedName name="F_10_240" localSheetId="18">#REF!</definedName>
    <definedName name="F_10_240">#REF!</definedName>
    <definedName name="F_10_270" localSheetId="18">#REF!</definedName>
    <definedName name="F_10_270">#REF!</definedName>
    <definedName name="F_10_30" localSheetId="18">#REF!</definedName>
    <definedName name="F_10_30">#REF!</definedName>
    <definedName name="F_10_300" localSheetId="18">#REF!</definedName>
    <definedName name="F_10_300">#REF!</definedName>
    <definedName name="F_10_330" localSheetId="18">#REF!</definedName>
    <definedName name="F_10_330">#REF!</definedName>
    <definedName name="F_10_360" localSheetId="18">#REF!</definedName>
    <definedName name="F_10_360">#REF!</definedName>
    <definedName name="F_10_390" localSheetId="18">#REF!</definedName>
    <definedName name="F_10_390">#REF!</definedName>
    <definedName name="F_10_420" localSheetId="18">#REF!</definedName>
    <definedName name="F_10_420">#REF!</definedName>
    <definedName name="F_10_450" localSheetId="18">#REF!</definedName>
    <definedName name="F_10_450">#REF!</definedName>
    <definedName name="F_10_480" localSheetId="18">#REF!</definedName>
    <definedName name="F_10_480">#REF!</definedName>
    <definedName name="F_10_510" localSheetId="18">#REF!</definedName>
    <definedName name="F_10_510">#REF!</definedName>
    <definedName name="F_10_540" localSheetId="18">#REF!</definedName>
    <definedName name="F_10_540">#REF!</definedName>
    <definedName name="F_10_570" localSheetId="18">#REF!</definedName>
    <definedName name="F_10_570">#REF!</definedName>
    <definedName name="F_10_60" localSheetId="18">#REF!</definedName>
    <definedName name="F_10_60">#REF!</definedName>
    <definedName name="F_10_600" localSheetId="18">#REF!</definedName>
    <definedName name="F_10_600">#REF!</definedName>
    <definedName name="F_10_630" localSheetId="18">#REF!</definedName>
    <definedName name="F_10_630">#REF!</definedName>
    <definedName name="F_10_660" localSheetId="18">#REF!</definedName>
    <definedName name="F_10_660">#REF!</definedName>
    <definedName name="F_10_690" localSheetId="18">#REF!</definedName>
    <definedName name="F_10_690">#REF!</definedName>
    <definedName name="F_10_720" localSheetId="18">#REF!</definedName>
    <definedName name="F_10_720">#REF!</definedName>
    <definedName name="F_10_90" localSheetId="18">#REF!</definedName>
    <definedName name="F_10_90">#REF!</definedName>
    <definedName name="F_11_120" localSheetId="18">#REF!</definedName>
    <definedName name="F_11_120">#REF!</definedName>
    <definedName name="F_11_150" localSheetId="18">#REF!</definedName>
    <definedName name="F_11_150">#REF!</definedName>
    <definedName name="F_11_180" localSheetId="18">#REF!</definedName>
    <definedName name="F_11_180">#REF!</definedName>
    <definedName name="F_11_210" localSheetId="18">#REF!</definedName>
    <definedName name="F_11_210">#REF!</definedName>
    <definedName name="F_11_240" localSheetId="18">#REF!</definedName>
    <definedName name="F_11_240">#REF!</definedName>
    <definedName name="F_11_270" localSheetId="18">#REF!</definedName>
    <definedName name="F_11_270">#REF!</definedName>
    <definedName name="F_11_30" localSheetId="18">#REF!</definedName>
    <definedName name="F_11_30">#REF!</definedName>
    <definedName name="F_11_300" localSheetId="18">#REF!</definedName>
    <definedName name="F_11_300">#REF!</definedName>
    <definedName name="F_11_330" localSheetId="18">#REF!</definedName>
    <definedName name="F_11_330">#REF!</definedName>
    <definedName name="F_11_360" localSheetId="18">#REF!</definedName>
    <definedName name="F_11_360">#REF!</definedName>
    <definedName name="F_11_390" localSheetId="18">#REF!</definedName>
    <definedName name="F_11_390">#REF!</definedName>
    <definedName name="F_11_420" localSheetId="18">#REF!</definedName>
    <definedName name="F_11_420">#REF!</definedName>
    <definedName name="F_11_450" localSheetId="18">#REF!</definedName>
    <definedName name="F_11_450">#REF!</definedName>
    <definedName name="F_11_480" localSheetId="18">#REF!</definedName>
    <definedName name="F_11_480">#REF!</definedName>
    <definedName name="F_11_510" localSheetId="18">#REF!</definedName>
    <definedName name="F_11_510">#REF!</definedName>
    <definedName name="F_11_540" localSheetId="18">#REF!</definedName>
    <definedName name="F_11_540">#REF!</definedName>
    <definedName name="F_11_570" localSheetId="18">#REF!</definedName>
    <definedName name="F_11_570">#REF!</definedName>
    <definedName name="F_11_60" localSheetId="18">#REF!</definedName>
    <definedName name="F_11_60">#REF!</definedName>
    <definedName name="F_11_600" localSheetId="18">#REF!</definedName>
    <definedName name="F_11_600">#REF!</definedName>
    <definedName name="F_11_630" localSheetId="18">#REF!</definedName>
    <definedName name="F_11_630">#REF!</definedName>
    <definedName name="F_11_660" localSheetId="18">#REF!</definedName>
    <definedName name="F_11_660">#REF!</definedName>
    <definedName name="F_11_690" localSheetId="18">#REF!</definedName>
    <definedName name="F_11_690">#REF!</definedName>
    <definedName name="F_11_720" localSheetId="18">#REF!</definedName>
    <definedName name="F_11_720">#REF!</definedName>
    <definedName name="F_11_90" localSheetId="18">#REF!</definedName>
    <definedName name="F_11_90">#REF!</definedName>
    <definedName name="F_12_120" localSheetId="18">#REF!</definedName>
    <definedName name="F_12_120">#REF!</definedName>
    <definedName name="F_12_150" localSheetId="18">#REF!</definedName>
    <definedName name="F_12_150">#REF!</definedName>
    <definedName name="F_12_180" localSheetId="18">#REF!</definedName>
    <definedName name="F_12_180">#REF!</definedName>
    <definedName name="F_12_210" localSheetId="18">#REF!</definedName>
    <definedName name="F_12_210">#REF!</definedName>
    <definedName name="F_12_240" localSheetId="18">#REF!</definedName>
    <definedName name="F_12_240">#REF!</definedName>
    <definedName name="F_12_270" localSheetId="18">#REF!</definedName>
    <definedName name="F_12_270">#REF!</definedName>
    <definedName name="F_12_30" localSheetId="18">#REF!</definedName>
    <definedName name="F_12_30">#REF!</definedName>
    <definedName name="F_12_300" localSheetId="18">#REF!</definedName>
    <definedName name="F_12_300">#REF!</definedName>
    <definedName name="F_12_330" localSheetId="18">#REF!</definedName>
    <definedName name="F_12_330">#REF!</definedName>
    <definedName name="F_12_360" localSheetId="18">#REF!</definedName>
    <definedName name="F_12_360">#REF!</definedName>
    <definedName name="F_12_390" localSheetId="18">#REF!</definedName>
    <definedName name="F_12_390">#REF!</definedName>
    <definedName name="F_12_420" localSheetId="18">#REF!</definedName>
    <definedName name="F_12_420">#REF!</definedName>
    <definedName name="F_12_450" localSheetId="18">#REF!</definedName>
    <definedName name="F_12_450">#REF!</definedName>
    <definedName name="F_12_480" localSheetId="18">#REF!</definedName>
    <definedName name="F_12_480">#REF!</definedName>
    <definedName name="F_12_510" localSheetId="18">#REF!</definedName>
    <definedName name="F_12_510">#REF!</definedName>
    <definedName name="F_12_540" localSheetId="18">#REF!</definedName>
    <definedName name="F_12_540">#REF!</definedName>
    <definedName name="F_12_570" localSheetId="18">#REF!</definedName>
    <definedName name="F_12_570">#REF!</definedName>
    <definedName name="F_12_60" localSheetId="18">#REF!</definedName>
    <definedName name="F_12_60">#REF!</definedName>
    <definedName name="F_12_600" localSheetId="18">#REF!</definedName>
    <definedName name="F_12_600">#REF!</definedName>
    <definedName name="F_12_630" localSheetId="18">#REF!</definedName>
    <definedName name="F_12_630">#REF!</definedName>
    <definedName name="F_12_660" localSheetId="18">#REF!</definedName>
    <definedName name="F_12_660">#REF!</definedName>
    <definedName name="F_12_690" localSheetId="18">#REF!</definedName>
    <definedName name="F_12_690">#REF!</definedName>
    <definedName name="F_12_720" localSheetId="18">#REF!</definedName>
    <definedName name="F_12_720">#REF!</definedName>
    <definedName name="F_12_90" localSheetId="18">#REF!</definedName>
    <definedName name="F_12_90">#REF!</definedName>
    <definedName name="F_13_120" localSheetId="18">#REF!</definedName>
    <definedName name="F_13_120">#REF!</definedName>
    <definedName name="F_13_150" localSheetId="18">#REF!</definedName>
    <definedName name="F_13_150">#REF!</definedName>
    <definedName name="F_13_180" localSheetId="18">#REF!</definedName>
    <definedName name="F_13_180">#REF!</definedName>
    <definedName name="F_13_210" localSheetId="18">#REF!</definedName>
    <definedName name="F_13_210">#REF!</definedName>
    <definedName name="F_13_240" localSheetId="18">#REF!</definedName>
    <definedName name="F_13_240">#REF!</definedName>
    <definedName name="F_13_270" localSheetId="18">#REF!</definedName>
    <definedName name="F_13_270">#REF!</definedName>
    <definedName name="F_13_30" localSheetId="18">#REF!</definedName>
    <definedName name="F_13_30">#REF!</definedName>
    <definedName name="F_13_300" localSheetId="18">#REF!</definedName>
    <definedName name="F_13_300">#REF!</definedName>
    <definedName name="F_13_330" localSheetId="18">#REF!</definedName>
    <definedName name="F_13_330">#REF!</definedName>
    <definedName name="F_13_360" localSheetId="18">#REF!</definedName>
    <definedName name="F_13_360">#REF!</definedName>
    <definedName name="F_13_390" localSheetId="18">#REF!</definedName>
    <definedName name="F_13_390">#REF!</definedName>
    <definedName name="F_13_420" localSheetId="18">#REF!</definedName>
    <definedName name="F_13_420">#REF!</definedName>
    <definedName name="F_13_450" localSheetId="18">#REF!</definedName>
    <definedName name="F_13_450">#REF!</definedName>
    <definedName name="F_13_480" localSheetId="18">#REF!</definedName>
    <definedName name="F_13_480">#REF!</definedName>
    <definedName name="F_13_510" localSheetId="18">#REF!</definedName>
    <definedName name="F_13_510">#REF!</definedName>
    <definedName name="F_13_540" localSheetId="18">#REF!</definedName>
    <definedName name="F_13_540">#REF!</definedName>
    <definedName name="F_13_570" localSheetId="18">#REF!</definedName>
    <definedName name="F_13_570">#REF!</definedName>
    <definedName name="F_13_60" localSheetId="18">#REF!</definedName>
    <definedName name="F_13_60">#REF!</definedName>
    <definedName name="F_13_600" localSheetId="18">#REF!</definedName>
    <definedName name="F_13_600">#REF!</definedName>
    <definedName name="F_13_630" localSheetId="18">#REF!</definedName>
    <definedName name="F_13_630">#REF!</definedName>
    <definedName name="F_13_660" localSheetId="18">#REF!</definedName>
    <definedName name="F_13_660">#REF!</definedName>
    <definedName name="F_13_690" localSheetId="18">#REF!</definedName>
    <definedName name="F_13_690">#REF!</definedName>
    <definedName name="F_13_720" localSheetId="18">#REF!</definedName>
    <definedName name="F_13_720">#REF!</definedName>
    <definedName name="F_13_90" localSheetId="18">#REF!</definedName>
    <definedName name="F_13_90">#REF!</definedName>
    <definedName name="F_14_120" localSheetId="18">#REF!</definedName>
    <definedName name="F_14_120">#REF!</definedName>
    <definedName name="F_14_150" localSheetId="18">#REF!</definedName>
    <definedName name="F_14_150">#REF!</definedName>
    <definedName name="F_14_180" localSheetId="18">#REF!</definedName>
    <definedName name="F_14_180">#REF!</definedName>
    <definedName name="F_14_210" localSheetId="18">#REF!</definedName>
    <definedName name="F_14_210">#REF!</definedName>
    <definedName name="F_14_240" localSheetId="18">#REF!</definedName>
    <definedName name="F_14_240">#REF!</definedName>
    <definedName name="F_14_270" localSheetId="18">#REF!</definedName>
    <definedName name="F_14_270">#REF!</definedName>
    <definedName name="F_14_30" localSheetId="18">#REF!</definedName>
    <definedName name="F_14_30">#REF!</definedName>
    <definedName name="F_14_300" localSheetId="18">#REF!</definedName>
    <definedName name="F_14_300">#REF!</definedName>
    <definedName name="F_14_330" localSheetId="18">#REF!</definedName>
    <definedName name="F_14_330">#REF!</definedName>
    <definedName name="F_14_360" localSheetId="18">#REF!</definedName>
    <definedName name="F_14_360">#REF!</definedName>
    <definedName name="F_14_390" localSheetId="18">#REF!</definedName>
    <definedName name="F_14_390">#REF!</definedName>
    <definedName name="F_14_420" localSheetId="18">#REF!</definedName>
    <definedName name="F_14_420">#REF!</definedName>
    <definedName name="F_14_450" localSheetId="18">#REF!</definedName>
    <definedName name="F_14_450">#REF!</definedName>
    <definedName name="F_14_480" localSheetId="18">#REF!</definedName>
    <definedName name="F_14_480">#REF!</definedName>
    <definedName name="F_14_510" localSheetId="18">#REF!</definedName>
    <definedName name="F_14_510">#REF!</definedName>
    <definedName name="F_14_540" localSheetId="18">#REF!</definedName>
    <definedName name="F_14_540">#REF!</definedName>
    <definedName name="F_14_570" localSheetId="18">#REF!</definedName>
    <definedName name="F_14_570">#REF!</definedName>
    <definedName name="F_14_60" localSheetId="18">#REF!</definedName>
    <definedName name="F_14_60">#REF!</definedName>
    <definedName name="F_14_600" localSheetId="18">#REF!</definedName>
    <definedName name="F_14_600">#REF!</definedName>
    <definedName name="F_14_630" localSheetId="18">#REF!</definedName>
    <definedName name="F_14_630">#REF!</definedName>
    <definedName name="F_14_660" localSheetId="18">#REF!</definedName>
    <definedName name="F_14_660">#REF!</definedName>
    <definedName name="F_14_690" localSheetId="18">#REF!</definedName>
    <definedName name="F_14_690">#REF!</definedName>
    <definedName name="F_14_720" localSheetId="18">#REF!</definedName>
    <definedName name="F_14_720">#REF!</definedName>
    <definedName name="F_14_90" localSheetId="18">#REF!</definedName>
    <definedName name="F_14_90">#REF!</definedName>
    <definedName name="F_15_120" localSheetId="18">#REF!</definedName>
    <definedName name="F_15_120">#REF!</definedName>
    <definedName name="F_15_150" localSheetId="18">#REF!</definedName>
    <definedName name="F_15_150">#REF!</definedName>
    <definedName name="F_15_180" localSheetId="18">#REF!</definedName>
    <definedName name="F_15_180">#REF!</definedName>
    <definedName name="F_15_210" localSheetId="18">#REF!</definedName>
    <definedName name="F_15_210">#REF!</definedName>
    <definedName name="F_15_240" localSheetId="18">#REF!</definedName>
    <definedName name="F_15_240">#REF!</definedName>
    <definedName name="F_15_270" localSheetId="18">#REF!</definedName>
    <definedName name="F_15_270">#REF!</definedName>
    <definedName name="F_15_30" localSheetId="18">#REF!</definedName>
    <definedName name="F_15_30">#REF!</definedName>
    <definedName name="F_15_300" localSheetId="18">#REF!</definedName>
    <definedName name="F_15_300">#REF!</definedName>
    <definedName name="F_15_330" localSheetId="18">#REF!</definedName>
    <definedName name="F_15_330">#REF!</definedName>
    <definedName name="F_15_360" localSheetId="18">#REF!</definedName>
    <definedName name="F_15_360">#REF!</definedName>
    <definedName name="F_15_390" localSheetId="18">#REF!</definedName>
    <definedName name="F_15_390">#REF!</definedName>
    <definedName name="F_15_420" localSheetId="18">#REF!</definedName>
    <definedName name="F_15_420">#REF!</definedName>
    <definedName name="F_15_450" localSheetId="18">#REF!</definedName>
    <definedName name="F_15_450">#REF!</definedName>
    <definedName name="F_15_480" localSheetId="18">#REF!</definedName>
    <definedName name="F_15_480">#REF!</definedName>
    <definedName name="F_15_510" localSheetId="18">#REF!</definedName>
    <definedName name="F_15_510">#REF!</definedName>
    <definedName name="F_15_540" localSheetId="18">#REF!</definedName>
    <definedName name="F_15_540">#REF!</definedName>
    <definedName name="F_15_570" localSheetId="18">#REF!</definedName>
    <definedName name="F_15_570">#REF!</definedName>
    <definedName name="F_15_60" localSheetId="18">#REF!</definedName>
    <definedName name="F_15_60">#REF!</definedName>
    <definedName name="F_15_600" localSheetId="18">#REF!</definedName>
    <definedName name="F_15_600">#REF!</definedName>
    <definedName name="F_15_630" localSheetId="18">#REF!</definedName>
    <definedName name="F_15_630">#REF!</definedName>
    <definedName name="F_15_660" localSheetId="18">#REF!</definedName>
    <definedName name="F_15_660">#REF!</definedName>
    <definedName name="F_15_690" localSheetId="18">#REF!</definedName>
    <definedName name="F_15_690">#REF!</definedName>
    <definedName name="F_15_720" localSheetId="18">#REF!</definedName>
    <definedName name="F_15_720">#REF!</definedName>
    <definedName name="F_15_90" localSheetId="18">#REF!</definedName>
    <definedName name="F_15_90">#REF!</definedName>
    <definedName name="F_16_120" localSheetId="18">#REF!</definedName>
    <definedName name="F_16_120">#REF!</definedName>
    <definedName name="F_16_150" localSheetId="18">#REF!</definedName>
    <definedName name="F_16_150">#REF!</definedName>
    <definedName name="F_16_180" localSheetId="18">#REF!</definedName>
    <definedName name="F_16_180">#REF!</definedName>
    <definedName name="F_16_210" localSheetId="18">#REF!</definedName>
    <definedName name="F_16_210">#REF!</definedName>
    <definedName name="F_16_240" localSheetId="18">#REF!</definedName>
    <definedName name="F_16_240">#REF!</definedName>
    <definedName name="F_16_270" localSheetId="18">#REF!</definedName>
    <definedName name="F_16_270">#REF!</definedName>
    <definedName name="F_16_30" localSheetId="18">#REF!</definedName>
    <definedName name="F_16_30">#REF!</definedName>
    <definedName name="F_16_300" localSheetId="18">#REF!</definedName>
    <definedName name="F_16_300">#REF!</definedName>
    <definedName name="F_16_330" localSheetId="18">#REF!</definedName>
    <definedName name="F_16_330">#REF!</definedName>
    <definedName name="F_16_360" localSheetId="18">#REF!</definedName>
    <definedName name="F_16_360">#REF!</definedName>
    <definedName name="F_16_390" localSheetId="18">#REF!</definedName>
    <definedName name="F_16_390">#REF!</definedName>
    <definedName name="F_16_420" localSheetId="18">#REF!</definedName>
    <definedName name="F_16_420">#REF!</definedName>
    <definedName name="F_16_450" localSheetId="18">#REF!</definedName>
    <definedName name="F_16_450">#REF!</definedName>
    <definedName name="F_16_480" localSheetId="18">#REF!</definedName>
    <definedName name="F_16_480">#REF!</definedName>
    <definedName name="F_16_510" localSheetId="18">#REF!</definedName>
    <definedName name="F_16_510">#REF!</definedName>
    <definedName name="F_16_540" localSheetId="18">#REF!</definedName>
    <definedName name="F_16_540">#REF!</definedName>
    <definedName name="F_16_570" localSheetId="18">#REF!</definedName>
    <definedName name="F_16_570">#REF!</definedName>
    <definedName name="F_16_60" localSheetId="18">#REF!</definedName>
    <definedName name="F_16_60">#REF!</definedName>
    <definedName name="F_16_600" localSheetId="18">#REF!</definedName>
    <definedName name="F_16_600">#REF!</definedName>
    <definedName name="F_16_630" localSheetId="18">#REF!</definedName>
    <definedName name="F_16_630">#REF!</definedName>
    <definedName name="F_16_660" localSheetId="18">#REF!</definedName>
    <definedName name="F_16_660">#REF!</definedName>
    <definedName name="F_16_690" localSheetId="18">#REF!</definedName>
    <definedName name="F_16_690">#REF!</definedName>
    <definedName name="F_16_720" localSheetId="18">#REF!</definedName>
    <definedName name="F_16_720">#REF!</definedName>
    <definedName name="F_16_90" localSheetId="18">#REF!</definedName>
    <definedName name="F_16_90">#REF!</definedName>
    <definedName name="F_17_120" localSheetId="18">#REF!</definedName>
    <definedName name="F_17_120">#REF!</definedName>
    <definedName name="F_17_150" localSheetId="18">#REF!</definedName>
    <definedName name="F_17_150">#REF!</definedName>
    <definedName name="F_17_180" localSheetId="18">#REF!</definedName>
    <definedName name="F_17_180">#REF!</definedName>
    <definedName name="F_17_210" localSheetId="18">#REF!</definedName>
    <definedName name="F_17_210">#REF!</definedName>
    <definedName name="F_17_240" localSheetId="18">#REF!</definedName>
    <definedName name="F_17_240">#REF!</definedName>
    <definedName name="F_17_270" localSheetId="18">#REF!</definedName>
    <definedName name="F_17_270">#REF!</definedName>
    <definedName name="F_17_30" localSheetId="18">#REF!</definedName>
    <definedName name="F_17_30">#REF!</definedName>
    <definedName name="F_17_300" localSheetId="18">#REF!</definedName>
    <definedName name="F_17_300">#REF!</definedName>
    <definedName name="F_17_330" localSheetId="18">#REF!</definedName>
    <definedName name="F_17_330">#REF!</definedName>
    <definedName name="F_17_360" localSheetId="18">#REF!</definedName>
    <definedName name="F_17_360">#REF!</definedName>
    <definedName name="F_17_390" localSheetId="18">#REF!</definedName>
    <definedName name="F_17_390">#REF!</definedName>
    <definedName name="F_17_420" localSheetId="18">#REF!</definedName>
    <definedName name="F_17_420">#REF!</definedName>
    <definedName name="F_17_450" localSheetId="18">#REF!</definedName>
    <definedName name="F_17_450">#REF!</definedName>
    <definedName name="F_17_480" localSheetId="18">#REF!</definedName>
    <definedName name="F_17_480">#REF!</definedName>
    <definedName name="F_17_510" localSheetId="18">#REF!</definedName>
    <definedName name="F_17_510">#REF!</definedName>
    <definedName name="F_17_540" localSheetId="18">#REF!</definedName>
    <definedName name="F_17_540">#REF!</definedName>
    <definedName name="F_17_570" localSheetId="18">#REF!</definedName>
    <definedName name="F_17_570">#REF!</definedName>
    <definedName name="F_17_60" localSheetId="18">#REF!</definedName>
    <definedName name="F_17_60">#REF!</definedName>
    <definedName name="F_17_600" localSheetId="18">#REF!</definedName>
    <definedName name="F_17_600">#REF!</definedName>
    <definedName name="F_17_630" localSheetId="18">#REF!</definedName>
    <definedName name="F_17_630">#REF!</definedName>
    <definedName name="F_17_660" localSheetId="18">#REF!</definedName>
    <definedName name="F_17_660">#REF!</definedName>
    <definedName name="F_17_690" localSheetId="18">#REF!</definedName>
    <definedName name="F_17_690">#REF!</definedName>
    <definedName name="F_17_720" localSheetId="18">#REF!</definedName>
    <definedName name="F_17_720">#REF!</definedName>
    <definedName name="F_17_90" localSheetId="18">#REF!</definedName>
    <definedName name="F_17_90">#REF!</definedName>
    <definedName name="F_18_120" localSheetId="18">#REF!</definedName>
    <definedName name="F_18_120">#REF!</definedName>
    <definedName name="F_18_150" localSheetId="18">#REF!</definedName>
    <definedName name="F_18_150">#REF!</definedName>
    <definedName name="F_18_180" localSheetId="18">#REF!</definedName>
    <definedName name="F_18_180">#REF!</definedName>
    <definedName name="F_18_210" localSheetId="18">#REF!</definedName>
    <definedName name="F_18_210">#REF!</definedName>
    <definedName name="F_18_240" localSheetId="18">#REF!</definedName>
    <definedName name="F_18_240">#REF!</definedName>
    <definedName name="F_18_270" localSheetId="18">#REF!</definedName>
    <definedName name="F_18_270">#REF!</definedName>
    <definedName name="F_18_30" localSheetId="18">#REF!</definedName>
    <definedName name="F_18_30">#REF!</definedName>
    <definedName name="F_18_300" localSheetId="18">#REF!</definedName>
    <definedName name="F_18_300">#REF!</definedName>
    <definedName name="F_18_330" localSheetId="18">#REF!</definedName>
    <definedName name="F_18_330">#REF!</definedName>
    <definedName name="F_18_360" localSheetId="18">#REF!</definedName>
    <definedName name="F_18_360">#REF!</definedName>
    <definedName name="F_18_390" localSheetId="18">#REF!</definedName>
    <definedName name="F_18_390">#REF!</definedName>
    <definedName name="F_18_420" localSheetId="18">#REF!</definedName>
    <definedName name="F_18_420">#REF!</definedName>
    <definedName name="F_18_450" localSheetId="18">#REF!</definedName>
    <definedName name="F_18_450">#REF!</definedName>
    <definedName name="F_18_480" localSheetId="18">#REF!</definedName>
    <definedName name="F_18_480">#REF!</definedName>
    <definedName name="F_18_510" localSheetId="18">#REF!</definedName>
    <definedName name="F_18_510">#REF!</definedName>
    <definedName name="F_18_540" localSheetId="18">#REF!</definedName>
    <definedName name="F_18_540">#REF!</definedName>
    <definedName name="F_18_570" localSheetId="18">#REF!</definedName>
    <definedName name="F_18_570">#REF!</definedName>
    <definedName name="F_18_60" localSheetId="18">#REF!</definedName>
    <definedName name="F_18_60">#REF!</definedName>
    <definedName name="F_18_600" localSheetId="18">#REF!</definedName>
    <definedName name="F_18_600">#REF!</definedName>
    <definedName name="F_18_630" localSheetId="18">#REF!</definedName>
    <definedName name="F_18_630">#REF!</definedName>
    <definedName name="F_18_660" localSheetId="18">#REF!</definedName>
    <definedName name="F_18_660">#REF!</definedName>
    <definedName name="F_18_690" localSheetId="18">#REF!</definedName>
    <definedName name="F_18_690">#REF!</definedName>
    <definedName name="F_18_720" localSheetId="18">#REF!</definedName>
    <definedName name="F_18_720">#REF!</definedName>
    <definedName name="F_18_90" localSheetId="18">#REF!</definedName>
    <definedName name="F_18_90">#REF!</definedName>
    <definedName name="F_19_120" localSheetId="18">#REF!</definedName>
    <definedName name="F_19_120">#REF!</definedName>
    <definedName name="F_19_150" localSheetId="18">#REF!</definedName>
    <definedName name="F_19_150">#REF!</definedName>
    <definedName name="F_19_180" localSheetId="18">#REF!</definedName>
    <definedName name="F_19_180">#REF!</definedName>
    <definedName name="F_19_210" localSheetId="18">#REF!</definedName>
    <definedName name="F_19_210">#REF!</definedName>
    <definedName name="F_19_240" localSheetId="18">#REF!</definedName>
    <definedName name="F_19_240">#REF!</definedName>
    <definedName name="F_19_270" localSheetId="18">#REF!</definedName>
    <definedName name="F_19_270">#REF!</definedName>
    <definedName name="F_19_30" localSheetId="18">#REF!</definedName>
    <definedName name="F_19_30">#REF!</definedName>
    <definedName name="F_19_300" localSheetId="18">#REF!</definedName>
    <definedName name="F_19_300">#REF!</definedName>
    <definedName name="F_19_330" localSheetId="18">#REF!</definedName>
    <definedName name="F_19_330">#REF!</definedName>
    <definedName name="F_19_360" localSheetId="18">#REF!</definedName>
    <definedName name="F_19_360">#REF!</definedName>
    <definedName name="F_19_390" localSheetId="18">#REF!</definedName>
    <definedName name="F_19_390">#REF!</definedName>
    <definedName name="F_19_420" localSheetId="18">#REF!</definedName>
    <definedName name="F_19_420">#REF!</definedName>
    <definedName name="F_19_450" localSheetId="18">#REF!</definedName>
    <definedName name="F_19_450">#REF!</definedName>
    <definedName name="F_19_480" localSheetId="18">#REF!</definedName>
    <definedName name="F_19_480">#REF!</definedName>
    <definedName name="F_19_510" localSheetId="18">#REF!</definedName>
    <definedName name="F_19_510">#REF!</definedName>
    <definedName name="F_19_540" localSheetId="18">#REF!</definedName>
    <definedName name="F_19_540">#REF!</definedName>
    <definedName name="F_19_570" localSheetId="18">#REF!</definedName>
    <definedName name="F_19_570">#REF!</definedName>
    <definedName name="F_19_60" localSheetId="18">#REF!</definedName>
    <definedName name="F_19_60">#REF!</definedName>
    <definedName name="F_19_600" localSheetId="18">#REF!</definedName>
    <definedName name="F_19_600">#REF!</definedName>
    <definedName name="F_19_630" localSheetId="18">#REF!</definedName>
    <definedName name="F_19_630">#REF!</definedName>
    <definedName name="F_19_660" localSheetId="18">#REF!</definedName>
    <definedName name="F_19_660">#REF!</definedName>
    <definedName name="F_19_690" localSheetId="18">#REF!</definedName>
    <definedName name="F_19_690">#REF!</definedName>
    <definedName name="F_19_720" localSheetId="18">#REF!</definedName>
    <definedName name="F_19_720">#REF!</definedName>
    <definedName name="F_19_90" localSheetId="18">#REF!</definedName>
    <definedName name="F_19_90">#REF!</definedName>
    <definedName name="F_20_120" localSheetId="18">#REF!</definedName>
    <definedName name="F_20_120">#REF!</definedName>
    <definedName name="F_20_150" localSheetId="18">#REF!</definedName>
    <definedName name="F_20_150">#REF!</definedName>
    <definedName name="F_20_180" localSheetId="18">#REF!</definedName>
    <definedName name="F_20_180">#REF!</definedName>
    <definedName name="F_20_210" localSheetId="18">#REF!</definedName>
    <definedName name="F_20_210">#REF!</definedName>
    <definedName name="F_20_240" localSheetId="18">#REF!</definedName>
    <definedName name="F_20_240">#REF!</definedName>
    <definedName name="F_20_270" localSheetId="18">#REF!</definedName>
    <definedName name="F_20_270">#REF!</definedName>
    <definedName name="F_20_30" localSheetId="18">#REF!</definedName>
    <definedName name="F_20_30">#REF!</definedName>
    <definedName name="F_20_300" localSheetId="18">#REF!</definedName>
    <definedName name="F_20_300">#REF!</definedName>
    <definedName name="F_20_330" localSheetId="18">#REF!</definedName>
    <definedName name="F_20_330">#REF!</definedName>
    <definedName name="F_20_360" localSheetId="18">#REF!</definedName>
    <definedName name="F_20_360">#REF!</definedName>
    <definedName name="F_20_390" localSheetId="18">#REF!</definedName>
    <definedName name="F_20_390">#REF!</definedName>
    <definedName name="F_20_420" localSheetId="18">#REF!</definedName>
    <definedName name="F_20_420">#REF!</definedName>
    <definedName name="F_20_450" localSheetId="18">#REF!</definedName>
    <definedName name="F_20_450">#REF!</definedName>
    <definedName name="F_20_480" localSheetId="18">#REF!</definedName>
    <definedName name="F_20_480">#REF!</definedName>
    <definedName name="F_20_510" localSheetId="18">#REF!</definedName>
    <definedName name="F_20_510">#REF!</definedName>
    <definedName name="F_20_540" localSheetId="18">#REF!</definedName>
    <definedName name="F_20_540">#REF!</definedName>
    <definedName name="F_20_570" localSheetId="18">#REF!</definedName>
    <definedName name="F_20_570">#REF!</definedName>
    <definedName name="F_20_60" localSheetId="18">#REF!</definedName>
    <definedName name="F_20_60">#REF!</definedName>
    <definedName name="F_20_600" localSheetId="18">#REF!</definedName>
    <definedName name="F_20_600">#REF!</definedName>
    <definedName name="F_20_630" localSheetId="18">#REF!</definedName>
    <definedName name="F_20_630">#REF!</definedName>
    <definedName name="F_20_660" localSheetId="18">#REF!</definedName>
    <definedName name="F_20_660">#REF!</definedName>
    <definedName name="F_20_690" localSheetId="18">#REF!</definedName>
    <definedName name="F_20_690">#REF!</definedName>
    <definedName name="F_20_720" localSheetId="18">#REF!</definedName>
    <definedName name="F_20_720">#REF!</definedName>
    <definedName name="F_20_90" localSheetId="18">#REF!</definedName>
    <definedName name="F_20_90">#REF!</definedName>
    <definedName name="FATOR_1" localSheetId="18">[15]RESUMO!#REF!</definedName>
    <definedName name="FATOR_1">[15]RESUMO!#REF!</definedName>
    <definedName name="FATOR1" localSheetId="18">[27]PLANILHA!#REF!</definedName>
    <definedName name="FATOR1">[28]PLANILHA!#REF!</definedName>
    <definedName name="FATOR2" localSheetId="18">[27]PLANILHA!#REF!</definedName>
    <definedName name="FATOR2">[28]PLANILHA!#REF!</definedName>
    <definedName name="FATOR3" localSheetId="18">[27]PLANILHA!#REF!</definedName>
    <definedName name="FATOR3">[28]PLANILHA!#REF!</definedName>
    <definedName name="FATOR4" localSheetId="18">[27]PLANILHA!#REF!</definedName>
    <definedName name="FATOR4">[28]PLANILHA!#REF!</definedName>
    <definedName name="FATOR5">[27]PLANILHA!#REF!</definedName>
    <definedName name="FatSabadoOut" localSheetId="18">'[32]TrafContExpan-NoPrint'!$O$5</definedName>
    <definedName name="FatSabadoOut">'[33]TrafContExpan-NoPrint'!$O$5</definedName>
    <definedName name="FatSextaOut" localSheetId="18">'[32]TrafContExpan-NoPrint'!$O$4</definedName>
    <definedName name="FatSextaOut">'[33]TrafContExpan-NoPrint'!$O$4</definedName>
    <definedName name="Fd" localSheetId="18">#REF!</definedName>
    <definedName name="Fd">#REF!</definedName>
    <definedName name="fe" localSheetId="18">Plan1</definedName>
    <definedName name="fe" localSheetId="0">Plan1</definedName>
    <definedName name="fe" localSheetId="1">Plan1</definedName>
    <definedName name="fe" localSheetId="4">Plan1</definedName>
    <definedName name="fe">Plan1</definedName>
    <definedName name="fer">[34]comp1!#REF!</definedName>
    <definedName name="FF" localSheetId="18">#REF!</definedName>
    <definedName name="FF">#REF!</definedName>
    <definedName name="FFF" hidden="1">#REF!</definedName>
    <definedName name="FFFFFFFFFF" hidden="1">#REF!</definedName>
    <definedName name="FOOR" localSheetId="18" hidden="1">{#N/A,#N/A,FALSE,"Plan1"}</definedName>
    <definedName name="FOOR" hidden="1">{#N/A,#N/A,FALSE,"Plan1"}</definedName>
    <definedName name="Formula" localSheetId="18">#REF!</definedName>
    <definedName name="Formula">#REF!</definedName>
    <definedName name="Formula_1" localSheetId="18">#REF!</definedName>
    <definedName name="Formula_1">#REF!</definedName>
    <definedName name="Formula_10" localSheetId="18">#REF!</definedName>
    <definedName name="Formula_10">#REF!</definedName>
    <definedName name="Formula_2" localSheetId="18">#REF!</definedName>
    <definedName name="Formula_2">#REF!</definedName>
    <definedName name="Formula_3" localSheetId="18">#REF!</definedName>
    <definedName name="Formula_3">#REF!</definedName>
    <definedName name="Formula_4" localSheetId="18">#REF!</definedName>
    <definedName name="Formula_4">#REF!</definedName>
    <definedName name="Formula_5" localSheetId="18">#REF!</definedName>
    <definedName name="Formula_5">#REF!</definedName>
    <definedName name="Formula_5_1" localSheetId="18">#REF!</definedName>
    <definedName name="Formula_5_1">#REF!</definedName>
    <definedName name="Formula_6" localSheetId="18">#REF!</definedName>
    <definedName name="Formula_6">#REF!</definedName>
    <definedName name="FORMULÁRIO" localSheetId="18" hidden="1">{#N/A,#N/A,FALSE,"Plan1"}</definedName>
    <definedName name="FORMULÁRIO" hidden="1">{#N/A,#N/A,FALSE,"Plan1"}</definedName>
    <definedName name="FORRO" localSheetId="18" hidden="1">{#N/A,#N/A,FALSE,"Plan1"}</definedName>
    <definedName name="FORRO" hidden="1">{#N/A,#N/A,FALSE,"Plan1"}</definedName>
    <definedName name="Frete" localSheetId="18">#REF!</definedName>
    <definedName name="Frete">#REF!</definedName>
    <definedName name="FRR" localSheetId="18" hidden="1">{#N/A,#N/A,FALSE,"Plan1"}</definedName>
    <definedName name="FRR" hidden="1">{#N/A,#N/A,FALSE,"Plan1"}</definedName>
    <definedName name="FS" localSheetId="18">#REF!</definedName>
    <definedName name="FS">#REF!</definedName>
    <definedName name="fuel" localSheetId="18">#REF!</definedName>
    <definedName name="fuel">#REF!</definedName>
    <definedName name="FUNDAÇÃO">'[2]Bm 8'!#REF!</definedName>
    <definedName name="FUNDAÇÃO2">[35]RESUMO!#REF!</definedName>
    <definedName name="FUNDAÇÃOREL">'[2]Bm 8'!#REF!</definedName>
    <definedName name="G_01_1" localSheetId="18">[15]RESUMO!#REF!</definedName>
    <definedName name="G_01_1">[15]RESUMO!#REF!</definedName>
    <definedName name="G_02_1" localSheetId="18">[15]RESUMO!#REF!</definedName>
    <definedName name="G_02_1">[15]RESUMO!#REF!</definedName>
    <definedName name="G_03_1" localSheetId="18">[15]RESUMO!#REF!</definedName>
    <definedName name="G_03_1">[15]RESUMO!#REF!</definedName>
    <definedName name="G_04_1" localSheetId="18">[15]RESUMO!#REF!</definedName>
    <definedName name="G_04_1">[15]RESUMO!#REF!</definedName>
    <definedName name="G_05_1" localSheetId="18">[15]RESUMO!#REF!</definedName>
    <definedName name="G_05_1">[15]RESUMO!#REF!</definedName>
    <definedName name="G_06_1" localSheetId="18">[15]RESUMO!#REF!</definedName>
    <definedName name="G_06_1">[15]RESUMO!#REF!</definedName>
    <definedName name="G_07_1" localSheetId="18">[15]RESUMO!#REF!</definedName>
    <definedName name="G_07_1">[15]RESUMO!#REF!</definedName>
    <definedName name="G_08_1" localSheetId="18">[15]RESUMO!#REF!</definedName>
    <definedName name="G_08_1">[15]RESUMO!#REF!</definedName>
    <definedName name="G_09_1" localSheetId="18">[15]RESUMO!#REF!</definedName>
    <definedName name="G_09_1">[15]RESUMO!#REF!</definedName>
    <definedName name="G_10_1" localSheetId="18">[15]RESUMO!#REF!</definedName>
    <definedName name="G_10_1">[15]RESUMO!#REF!</definedName>
    <definedName name="G_11_1" localSheetId="18">[15]RESUMO!#REF!</definedName>
    <definedName name="G_11_1">[15]RESUMO!#REF!</definedName>
    <definedName name="G_12_1" localSheetId="18">[15]RESUMO!#REF!</definedName>
    <definedName name="G_12_1">[15]RESUMO!#REF!</definedName>
    <definedName name="G_13_1" localSheetId="18">[15]RESUMO!#REF!</definedName>
    <definedName name="G_13_1">[15]RESUMO!#REF!</definedName>
    <definedName name="G_14_1" localSheetId="18">[15]RESUMO!#REF!</definedName>
    <definedName name="G_14_1">[15]RESUMO!#REF!</definedName>
    <definedName name="G_15_1" localSheetId="18">[15]RESUMO!#REF!</definedName>
    <definedName name="G_15_1">[15]RESUMO!#REF!</definedName>
    <definedName name="G_16_1" localSheetId="18">[15]RESUMO!#REF!</definedName>
    <definedName name="G_16_1">[15]RESUMO!#REF!</definedName>
    <definedName name="G_17_1" localSheetId="18">[15]RESUMO!#REF!</definedName>
    <definedName name="G_17_1">[15]RESUMO!#REF!</definedName>
    <definedName name="G_18_1" localSheetId="18">[15]RESUMO!#REF!</definedName>
    <definedName name="G_18_1">[15]RESUMO!#REF!</definedName>
    <definedName name="G_19_1" localSheetId="18">[15]RESUMO!#REF!</definedName>
    <definedName name="G_19_1">[15]RESUMO!#REF!</definedName>
    <definedName name="G_20_1" localSheetId="18">[15]RESUMO!#REF!</definedName>
    <definedName name="G_20_1">[15]RESUMO!#REF!</definedName>
    <definedName name="GABARITO" localSheetId="18">#REF!</definedName>
    <definedName name="GABARITO">#REF!</definedName>
    <definedName name="gas" localSheetId="18">#REF!</definedName>
    <definedName name="gas">#REF!</definedName>
    <definedName name="gen" localSheetId="18">#REF!</definedName>
    <definedName name="gen">#REF!</definedName>
    <definedName name="GER" localSheetId="18">[1]Reforma!#REF!</definedName>
    <definedName name="GER">[3]Reforma!#REF!</definedName>
    <definedName name="GER_PROJETO">'[30]01.01.01'!$N$51</definedName>
    <definedName name="GERAL" localSheetId="18">#REF!</definedName>
    <definedName name="GERAL">#REF!</definedName>
    <definedName name="gerenciamento" localSheetId="18">#REF!</definedName>
    <definedName name="gerenciamento">#REF!</definedName>
    <definedName name="GGGG" localSheetId="18">#REF!</definedName>
    <definedName name="GGGG">#REF!</definedName>
    <definedName name="gh" localSheetId="18">#REF!</definedName>
    <definedName name="gh">#REF!</definedName>
    <definedName name="GRAMA" localSheetId="18" hidden="1">{#N/A,#N/A,FALSE,"Plan1"}</definedName>
    <definedName name="GRAMA" hidden="1">{#N/A,#N/A,FALSE,"Plan1"}</definedName>
    <definedName name="Grau_de_Instrução">#REF!</definedName>
    <definedName name="Grau_de_Parentesco">#REF!</definedName>
    <definedName name="gvggg">'[4]Bm 8'!#REF!</definedName>
    <definedName name="hgt" localSheetId="18">Plan1</definedName>
    <definedName name="hgt" localSheetId="4">Plan1</definedName>
    <definedName name="hgt">Plan1</definedName>
    <definedName name="hhhh" localSheetId="18">#REF!</definedName>
    <definedName name="hhhh">#REF!</definedName>
    <definedName name="hora" localSheetId="18">#REF!</definedName>
    <definedName name="hora">#REF!</definedName>
    <definedName name="HSJDDOW">#REF!</definedName>
    <definedName name="I" localSheetId="18" hidden="1">[36]Poço!#REF!</definedName>
    <definedName name="I" hidden="1">[36]Poço!#REF!</definedName>
    <definedName name="Im" localSheetId="18">#REF!</definedName>
    <definedName name="Im">#REF!</definedName>
    <definedName name="Import.Desoneracao" hidden="1">OFFSET([37]DADOS!$G$18,0,-1)</definedName>
    <definedName name="Impostos" localSheetId="18">#REF!</definedName>
    <definedName name="Impostos">#REF!</definedName>
    <definedName name="INDICES" hidden="1">OFFSET('[38]COTAÇÕES '!$B$88,1,0):OFFSET('[38]COTAÇÕES '!$I$92,-1,0)</definedName>
    <definedName name="inss">#REF!</definedName>
    <definedName name="insumos" localSheetId="18">#REF!</definedName>
    <definedName name="insumos">#REF!</definedName>
    <definedName name="Io" localSheetId="18">#REF!</definedName>
    <definedName name="Io">#REF!</definedName>
    <definedName name="ISS" localSheetId="18">#REF!</definedName>
    <definedName name="ISS">#REF!</definedName>
    <definedName name="IT" localSheetId="18">#REF!</definedName>
    <definedName name="IT">#REF!</definedName>
    <definedName name="ITAPECURU">#REF!</definedName>
    <definedName name="ITEM" localSheetId="18">#REF!</definedName>
    <definedName name="ITEM">#REF!</definedName>
    <definedName name="item1.1" localSheetId="18">#REF!</definedName>
    <definedName name="item1.1">#REF!</definedName>
    <definedName name="item1.2" localSheetId="18">#REF!</definedName>
    <definedName name="item1.2">#REF!</definedName>
    <definedName name="item1.3" localSheetId="18">#REF!</definedName>
    <definedName name="item1.3">#REF!</definedName>
    <definedName name="item1.4" localSheetId="18">#REF!</definedName>
    <definedName name="item1.4">#REF!</definedName>
    <definedName name="item1.5" localSheetId="18">#REF!</definedName>
    <definedName name="item1.5">#REF!</definedName>
    <definedName name="item1.6" localSheetId="18">#REF!</definedName>
    <definedName name="item1.6">#REF!</definedName>
    <definedName name="item10.1" localSheetId="18">#REF!</definedName>
    <definedName name="item10.1">#REF!</definedName>
    <definedName name="item10.10" localSheetId="18">#REF!</definedName>
    <definedName name="item10.10">#REF!</definedName>
    <definedName name="item10.11" localSheetId="18">#REF!</definedName>
    <definedName name="item10.11">#REF!</definedName>
    <definedName name="item10.12" localSheetId="18">#REF!</definedName>
    <definedName name="item10.12">#REF!</definedName>
    <definedName name="item10.13" localSheetId="18">#REF!</definedName>
    <definedName name="item10.13">#REF!</definedName>
    <definedName name="item10.14" localSheetId="18">#REF!</definedName>
    <definedName name="item10.14">#REF!</definedName>
    <definedName name="item10.15" localSheetId="18">#REF!</definedName>
    <definedName name="item10.15">#REF!</definedName>
    <definedName name="item10.16" localSheetId="18">#REF!</definedName>
    <definedName name="item10.16">#REF!</definedName>
    <definedName name="item10.17" localSheetId="18">#REF!</definedName>
    <definedName name="item10.17">#REF!</definedName>
    <definedName name="item10.18" localSheetId="18">#REF!</definedName>
    <definedName name="item10.18">#REF!</definedName>
    <definedName name="item10.19" localSheetId="18">#REF!</definedName>
    <definedName name="item10.19">#REF!</definedName>
    <definedName name="item10.2" localSheetId="18">#REF!</definedName>
    <definedName name="item10.2">#REF!</definedName>
    <definedName name="item10.3" localSheetId="18">#REF!</definedName>
    <definedName name="item10.3">#REF!</definedName>
    <definedName name="item10.4" localSheetId="18">#REF!</definedName>
    <definedName name="item10.4">#REF!</definedName>
    <definedName name="item10.5" localSheetId="18">#REF!</definedName>
    <definedName name="item10.5">#REF!</definedName>
    <definedName name="item10.6" localSheetId="18">#REF!</definedName>
    <definedName name="item10.6">#REF!</definedName>
    <definedName name="item10.7" localSheetId="18">#REF!</definedName>
    <definedName name="item10.7">#REF!</definedName>
    <definedName name="item10.8" localSheetId="18">#REF!</definedName>
    <definedName name="item10.8">#REF!</definedName>
    <definedName name="item10.9" localSheetId="18">#REF!</definedName>
    <definedName name="item10.9">#REF!</definedName>
    <definedName name="item11.1" localSheetId="18">#REF!</definedName>
    <definedName name="item11.1">#REF!</definedName>
    <definedName name="item11.10" localSheetId="18">#REF!</definedName>
    <definedName name="item11.10">#REF!</definedName>
    <definedName name="item11.11" localSheetId="18">#REF!</definedName>
    <definedName name="item11.11">#REF!</definedName>
    <definedName name="item11.12" localSheetId="18">#REF!</definedName>
    <definedName name="item11.12">#REF!</definedName>
    <definedName name="item11.13" localSheetId="18">#REF!</definedName>
    <definedName name="item11.13">#REF!</definedName>
    <definedName name="item11.14" localSheetId="18">#REF!</definedName>
    <definedName name="item11.14">#REF!</definedName>
    <definedName name="item11.15" localSheetId="18">#REF!</definedName>
    <definedName name="item11.15">#REF!</definedName>
    <definedName name="item11.16" localSheetId="18">#REF!</definedName>
    <definedName name="item11.16">#REF!</definedName>
    <definedName name="item11.17" localSheetId="18">#REF!</definedName>
    <definedName name="item11.17">#REF!</definedName>
    <definedName name="item11.18" localSheetId="18">#REF!</definedName>
    <definedName name="item11.18">#REF!</definedName>
    <definedName name="item11.19" localSheetId="18">#REF!</definedName>
    <definedName name="item11.19">#REF!</definedName>
    <definedName name="item11.2" localSheetId="18">#REF!</definedName>
    <definedName name="item11.2">#REF!</definedName>
    <definedName name="item11.20" localSheetId="18">#REF!</definedName>
    <definedName name="item11.20">#REF!</definedName>
    <definedName name="item11.21" localSheetId="18">#REF!</definedName>
    <definedName name="item11.21">#REF!</definedName>
    <definedName name="item11.22" localSheetId="18">#REF!</definedName>
    <definedName name="item11.22">#REF!</definedName>
    <definedName name="item11.23" localSheetId="18">#REF!</definedName>
    <definedName name="item11.23">#REF!</definedName>
    <definedName name="item11.24" localSheetId="18">#REF!</definedName>
    <definedName name="item11.24">#REF!</definedName>
    <definedName name="item11.25" localSheetId="18">#REF!</definedName>
    <definedName name="item11.25">#REF!</definedName>
    <definedName name="item11.26" localSheetId="18">#REF!</definedName>
    <definedName name="item11.26">#REF!</definedName>
    <definedName name="item11.27" localSheetId="18">#REF!</definedName>
    <definedName name="item11.27">#REF!</definedName>
    <definedName name="item11.28" localSheetId="18">#REF!</definedName>
    <definedName name="item11.28">#REF!</definedName>
    <definedName name="item11.3" localSheetId="18">#REF!</definedName>
    <definedName name="item11.3">#REF!</definedName>
    <definedName name="item11.4" localSheetId="18">#REF!</definedName>
    <definedName name="item11.4">#REF!</definedName>
    <definedName name="item11.5" localSheetId="18">#REF!</definedName>
    <definedName name="item11.5">#REF!</definedName>
    <definedName name="item11.6" localSheetId="18">#REF!</definedName>
    <definedName name="item11.6">#REF!</definedName>
    <definedName name="item11.7" localSheetId="18">#REF!</definedName>
    <definedName name="item11.7">#REF!</definedName>
    <definedName name="item11.8" localSheetId="18">#REF!</definedName>
    <definedName name="item11.8">#REF!</definedName>
    <definedName name="item11.9" localSheetId="18">#REF!</definedName>
    <definedName name="item11.9">#REF!</definedName>
    <definedName name="item12.0" localSheetId="18">#REF!</definedName>
    <definedName name="item12.0">#REF!</definedName>
    <definedName name="item12.1" localSheetId="18">#REF!</definedName>
    <definedName name="item12.1">#REF!</definedName>
    <definedName name="item12.10" localSheetId="18">#REF!</definedName>
    <definedName name="item12.10">#REF!</definedName>
    <definedName name="item12.11" localSheetId="18">#REF!</definedName>
    <definedName name="item12.11">#REF!</definedName>
    <definedName name="item12.12" localSheetId="18">#REF!</definedName>
    <definedName name="item12.12">#REF!</definedName>
    <definedName name="item12.13" localSheetId="18">#REF!</definedName>
    <definedName name="item12.13">#REF!</definedName>
    <definedName name="item12.14" localSheetId="18">#REF!</definedName>
    <definedName name="item12.14">#REF!</definedName>
    <definedName name="item12.15" localSheetId="18">#REF!</definedName>
    <definedName name="item12.15">#REF!</definedName>
    <definedName name="item12.16" localSheetId="18">#REF!</definedName>
    <definedName name="item12.16">#REF!</definedName>
    <definedName name="item12.17" localSheetId="18">#REF!</definedName>
    <definedName name="item12.17">#REF!</definedName>
    <definedName name="item12.18" localSheetId="18">#REF!</definedName>
    <definedName name="item12.18">#REF!</definedName>
    <definedName name="item12.19" localSheetId="18">#REF!</definedName>
    <definedName name="item12.19">#REF!</definedName>
    <definedName name="item12.2" localSheetId="18">#REF!</definedName>
    <definedName name="item12.2">#REF!</definedName>
    <definedName name="item12.20" localSheetId="18">#REF!</definedName>
    <definedName name="item12.20">#REF!</definedName>
    <definedName name="item12.21" localSheetId="18">#REF!</definedName>
    <definedName name="item12.21">#REF!</definedName>
    <definedName name="item12.22" localSheetId="18">#REF!</definedName>
    <definedName name="item12.22">#REF!</definedName>
    <definedName name="item12.23" localSheetId="18">#REF!</definedName>
    <definedName name="item12.23">#REF!</definedName>
    <definedName name="item12.24" localSheetId="18">#REF!</definedName>
    <definedName name="item12.24">#REF!</definedName>
    <definedName name="item12.25" localSheetId="18">#REF!</definedName>
    <definedName name="item12.25">#REF!</definedName>
    <definedName name="item12.26" localSheetId="18">#REF!</definedName>
    <definedName name="item12.26">#REF!</definedName>
    <definedName name="item12.27" localSheetId="18">#REF!</definedName>
    <definedName name="item12.27">#REF!</definedName>
    <definedName name="item12.3" localSheetId="18">#REF!</definedName>
    <definedName name="item12.3">#REF!</definedName>
    <definedName name="item12.4" localSheetId="18">#REF!</definedName>
    <definedName name="item12.4">#REF!</definedName>
    <definedName name="item12.5" localSheetId="18">#REF!</definedName>
    <definedName name="item12.5">#REF!</definedName>
    <definedName name="item12.6" localSheetId="18">#REF!</definedName>
    <definedName name="item12.6">#REF!</definedName>
    <definedName name="item12.7" localSheetId="18">#REF!</definedName>
    <definedName name="item12.7">#REF!</definedName>
    <definedName name="item12.8" localSheetId="18">#REF!</definedName>
    <definedName name="item12.8">#REF!</definedName>
    <definedName name="item12.9" localSheetId="18">#REF!</definedName>
    <definedName name="item12.9">#REF!</definedName>
    <definedName name="item13.1" localSheetId="18">#REF!</definedName>
    <definedName name="item13.1">#REF!</definedName>
    <definedName name="item13.10" localSheetId="18">#REF!</definedName>
    <definedName name="item13.10">#REF!</definedName>
    <definedName name="item13.11" localSheetId="18">#REF!</definedName>
    <definedName name="item13.11">#REF!</definedName>
    <definedName name="item13.12" localSheetId="18">#REF!</definedName>
    <definedName name="item13.12">#REF!</definedName>
    <definedName name="item13.13" localSheetId="18">#REF!</definedName>
    <definedName name="item13.13">#REF!</definedName>
    <definedName name="item13.2" localSheetId="18">#REF!</definedName>
    <definedName name="item13.2">#REF!</definedName>
    <definedName name="item13.3" localSheetId="18">#REF!</definedName>
    <definedName name="item13.3">#REF!</definedName>
    <definedName name="item13.4" localSheetId="18">#REF!</definedName>
    <definedName name="item13.4">#REF!</definedName>
    <definedName name="item13.5" localSheetId="18">#REF!</definedName>
    <definedName name="item13.5">#REF!</definedName>
    <definedName name="item13.6" localSheetId="18">#REF!</definedName>
    <definedName name="item13.6">#REF!</definedName>
    <definedName name="item13.7" localSheetId="18">#REF!</definedName>
    <definedName name="item13.7">#REF!</definedName>
    <definedName name="item13.8" localSheetId="18">#REF!</definedName>
    <definedName name="item13.8">#REF!</definedName>
    <definedName name="item13.9" localSheetId="18">#REF!</definedName>
    <definedName name="item13.9">#REF!</definedName>
    <definedName name="item14.1" localSheetId="18">#REF!</definedName>
    <definedName name="item14.1">#REF!</definedName>
    <definedName name="item14.2" localSheetId="18">#REF!</definedName>
    <definedName name="item14.2">#REF!</definedName>
    <definedName name="item14.3" localSheetId="18">#REF!</definedName>
    <definedName name="item14.3">#REF!</definedName>
    <definedName name="item14.4" localSheetId="18">#REF!</definedName>
    <definedName name="item14.4">#REF!</definedName>
    <definedName name="item14.5" localSheetId="18">#REF!</definedName>
    <definedName name="item14.5">#REF!</definedName>
    <definedName name="item14.6" localSheetId="18">#REF!</definedName>
    <definedName name="item14.6">#REF!</definedName>
    <definedName name="item15.1" localSheetId="18">#REF!</definedName>
    <definedName name="item15.1">#REF!</definedName>
    <definedName name="item15.10" localSheetId="18">#REF!</definedName>
    <definedName name="item15.10">#REF!</definedName>
    <definedName name="item15.11" localSheetId="18">#REF!</definedName>
    <definedName name="item15.11">#REF!</definedName>
    <definedName name="item15.12" localSheetId="18">#REF!</definedName>
    <definedName name="item15.12">#REF!</definedName>
    <definedName name="item15.13" localSheetId="18">#REF!</definedName>
    <definedName name="item15.13">#REF!</definedName>
    <definedName name="item15.2" localSheetId="18">#REF!</definedName>
    <definedName name="item15.2">#REF!</definedName>
    <definedName name="item15.3" localSheetId="18">#REF!</definedName>
    <definedName name="item15.3">#REF!</definedName>
    <definedName name="item15.4" localSheetId="18">#REF!</definedName>
    <definedName name="item15.4">#REF!</definedName>
    <definedName name="item15.5" localSheetId="18">#REF!</definedName>
    <definedName name="item15.5">#REF!</definedName>
    <definedName name="item15.6" localSheetId="18">#REF!</definedName>
    <definedName name="item15.6">#REF!</definedName>
    <definedName name="item15.7" localSheetId="18">#REF!</definedName>
    <definedName name="item15.7">#REF!</definedName>
    <definedName name="item15.8" localSheetId="18">#REF!</definedName>
    <definedName name="item15.8">#REF!</definedName>
    <definedName name="item15.9" localSheetId="18">#REF!</definedName>
    <definedName name="item15.9">#REF!</definedName>
    <definedName name="item2.1" localSheetId="18">#REF!</definedName>
    <definedName name="item2.1">#REF!</definedName>
    <definedName name="item2.10" localSheetId="18">#REF!</definedName>
    <definedName name="item2.10">#REF!</definedName>
    <definedName name="item2.11" localSheetId="18">#REF!</definedName>
    <definedName name="item2.11">#REF!</definedName>
    <definedName name="item2.12" localSheetId="18">#REF!</definedName>
    <definedName name="item2.12">#REF!</definedName>
    <definedName name="item2.13" localSheetId="18">#REF!</definedName>
    <definedName name="item2.13">#REF!</definedName>
    <definedName name="item2.14" localSheetId="18">#REF!</definedName>
    <definedName name="item2.14">#REF!</definedName>
    <definedName name="item2.15" localSheetId="18">#REF!</definedName>
    <definedName name="item2.15">#REF!</definedName>
    <definedName name="item2.16" localSheetId="18">#REF!</definedName>
    <definedName name="item2.16">#REF!</definedName>
    <definedName name="item2.17" localSheetId="18">#REF!</definedName>
    <definedName name="item2.17">#REF!</definedName>
    <definedName name="item2.18" localSheetId="18">#REF!</definedName>
    <definedName name="item2.18">#REF!</definedName>
    <definedName name="item2.19" localSheetId="18">#REF!</definedName>
    <definedName name="item2.19">#REF!</definedName>
    <definedName name="item2.2" localSheetId="18">#REF!</definedName>
    <definedName name="item2.2">#REF!</definedName>
    <definedName name="item2.20" localSheetId="18">#REF!</definedName>
    <definedName name="item2.20">#REF!</definedName>
    <definedName name="item2.21" localSheetId="18">#REF!</definedName>
    <definedName name="item2.21">#REF!</definedName>
    <definedName name="item2.22" localSheetId="18">#REF!</definedName>
    <definedName name="item2.22">#REF!</definedName>
    <definedName name="item2.23" localSheetId="18">#REF!</definedName>
    <definedName name="item2.23">#REF!</definedName>
    <definedName name="item2.24" localSheetId="18">#REF!</definedName>
    <definedName name="item2.24">#REF!</definedName>
    <definedName name="item2.25" localSheetId="18">#REF!</definedName>
    <definedName name="item2.25">#REF!</definedName>
    <definedName name="item2.26" localSheetId="18">#REF!</definedName>
    <definedName name="item2.26">#REF!</definedName>
    <definedName name="item2.27" localSheetId="18">#REF!</definedName>
    <definedName name="item2.27">#REF!</definedName>
    <definedName name="item2.3" localSheetId="18">#REF!</definedName>
    <definedName name="item2.3">#REF!</definedName>
    <definedName name="item2.4" localSheetId="18">#REF!</definedName>
    <definedName name="item2.4">#REF!</definedName>
    <definedName name="item2.5" localSheetId="18">#REF!</definedName>
    <definedName name="item2.5">#REF!</definedName>
    <definedName name="item2.6" localSheetId="18">#REF!</definedName>
    <definedName name="item2.6">#REF!</definedName>
    <definedName name="item2.7" localSheetId="18">#REF!</definedName>
    <definedName name="item2.7">#REF!</definedName>
    <definedName name="item2.8" localSheetId="18">#REF!</definedName>
    <definedName name="item2.8">#REF!</definedName>
    <definedName name="item2.9" localSheetId="18">#REF!</definedName>
    <definedName name="item2.9">#REF!</definedName>
    <definedName name="item3.1" localSheetId="18">#REF!</definedName>
    <definedName name="item3.1">#REF!</definedName>
    <definedName name="item3.2" localSheetId="18">#REF!</definedName>
    <definedName name="item3.2">#REF!</definedName>
    <definedName name="item3.3" localSheetId="18">#REF!</definedName>
    <definedName name="item3.3">#REF!</definedName>
    <definedName name="item4.1" localSheetId="18">#REF!</definedName>
    <definedName name="item4.1">#REF!</definedName>
    <definedName name="item4.2" localSheetId="18">#REF!</definedName>
    <definedName name="item4.2">#REF!</definedName>
    <definedName name="item4.3" localSheetId="18">#REF!</definedName>
    <definedName name="item4.3">#REF!</definedName>
    <definedName name="item4.4" localSheetId="18">#REF!</definedName>
    <definedName name="item4.4">#REF!</definedName>
    <definedName name="item4.5" localSheetId="18">#REF!</definedName>
    <definedName name="item4.5">#REF!</definedName>
    <definedName name="item4.6" localSheetId="18">#REF!</definedName>
    <definedName name="item4.6">#REF!</definedName>
    <definedName name="item4.7" localSheetId="18">#REF!</definedName>
    <definedName name="item4.7">#REF!</definedName>
    <definedName name="item5.1" localSheetId="18">#REF!</definedName>
    <definedName name="item5.1">#REF!</definedName>
    <definedName name="item5.2" localSheetId="18">#REF!</definedName>
    <definedName name="item5.2">#REF!</definedName>
    <definedName name="item5.3" localSheetId="18">#REF!</definedName>
    <definedName name="item5.3">#REF!</definedName>
    <definedName name="item5.4" localSheetId="18">#REF!</definedName>
    <definedName name="item5.4">#REF!</definedName>
    <definedName name="item5.5" localSheetId="18">#REF!</definedName>
    <definedName name="item5.5">#REF!</definedName>
    <definedName name="item5.6" localSheetId="18">#REF!</definedName>
    <definedName name="item5.6">#REF!</definedName>
    <definedName name="item5.7" localSheetId="18">#REF!</definedName>
    <definedName name="item5.7">#REF!</definedName>
    <definedName name="item6.1" localSheetId="18">#REF!</definedName>
    <definedName name="item6.1">#REF!</definedName>
    <definedName name="item6.2" localSheetId="18">#REF!</definedName>
    <definedName name="item6.2">#REF!</definedName>
    <definedName name="item6.3" localSheetId="18">#REF!</definedName>
    <definedName name="item6.3">#REF!</definedName>
    <definedName name="item6.4" localSheetId="18">#REF!</definedName>
    <definedName name="item6.4">#REF!</definedName>
    <definedName name="item6.5" localSheetId="18">#REF!</definedName>
    <definedName name="item6.5">#REF!</definedName>
    <definedName name="item7.1" localSheetId="18">#REF!</definedName>
    <definedName name="item7.1">#REF!</definedName>
    <definedName name="item7.10" localSheetId="18">#REF!</definedName>
    <definedName name="item7.10">#REF!</definedName>
    <definedName name="item7.11" localSheetId="18">#REF!</definedName>
    <definedName name="item7.11">#REF!</definedName>
    <definedName name="item7.12" localSheetId="18">#REF!</definedName>
    <definedName name="item7.12">#REF!</definedName>
    <definedName name="item7.13" localSheetId="18">#REF!</definedName>
    <definedName name="item7.13">#REF!</definedName>
    <definedName name="item7.14" localSheetId="18">#REF!</definedName>
    <definedName name="item7.14">#REF!</definedName>
    <definedName name="item7.15" localSheetId="18">#REF!</definedName>
    <definedName name="item7.15">#REF!</definedName>
    <definedName name="item7.16" localSheetId="18">#REF!</definedName>
    <definedName name="item7.16">#REF!</definedName>
    <definedName name="item7.17" localSheetId="18">#REF!</definedName>
    <definedName name="item7.17">#REF!</definedName>
    <definedName name="item7.18" localSheetId="18">#REF!</definedName>
    <definedName name="item7.18">#REF!</definedName>
    <definedName name="item7.19" localSheetId="18">#REF!</definedName>
    <definedName name="item7.19">#REF!</definedName>
    <definedName name="item7.2" localSheetId="18">#REF!</definedName>
    <definedName name="item7.2">#REF!</definedName>
    <definedName name="item7.3" localSheetId="18">#REF!</definedName>
    <definedName name="item7.3">#REF!</definedName>
    <definedName name="item7.4" localSheetId="18">#REF!</definedName>
    <definedName name="item7.4">#REF!</definedName>
    <definedName name="item7.5" localSheetId="18">#REF!</definedName>
    <definedName name="item7.5">#REF!</definedName>
    <definedName name="item7.6" localSheetId="18">#REF!</definedName>
    <definedName name="item7.6">#REF!</definedName>
    <definedName name="item7.7" localSheetId="18">#REF!</definedName>
    <definedName name="item7.7">#REF!</definedName>
    <definedName name="item7.8" localSheetId="18">#REF!</definedName>
    <definedName name="item7.8">#REF!</definedName>
    <definedName name="item7.9" localSheetId="18">#REF!</definedName>
    <definedName name="item7.9">#REF!</definedName>
    <definedName name="item8.1" localSheetId="18">#REF!</definedName>
    <definedName name="item8.1">#REF!</definedName>
    <definedName name="item8.2" localSheetId="18">#REF!</definedName>
    <definedName name="item8.2">#REF!</definedName>
    <definedName name="item8.3" localSheetId="18">#REF!</definedName>
    <definedName name="item8.3">#REF!</definedName>
    <definedName name="item8.4" localSheetId="18">#REF!</definedName>
    <definedName name="item8.4">#REF!</definedName>
    <definedName name="item8.5" localSheetId="18">#REF!</definedName>
    <definedName name="item8.5">#REF!</definedName>
    <definedName name="item8.6" localSheetId="18">#REF!</definedName>
    <definedName name="item8.6">#REF!</definedName>
    <definedName name="item9.1" localSheetId="18">#REF!</definedName>
    <definedName name="item9.1">#REF!</definedName>
    <definedName name="item9.2" localSheetId="18">#REF!</definedName>
    <definedName name="item9.2">#REF!</definedName>
    <definedName name="item9.3" localSheetId="18">#REF!</definedName>
    <definedName name="item9.3">#REF!</definedName>
    <definedName name="item9.4" localSheetId="18">#REF!</definedName>
    <definedName name="item9.4">#REF!</definedName>
    <definedName name="item9.5" localSheetId="18">#REF!</definedName>
    <definedName name="item9.5">#REF!</definedName>
    <definedName name="item9.6" localSheetId="18">#REF!</definedName>
    <definedName name="item9.6">#REF!</definedName>
    <definedName name="item9.7" localSheetId="18">#REF!</definedName>
    <definedName name="item9.7">#REF!</definedName>
    <definedName name="item9.8" localSheetId="18">#REF!</definedName>
    <definedName name="item9.8">#REF!</definedName>
    <definedName name="item9.9" localSheetId="18">#REF!</definedName>
    <definedName name="item9.9">#REF!</definedName>
    <definedName name="itm10.2" localSheetId="18">#REF!</definedName>
    <definedName name="itm10.2">#REF!</definedName>
    <definedName name="J" hidden="1">#REF!</definedName>
    <definedName name="JARACATY">#REF!</definedName>
    <definedName name="Jd" localSheetId="18">#REF!</definedName>
    <definedName name="Jd">#REF!</definedName>
    <definedName name="JESUS" localSheetId="18">'[10]Refor Out_ 2001 _ BDI_20_ Ajust'!#REF!</definedName>
    <definedName name="JESUS">'[39]Refor Out. 2001 - BDI=20% Ajust'!#REF!</definedName>
    <definedName name="Jm" localSheetId="18">#REF!</definedName>
    <definedName name="Jm">#REF!</definedName>
    <definedName name="JTJ">#REF!</definedName>
    <definedName name="k" localSheetId="18">#REF!</definedName>
    <definedName name="k">#REF!</definedName>
    <definedName name="K1geral">'[40]PLANILHA QUANTITATIVA'!#REF!</definedName>
    <definedName name="KH" localSheetId="18">#REF!</definedName>
    <definedName name="KH">#REF!</definedName>
    <definedName name="km" localSheetId="18">#REF!</definedName>
    <definedName name="km">#REF!</definedName>
    <definedName name="KM.406.407" localSheetId="18">#REF!</definedName>
    <definedName name="KM.406.407">#REF!</definedName>
    <definedName name="kwh" localSheetId="18">#REF!</definedName>
    <definedName name="kwh">#REF!</definedName>
    <definedName name="LADRILHISTA">[41]INSUMOS!#REF!</definedName>
    <definedName name="LAGO_DA_PEDRA" localSheetId="18">#REF!</definedName>
    <definedName name="LAGO_DA_PEDRA">#REF!</definedName>
    <definedName name="limpa_totunit">'[42]Total e unitário'!$F$9:$F$12,'[42]Total e unitário'!$D$10:$D$11,'[42]Total e unitário'!$C$10:$C$12,'[42]Total e unitário'!$D$12,'[42]Total e unitário'!$E$10:$E$12,'[42]Total e unitário'!$C$14:$E$16,'[42]Total e unitário'!$F$14:$F$16,'[42]Total e unitário'!$D$19:$D$21,'[42]Total e unitário'!$C$19:$C$21,'[42]Total e unitário'!$E$19:$E$21,'[42]Total e unitário'!$F$19:$F$21,'[42]Total e unitário'!$C$23:$E$25,'[42]Total e unitário'!$F$23:$F$25,'[42]Total e unitário'!$G$7</definedName>
    <definedName name="lista" localSheetId="18">#REF!</definedName>
    <definedName name="lista">#REF!</definedName>
    <definedName name="lista.coluna" localSheetId="18">#REF!</definedName>
    <definedName name="lista.coluna">#REF!</definedName>
    <definedName name="lista.linha" localSheetId="18">#REF!</definedName>
    <definedName name="lista.linha">#REF!</definedName>
    <definedName name="lista2">#REF!</definedName>
    <definedName name="lll">#REF!</definedName>
    <definedName name="lllllllllllllllllllllll" localSheetId="18">Plan1</definedName>
    <definedName name="lllllllllllllllllllllll" localSheetId="4">Plan1</definedName>
    <definedName name="lllllllllllllllllllllll">Plan1</definedName>
    <definedName name="Local" localSheetId="18">#REF!</definedName>
    <definedName name="Local">#REF!</definedName>
    <definedName name="lourival" localSheetId="18">Plan1</definedName>
    <definedName name="lourival" localSheetId="4">Plan1</definedName>
    <definedName name="lourival">Plan1</definedName>
    <definedName name="lr" localSheetId="18">Plan1</definedName>
    <definedName name="lr" localSheetId="4">Plan1</definedName>
    <definedName name="lr">Plan1</definedName>
    <definedName name="LS">[43]BD!$B$1</definedName>
    <definedName name="Lucro" localSheetId="18">#REF!</definedName>
    <definedName name="Lucro">#REF!</definedName>
    <definedName name="Luva_lisa_de_alumínio_diam_20mm">#REF!</definedName>
    <definedName name="Luva_lisa_de_alumínio_diam_25mm">#REF!</definedName>
    <definedName name="Luva_lisa_de_alumínio_diam_32mm">#REF!</definedName>
    <definedName name="m" localSheetId="18">#REF!</definedName>
    <definedName name="m">#REF!</definedName>
    <definedName name="MAO_DE_OBRA_PARA_COLOCACAO_DE_VIDRO_COM_MASSA">[41]INSUMOS!#REF!</definedName>
    <definedName name="MAR" localSheetId="18">[1]Reforma!#REF!</definedName>
    <definedName name="MAR">[1]Reforma!#REF!</definedName>
    <definedName name="MAT" localSheetId="18">#REF!</definedName>
    <definedName name="MAT">#REF!</definedName>
    <definedName name="material" localSheetId="18">#REF!</definedName>
    <definedName name="material">#REF!</definedName>
    <definedName name="MEMORIA" localSheetId="18">#REF!</definedName>
    <definedName name="MEMORIA">#REF!</definedName>
    <definedName name="Memóriapiso">[17]Pontes!#REF!</definedName>
    <definedName name="MÊS" localSheetId="18">#REF!</definedName>
    <definedName name="MÊS">#REF!</definedName>
    <definedName name="Meses">"al!$A$26:$G$31;Anual!$I$26:$O$31;Anual!$Q$26:$W$31;Anual!$A$17:$G$22;Anual!$I$17:$O$22;Anual!$Q$17:$W$22;Anual!$Q$8:$W$13;Anual!$I$8:$O$13;Anual!$A$8:$G$13"</definedName>
    <definedName name="MKMKM">'[4]Bm 8'!#REF!</definedName>
    <definedName name="MMM">'[44]Planilha PROJETISTA'!#REF!</definedName>
    <definedName name="MMMM" hidden="1">[45]Poço!#REF!</definedName>
    <definedName name="MMMMMM" localSheetId="18">[1]Reforma!#REF!</definedName>
    <definedName name="MMMMMM">[1]Reforma!#REF!</definedName>
    <definedName name="MNBVC">#REF!</definedName>
    <definedName name="MO" localSheetId="18">#REF!</definedName>
    <definedName name="MO">#REF!</definedName>
    <definedName name="mobra">[34]comp1!#REF!</definedName>
    <definedName name="MOD_I" hidden="1">[46]Poço!#REF!</definedName>
    <definedName name="N">[47]Orçamento!$AS$4</definedName>
    <definedName name="NC">'[48]Orçamento Proposta 1'!$AO$1</definedName>
    <definedName name="ND">'[49]ENTRADA DE DADOS'!$E$5</definedName>
    <definedName name="NI">[47]Orçamento!$AS$3</definedName>
    <definedName name="nil" localSheetId="18">#REF!</definedName>
    <definedName name="nil">#REF!</definedName>
    <definedName name="NN">'[50]ENTRADA DE DADOS'!$C$5</definedName>
    <definedName name="NOME" localSheetId="18">'[20]Cad.Fornecedores'!$B$1:$B$65536</definedName>
    <definedName name="NOME">'[21]Cad.Fornecedores'!$B$1:$B$65536</definedName>
    <definedName name="NOME1" localSheetId="18">#REF!</definedName>
    <definedName name="NOME1">#REF!</definedName>
    <definedName name="NOME1_6" localSheetId="18">#REF!</definedName>
    <definedName name="NOME1_6">#REF!</definedName>
    <definedName name="NOTA1">#REF!</definedName>
    <definedName name="NOTA10">#REF!</definedName>
    <definedName name="NOTA11">#REF!</definedName>
    <definedName name="NOTA2">#REF!</definedName>
    <definedName name="NOTA3">#REF!</definedName>
    <definedName name="NOTA4">#REF!</definedName>
    <definedName name="NOTA5">#REF!</definedName>
    <definedName name="NOTA6">#REF!</definedName>
    <definedName name="NOTA7">#REF!</definedName>
    <definedName name="NOTA8">#REF!</definedName>
    <definedName name="NOTA9">#REF!</definedName>
    <definedName name="NOVA">#REF!</definedName>
    <definedName name="NPNE" localSheetId="18">#REF!</definedName>
    <definedName name="NPNE">#REF!</definedName>
    <definedName name="nr.ag.lote">#REF!</definedName>
    <definedName name="nr.ag.lote_1">[51]PRINCIPAL!#REF!</definedName>
    <definedName name="OBRA" localSheetId="18">#REF!</definedName>
    <definedName name="OBRA">#REF!</definedName>
    <definedName name="Oficial">[14]Preços!$C$278</definedName>
    <definedName name="OI">[27]PLANILHA!#REF!</definedName>
    <definedName name="ok" localSheetId="18">#REF!</definedName>
    <definedName name="ok">#REF!</definedName>
    <definedName name="ol">'[13]Ser-Sac'!$B$4</definedName>
    <definedName name="Orçamento" localSheetId="18">#REF!</definedName>
    <definedName name="Orçamento">#REF!</definedName>
    <definedName name="ORÇAMENTO.BancoRef" hidden="1">#REF!</definedName>
    <definedName name="ORÇAMENTO.CustoUnitario" hidden="1">ROUND(#REF!,15-13*#REF!)</definedName>
    <definedName name="ORÇAMENTO.PrecoUnitarioLicitado" hidden="1">#REF!</definedName>
    <definedName name="Orçamento_Básico" localSheetId="18">#REF!</definedName>
    <definedName name="Orçamento_Básico">#REF!</definedName>
    <definedName name="p" localSheetId="18">#REF!</definedName>
    <definedName name="p">#REF!</definedName>
    <definedName name="Parcial" localSheetId="18">#REF!</definedName>
    <definedName name="Parcial">#REF!</definedName>
    <definedName name="PEDREIRAS">#REF!</definedName>
    <definedName name="pessoal" localSheetId="18">#REF!</definedName>
    <definedName name="pessoal">#REF!</definedName>
    <definedName name="PINHEIRO">#REF!</definedName>
    <definedName name="PL_ABC" localSheetId="18">#REF!</definedName>
    <definedName name="PL_ABC">#REF!</definedName>
    <definedName name="PL_DNER_BARREIRO">#REF!</definedName>
    <definedName name="PL_PB_BARREIRO">#REF!</definedName>
    <definedName name="planejado">[52]Planejado!$C$40</definedName>
    <definedName name="planilha" localSheetId="18">#REF!</definedName>
    <definedName name="planilha">#REF!</definedName>
    <definedName name="PLANILHA1" localSheetId="18">#REF!</definedName>
    <definedName name="PLANILHA1">#REF!</definedName>
    <definedName name="planuilha">#REF!</definedName>
    <definedName name="PNE">[47]Orçamento!$AS$2</definedName>
    <definedName name="pontenova" localSheetId="18" hidden="1">{#N/A,#N/A,FALSE,"Planilha";#N/A,#N/A,FALSE,"Resumo";#N/A,#N/A,FALSE,"Fisico";#N/A,#N/A,FALSE,"Financeiro";#N/A,#N/A,FALSE,"Financeiro"}</definedName>
    <definedName name="pontenova" hidden="1">{#N/A,#N/A,FALSE,"Planilha";#N/A,#N/A,FALSE,"Resumo";#N/A,#N/A,FALSE,"Fisico";#N/A,#N/A,FALSE,"Financeiro";#N/A,#N/A,FALSE,"Financeiro"}</definedName>
    <definedName name="portico" localSheetId="18">#REF!</definedName>
    <definedName name="portico">#REF!</definedName>
    <definedName name="ppp" localSheetId="18">[34]comp1!#REF!</definedName>
    <definedName name="ppp">[34]comp1!#REF!</definedName>
    <definedName name="Preço_Unitário_1" localSheetId="18">[15]RESUMO!#REF!</definedName>
    <definedName name="Preço_Unitário_1">[15]RESUMO!#REF!</definedName>
    <definedName name="PrecoPEAD" localSheetId="18">#REF!</definedName>
    <definedName name="PrecoPEAD">#REF!</definedName>
    <definedName name="PREÇOTUBO" localSheetId="18">#REF!</definedName>
    <definedName name="PREÇOTUBO">#REF!</definedName>
    <definedName name="PRINT_AREA" localSheetId="18">#REF!</definedName>
    <definedName name="PRINT_AREA">#REF!</definedName>
    <definedName name="PRINT_AREA_MI" localSheetId="18">#REF!</definedName>
    <definedName name="Print_Area_MI">#REF!</definedName>
    <definedName name="PRINT_TITLES" localSheetId="18">#REF!</definedName>
    <definedName name="PRINT_TITLES">#REF!</definedName>
    <definedName name="PRINT_TITLES_MI" localSheetId="18">#REF!</definedName>
    <definedName name="PRINT_TITLES_MI">#REF!</definedName>
    <definedName name="Ptotal" localSheetId="18">ROUND(#REF!*#REF!,2)</definedName>
    <definedName name="Ptotal">ROUND(#REF!*#REF!,2)</definedName>
    <definedName name="PUnit10" localSheetId="18">'[53]PLANILHA (2)'!F1*'[53]PLANILHA (2)'!$P$1</definedName>
    <definedName name="PUnit10">'[54]PLANILHA (2)'!F1*'[54]PLANILHA (2)'!$P$1</definedName>
    <definedName name="PUnit11" localSheetId="18">'[53]PLANILHA (2)'!L1*'[53]PLANILHA (2)'!$P$1</definedName>
    <definedName name="PUnit11">'[54]PLANILHA (2)'!L1*'[54]PLANILHA (2)'!$P$1</definedName>
    <definedName name="PUnit12" localSheetId="18">'[53]PLANILHA (2)'!I1*'[53]PLANILHA (2)'!$P$1</definedName>
    <definedName name="PUnit12">'[54]PLANILHA (2)'!I1*'[54]PLANILHA (2)'!$P$1</definedName>
    <definedName name="PVC" localSheetId="18">#REF!</definedName>
    <definedName name="PVC">#REF!</definedName>
    <definedName name="Q" localSheetId="18">#REF!</definedName>
    <definedName name="q">#REF!</definedName>
    <definedName name="Quadra" localSheetId="18" hidden="1">{#N/A,#N/A,FALSE,"MO (2)"}</definedName>
    <definedName name="Quadra" hidden="1">{#N/A,#N/A,FALSE,"MO (2)"}</definedName>
    <definedName name="qualquer">[17]Pontes!#REF!</definedName>
    <definedName name="Quant." localSheetId="18">#REF!</definedName>
    <definedName name="Quant.">#REF!</definedName>
    <definedName name="Quantidade_1" localSheetId="18">[15]RESUMO!#REF!</definedName>
    <definedName name="Quantidade_1">[15]RESUMO!#REF!</definedName>
    <definedName name="Quantidades" localSheetId="18" hidden="1">{#N/A,#N/A,FALSE,"MO (2)"}</definedName>
    <definedName name="Quantidades" hidden="1">{#N/A,#N/A,FALSE,"MO (2)"}</definedName>
    <definedName name="RAN1_2" localSheetId="18">#REF!</definedName>
    <definedName name="RAN1_2">#REF!</definedName>
    <definedName name="RAN1_3" localSheetId="18">#REF!</definedName>
    <definedName name="RAN1_3">#REF!</definedName>
    <definedName name="Reajustamento" localSheetId="18">#REF!</definedName>
    <definedName name="Reajustamento">#REF!</definedName>
    <definedName name="REATERRO_DE_VALAS_COMPACTADO_MECANICAMENTE" localSheetId="18">#REF!</definedName>
    <definedName name="REATERRO_DE_VALAS_COMPACTADO_MECANICAMENTE">#REF!</definedName>
    <definedName name="REDE" localSheetId="18">Plan1</definedName>
    <definedName name="REDE" localSheetId="4">Plan1</definedName>
    <definedName name="REDE">Plan1</definedName>
    <definedName name="REDE2" localSheetId="18">'[4]Bm 8'!#REF!</definedName>
    <definedName name="REDE2">'[4]Bm 8'!#REF!</definedName>
    <definedName name="REFEITO" localSheetId="18" hidden="1">{#N/A,#N/A,FALSE,"Plan1"}</definedName>
    <definedName name="REFEITO" hidden="1">{#N/A,#N/A,FALSE,"Plan1"}</definedName>
    <definedName name="REFERENCIA.Descricao" localSheetId="18" hidden="1">IF(ISNUMBER(#REF!),OFFSET(INDIRECT(ORÇAMENTO.BancoRef),#REF!-1,3,1),#REF!)</definedName>
    <definedName name="REFERENCIA.Descricao" hidden="1">IF(ISNUMBER(#REF!),OFFSET(INDIRECT(ORÇAMENTO.BancoRef),#REF!-1,3,1),#REF!)</definedName>
    <definedName name="REFERENCIA.Desonerado" hidden="1">IF(ISNUMBER('ORÇAMENTO (F)'!$AG1),VALUE(OFFSET(INDIRECT(ORÇAMENTO.BancoRef),'ORÇAMENTO (F)'!$AG1-1,5,1)),0)</definedName>
    <definedName name="REFERENCIA.NaoDesonerado" hidden="1">IF(ISNUMBER('ORÇAMENTO (F)'!$AG1),VALUE(OFFSET(INDIRECT(ORÇAMENTO.BancoRef),'ORÇAMENTO (F)'!$AG1-1,6,1)),0)</definedName>
    <definedName name="REFERENCIA.Unidade" localSheetId="18" hidden="1">IF(ISNUMBER(#REF!),OFFSET(INDIRECT(ORÇAMENTO.BancoRef),#REF!-1,4,1),"-")</definedName>
    <definedName name="REFERENCIA.Unidade" hidden="1">IF(ISNUMBER(#REF!),OFFSET(INDIRECT(ORÇAMENTO.BancoRef),#REF!-1,4,1),"-")</definedName>
    <definedName name="relequip" localSheetId="18">#REF!</definedName>
    <definedName name="relequip">#REF!</definedName>
    <definedName name="RES_CPS" localSheetId="18">#REF!</definedName>
    <definedName name="RES_CPS">#REF!</definedName>
    <definedName name="RESUMO" localSheetId="18" hidden="1">{#N/A,#N/A,FALSE,"Plan1"}</definedName>
    <definedName name="RESUMO" hidden="1">{#N/A,#N/A,FALSE,"Plan1"}</definedName>
    <definedName name="RESUMO2" localSheetId="18">#REF!</definedName>
    <definedName name="RESUMO2">#REF!</definedName>
    <definedName name="RESVALORES" localSheetId="18">#REF!</definedName>
    <definedName name="RESVALORES">#REF!</definedName>
    <definedName name="rr" localSheetId="18">#REF!</definedName>
    <definedName name="rr">#REF!</definedName>
    <definedName name="rt">'[13]Ser-Price'!$B$95</definedName>
    <definedName name="RUA" localSheetId="18">#REF!</definedName>
    <definedName name="RUA">#REF!</definedName>
    <definedName name="s" localSheetId="18">{#N/A,#N/A,FALSE,"MO (2)"}</definedName>
    <definedName name="s" hidden="1">{#N/A,#N/A,FALSE,"MO (2)"}</definedName>
    <definedName name="Sal">[55]Sal!$B$4:$G$80</definedName>
    <definedName name="SANTA_INÊS" localSheetId="18">#REF!</definedName>
    <definedName name="SANTA_INÊS">#REF!</definedName>
    <definedName name="SE_02_14" localSheetId="18">'[56]Planilha PROJETISTA'!#REF!</definedName>
    <definedName name="SE_02_14">'[56]Planilha PROJETISTA'!#REF!</definedName>
    <definedName name="SEINFRA" localSheetId="18">#REF!</definedName>
    <definedName name="SEINFRA">#REF!</definedName>
    <definedName name="sencount" hidden="1">1</definedName>
    <definedName name="senha" localSheetId="18">#REF!</definedName>
    <definedName name="senha">#REF!</definedName>
    <definedName name="serv" localSheetId="18">#REF!</definedName>
    <definedName name="serv">#REF!</definedName>
    <definedName name="servico" localSheetId="18">#REF!</definedName>
    <definedName name="servico">#REF!</definedName>
    <definedName name="SG_01_01_1" localSheetId="18">[15]RESUMO!#REF!</definedName>
    <definedName name="SG_01_01_1">[15]RESUMO!#REF!</definedName>
    <definedName name="SG_01_02_1" localSheetId="18">[15]RESUMO!#REF!</definedName>
    <definedName name="SG_01_02_1">[15]RESUMO!#REF!</definedName>
    <definedName name="SG_01_03_1" localSheetId="18">[15]RESUMO!#REF!</definedName>
    <definedName name="SG_01_03_1">[15]RESUMO!#REF!</definedName>
    <definedName name="SG_01_04" localSheetId="18">'[56]Planilha PROJETISTA'!#REF!</definedName>
    <definedName name="SG_01_04">'[56]Planilha PROJETISTA'!#REF!</definedName>
    <definedName name="SG_01_04_1" localSheetId="18">[15]RESUMO!#REF!</definedName>
    <definedName name="SG_01_04_1">[15]RESUMO!#REF!</definedName>
    <definedName name="SG_01_05" localSheetId="18">'[56]Planilha PROJETISTA'!#REF!</definedName>
    <definedName name="SG_01_05">'[56]Planilha PROJETISTA'!#REF!</definedName>
    <definedName name="SG_01_05_1" localSheetId="18">[15]RESUMO!#REF!</definedName>
    <definedName name="SG_01_05_1">[15]RESUMO!#REF!</definedName>
    <definedName name="SG_01_06" localSheetId="18">'[56]Planilha PROJETISTA'!#REF!</definedName>
    <definedName name="SG_01_06">'[56]Planilha PROJETISTA'!#REF!</definedName>
    <definedName name="SG_01_06_1" localSheetId="18">[15]RESUMO!#REF!</definedName>
    <definedName name="SG_01_06_1">[15]RESUMO!#REF!</definedName>
    <definedName name="SG_01_07" localSheetId="18">'[56]Planilha PROJETISTA'!#REF!</definedName>
    <definedName name="SG_01_07">'[56]Planilha PROJETISTA'!#REF!</definedName>
    <definedName name="SG_01_07_1" localSheetId="18">[15]RESUMO!#REF!</definedName>
    <definedName name="SG_01_07_1">[15]RESUMO!#REF!</definedName>
    <definedName name="SG_01_08" localSheetId="18">'[56]Planilha PROJETISTA'!#REF!</definedName>
    <definedName name="SG_01_08">'[56]Planilha PROJETISTA'!#REF!</definedName>
    <definedName name="SG_01_08_1" localSheetId="18">[15]RESUMO!#REF!</definedName>
    <definedName name="SG_01_08_1">[15]RESUMO!#REF!</definedName>
    <definedName name="SG_01_09" localSheetId="18">'[56]Planilha PROJETISTA'!#REF!</definedName>
    <definedName name="SG_01_09">'[56]Planilha PROJETISTA'!#REF!</definedName>
    <definedName name="SG_01_09_1" localSheetId="18">[15]RESUMO!#REF!</definedName>
    <definedName name="SG_01_09_1">[15]RESUMO!#REF!</definedName>
    <definedName name="SG_01_10" localSheetId="18">'[56]Planilha PROJETISTA'!#REF!</definedName>
    <definedName name="SG_01_10">'[56]Planilha PROJETISTA'!#REF!</definedName>
    <definedName name="SG_01_10_1" localSheetId="18">[15]RESUMO!#REF!</definedName>
    <definedName name="SG_01_10_1">[15]RESUMO!#REF!</definedName>
    <definedName name="SG_01_11" localSheetId="18">'[56]Planilha PROJETISTA'!#REF!</definedName>
    <definedName name="SG_01_11">'[56]Planilha PROJETISTA'!#REF!</definedName>
    <definedName name="SG_01_11_1" localSheetId="18">[15]RESUMO!#REF!</definedName>
    <definedName name="SG_01_11_1">[15]RESUMO!#REF!</definedName>
    <definedName name="SG_01_12" localSheetId="18">'[56]Planilha PROJETISTA'!#REF!</definedName>
    <definedName name="SG_01_12">'[56]Planilha PROJETISTA'!#REF!</definedName>
    <definedName name="SG_01_12_1" localSheetId="18">[15]RESUMO!#REF!</definedName>
    <definedName name="SG_01_12_1">[15]RESUMO!#REF!</definedName>
    <definedName name="SG_01_13" localSheetId="18">'[56]Planilha PROJETISTA'!#REF!</definedName>
    <definedName name="SG_01_13">'[56]Planilha PROJETISTA'!#REF!</definedName>
    <definedName name="SG_01_13_1" localSheetId="18">[15]RESUMO!#REF!</definedName>
    <definedName name="SG_01_13_1">[15]RESUMO!#REF!</definedName>
    <definedName name="SG_01_14" localSheetId="18">'[56]Planilha PROJETISTA'!#REF!</definedName>
    <definedName name="SG_01_14">'[56]Planilha PROJETISTA'!#REF!</definedName>
    <definedName name="SG_01_14_1" localSheetId="18">[15]RESUMO!#REF!</definedName>
    <definedName name="SG_01_14_1">[15]RESUMO!#REF!</definedName>
    <definedName name="SG_01_15" localSheetId="18">'[56]Planilha PROJETISTA'!#REF!</definedName>
    <definedName name="SG_01_15">'[56]Planilha PROJETISTA'!#REF!</definedName>
    <definedName name="SG_01_15_1" localSheetId="18">[15]RESUMO!#REF!</definedName>
    <definedName name="SG_01_15_1">[15]RESUMO!#REF!</definedName>
    <definedName name="SG_01_16" localSheetId="18">'[56]Planilha PROJETISTA'!#REF!</definedName>
    <definedName name="SG_01_16">'[56]Planilha PROJETISTA'!#REF!</definedName>
    <definedName name="SG_01_16_1" localSheetId="18">[15]RESUMO!#REF!</definedName>
    <definedName name="SG_01_16_1">[15]RESUMO!#REF!</definedName>
    <definedName name="SG_01_17" localSheetId="18">'[56]Planilha PROJETISTA'!#REF!</definedName>
    <definedName name="SG_01_17">'[56]Planilha PROJETISTA'!#REF!</definedName>
    <definedName name="SG_01_17_1" localSheetId="18">[15]RESUMO!#REF!</definedName>
    <definedName name="SG_01_17_1">[15]RESUMO!#REF!</definedName>
    <definedName name="SG_01_18" localSheetId="18">'[56]Planilha PROJETISTA'!#REF!</definedName>
    <definedName name="SG_01_18">'[56]Planilha PROJETISTA'!#REF!</definedName>
    <definedName name="SG_01_18_1" localSheetId="18">[15]RESUMO!#REF!</definedName>
    <definedName name="SG_01_18_1">[15]RESUMO!#REF!</definedName>
    <definedName name="SG_01_19" localSheetId="18">'[56]Planilha PROJETISTA'!#REF!</definedName>
    <definedName name="SG_01_19">'[56]Planilha PROJETISTA'!#REF!</definedName>
    <definedName name="SG_01_19_1" localSheetId="18">[15]RESUMO!#REF!</definedName>
    <definedName name="SG_01_19_1">[15]RESUMO!#REF!</definedName>
    <definedName name="SG_01_20" localSheetId="18">'[56]Planilha PROJETISTA'!#REF!</definedName>
    <definedName name="SG_01_20">'[56]Planilha PROJETISTA'!#REF!</definedName>
    <definedName name="SG_01_20_1" localSheetId="18">[15]RESUMO!#REF!</definedName>
    <definedName name="SG_01_20_1">[15]RESUMO!#REF!</definedName>
    <definedName name="SG_02_01_1" localSheetId="18">[15]RESUMO!#REF!</definedName>
    <definedName name="SG_02_01_1">[15]RESUMO!#REF!</definedName>
    <definedName name="SG_02_02_1" localSheetId="18">[15]RESUMO!#REF!</definedName>
    <definedName name="SG_02_02_1">[15]RESUMO!#REF!</definedName>
    <definedName name="SG_02_03_1" localSheetId="18">[15]RESUMO!#REF!</definedName>
    <definedName name="SG_02_03_1">[15]RESUMO!#REF!</definedName>
    <definedName name="SG_02_04_1" localSheetId="18">[15]RESUMO!#REF!</definedName>
    <definedName name="SG_02_04_1">[15]RESUMO!#REF!</definedName>
    <definedName name="SG_02_05_1" localSheetId="18">[15]RESUMO!#REF!</definedName>
    <definedName name="SG_02_05_1">[15]RESUMO!#REF!</definedName>
    <definedName name="SG_02_06_1" localSheetId="18">[15]RESUMO!#REF!</definedName>
    <definedName name="SG_02_06_1">[15]RESUMO!#REF!</definedName>
    <definedName name="SG_02_07_1" localSheetId="18">[15]RESUMO!#REF!</definedName>
    <definedName name="SG_02_07_1">[15]RESUMO!#REF!</definedName>
    <definedName name="SG_02_08_1" localSheetId="18">[15]RESUMO!#REF!</definedName>
    <definedName name="SG_02_08_1">[15]RESUMO!#REF!</definedName>
    <definedName name="SG_02_09" localSheetId="18">'[56]Planilha PROJETISTA'!#REF!</definedName>
    <definedName name="SG_02_09">'[56]Planilha PROJETISTA'!#REF!</definedName>
    <definedName name="SG_02_09_1" localSheetId="18">[15]RESUMO!#REF!</definedName>
    <definedName name="SG_02_09_1">[15]RESUMO!#REF!</definedName>
    <definedName name="SG_02_10" localSheetId="18">'[56]Planilha PROJETISTA'!#REF!</definedName>
    <definedName name="SG_02_10">'[56]Planilha PROJETISTA'!#REF!</definedName>
    <definedName name="SG_02_10_1" localSheetId="18">[15]RESUMO!#REF!</definedName>
    <definedName name="SG_02_10_1">[15]RESUMO!#REF!</definedName>
    <definedName name="SG_02_11" localSheetId="18">'[56]Planilha PROJETISTA'!#REF!</definedName>
    <definedName name="SG_02_11">'[56]Planilha PROJETISTA'!#REF!</definedName>
    <definedName name="SG_02_11_1" localSheetId="18">[15]RESUMO!#REF!</definedName>
    <definedName name="SG_02_11_1">[15]RESUMO!#REF!</definedName>
    <definedName name="SG_02_12" localSheetId="18">'[56]Planilha PROJETISTA'!#REF!</definedName>
    <definedName name="SG_02_12">'[56]Planilha PROJETISTA'!#REF!</definedName>
    <definedName name="SG_02_12_1" localSheetId="18">[15]RESUMO!#REF!</definedName>
    <definedName name="SG_02_12_1">[15]RESUMO!#REF!</definedName>
    <definedName name="SG_02_13" localSheetId="18">'[56]Planilha PROJETISTA'!#REF!</definedName>
    <definedName name="SG_02_13">'[56]Planilha PROJETISTA'!#REF!</definedName>
    <definedName name="SG_02_13_1" localSheetId="18">[15]RESUMO!#REF!</definedName>
    <definedName name="SG_02_13_1">[15]RESUMO!#REF!</definedName>
    <definedName name="SG_02_14" localSheetId="18">'[56]Planilha PROJETISTA'!#REF!</definedName>
    <definedName name="SG_02_14">'[56]Planilha PROJETISTA'!#REF!</definedName>
    <definedName name="SG_02_14_1" localSheetId="18">[15]RESUMO!#REF!</definedName>
    <definedName name="SG_02_14_1">[15]RESUMO!#REF!</definedName>
    <definedName name="SG_02_15" localSheetId="18">'[56]Planilha PROJETISTA'!#REF!</definedName>
    <definedName name="SG_02_15">'[56]Planilha PROJETISTA'!#REF!</definedName>
    <definedName name="SG_02_15_1" localSheetId="18">[15]RESUMO!#REF!</definedName>
    <definedName name="SG_02_15_1">[15]RESUMO!#REF!</definedName>
    <definedName name="SG_02_16" localSheetId="18">'[56]Planilha PROJETISTA'!#REF!</definedName>
    <definedName name="SG_02_16">'[56]Planilha PROJETISTA'!#REF!</definedName>
    <definedName name="SG_02_16_1" localSheetId="18">[15]RESUMO!#REF!</definedName>
    <definedName name="SG_02_16_1">[15]RESUMO!#REF!</definedName>
    <definedName name="SG_02_17" localSheetId="18">'[56]Planilha PROJETISTA'!#REF!</definedName>
    <definedName name="SG_02_17">'[56]Planilha PROJETISTA'!#REF!</definedName>
    <definedName name="SG_02_17_1" localSheetId="18">[15]RESUMO!#REF!</definedName>
    <definedName name="SG_02_17_1">[15]RESUMO!#REF!</definedName>
    <definedName name="SG_02_18" localSheetId="18">'[56]Planilha PROJETISTA'!#REF!</definedName>
    <definedName name="SG_02_18">'[56]Planilha PROJETISTA'!#REF!</definedName>
    <definedName name="SG_02_18_1" localSheetId="18">[15]RESUMO!#REF!</definedName>
    <definedName name="SG_02_18_1">[15]RESUMO!#REF!</definedName>
    <definedName name="SG_02_19" localSheetId="18">'[56]Planilha PROJETISTA'!#REF!</definedName>
    <definedName name="SG_02_19">'[56]Planilha PROJETISTA'!#REF!</definedName>
    <definedName name="SG_02_19_1" localSheetId="18">[15]RESUMO!#REF!</definedName>
    <definedName name="SG_02_19_1">[15]RESUMO!#REF!</definedName>
    <definedName name="SG_02_20" localSheetId="18">'[56]Planilha PROJETISTA'!#REF!</definedName>
    <definedName name="SG_02_20">'[56]Planilha PROJETISTA'!#REF!</definedName>
    <definedName name="SG_02_20_1" localSheetId="18">[15]RESUMO!#REF!</definedName>
    <definedName name="SG_02_20_1">[15]RESUMO!#REF!</definedName>
    <definedName name="SG_03_01_1" localSheetId="18">[15]RESUMO!#REF!</definedName>
    <definedName name="SG_03_01_1">[15]RESUMO!#REF!</definedName>
    <definedName name="SG_03_02_1" localSheetId="18">[15]RESUMO!#REF!</definedName>
    <definedName name="SG_03_02_1">[15]RESUMO!#REF!</definedName>
    <definedName name="SG_03_03_1" localSheetId="18">[15]RESUMO!#REF!</definedName>
    <definedName name="SG_03_03_1">[15]RESUMO!#REF!</definedName>
    <definedName name="SG_03_04_1" localSheetId="18">[15]RESUMO!#REF!</definedName>
    <definedName name="SG_03_04_1">[15]RESUMO!#REF!</definedName>
    <definedName name="SG_03_05_1" localSheetId="18">[15]RESUMO!#REF!</definedName>
    <definedName name="SG_03_05_1">[15]RESUMO!#REF!</definedName>
    <definedName name="SG_03_06_1" localSheetId="18">[15]RESUMO!#REF!</definedName>
    <definedName name="SG_03_06_1">[15]RESUMO!#REF!</definedName>
    <definedName name="SG_03_07_1" localSheetId="18">[15]RESUMO!#REF!</definedName>
    <definedName name="SG_03_07_1">[15]RESUMO!#REF!</definedName>
    <definedName name="SG_03_08_1" localSheetId="18">[15]RESUMO!#REF!</definedName>
    <definedName name="SG_03_08_1">[15]RESUMO!#REF!</definedName>
    <definedName name="SG_03_09_1" localSheetId="18">[15]RESUMO!#REF!</definedName>
    <definedName name="SG_03_09_1">[15]RESUMO!#REF!</definedName>
    <definedName name="SG_03_10_1" localSheetId="18">[15]RESUMO!#REF!</definedName>
    <definedName name="SG_03_10_1">[15]RESUMO!#REF!</definedName>
    <definedName name="SG_03_11_1" localSheetId="18">[15]RESUMO!#REF!</definedName>
    <definedName name="SG_03_11_1">[15]RESUMO!#REF!</definedName>
    <definedName name="SG_03_12_1" localSheetId="18">[15]RESUMO!#REF!</definedName>
    <definedName name="SG_03_12_1">[15]RESUMO!#REF!</definedName>
    <definedName name="SG_03_13_1" localSheetId="18">[15]RESUMO!#REF!</definedName>
    <definedName name="SG_03_13_1">[15]RESUMO!#REF!</definedName>
    <definedName name="SG_03_14_1" localSheetId="18">[15]RESUMO!#REF!</definedName>
    <definedName name="SG_03_14_1">[15]RESUMO!#REF!</definedName>
    <definedName name="SG_03_15_1" localSheetId="18">[15]RESUMO!#REF!</definedName>
    <definedName name="SG_03_15_1">[15]RESUMO!#REF!</definedName>
    <definedName name="SG_03_16" localSheetId="18">'[56]Planilha PROJETISTA'!#REF!</definedName>
    <definedName name="SG_03_16">'[56]Planilha PROJETISTA'!#REF!</definedName>
    <definedName name="SG_03_16_1" localSheetId="18">[15]RESUMO!#REF!</definedName>
    <definedName name="SG_03_16_1">[15]RESUMO!#REF!</definedName>
    <definedName name="SG_03_17" localSheetId="18">'[56]Planilha PROJETISTA'!#REF!</definedName>
    <definedName name="SG_03_17">'[56]Planilha PROJETISTA'!#REF!</definedName>
    <definedName name="SG_03_17_1" localSheetId="18">[15]RESUMO!#REF!</definedName>
    <definedName name="SG_03_17_1">[15]RESUMO!#REF!</definedName>
    <definedName name="SG_03_18" localSheetId="18">'[56]Planilha PROJETISTA'!#REF!</definedName>
    <definedName name="SG_03_18">'[56]Planilha PROJETISTA'!#REF!</definedName>
    <definedName name="SG_03_18_1" localSheetId="18">[15]RESUMO!#REF!</definedName>
    <definedName name="SG_03_18_1">[15]RESUMO!#REF!</definedName>
    <definedName name="SG_03_19" localSheetId="18">'[56]Planilha PROJETISTA'!#REF!</definedName>
    <definedName name="SG_03_19">'[56]Planilha PROJETISTA'!#REF!</definedName>
    <definedName name="SG_03_19_1" localSheetId="18">[15]RESUMO!#REF!</definedName>
    <definedName name="SG_03_19_1">[15]RESUMO!#REF!</definedName>
    <definedName name="SG_03_20" localSheetId="18">'[56]Planilha PROJETISTA'!#REF!</definedName>
    <definedName name="SG_03_20">'[56]Planilha PROJETISTA'!#REF!</definedName>
    <definedName name="SG_03_20_1" localSheetId="18">[15]RESUMO!#REF!</definedName>
    <definedName name="SG_03_20_1">[15]RESUMO!#REF!</definedName>
    <definedName name="SG_04_01_1" localSheetId="18">[15]RESUMO!#REF!</definedName>
    <definedName name="SG_04_01_1">[15]RESUMO!#REF!</definedName>
    <definedName name="SG_04_02_1" localSheetId="18">[15]RESUMO!#REF!</definedName>
    <definedName name="SG_04_02_1">[15]RESUMO!#REF!</definedName>
    <definedName name="SG_04_03_1" localSheetId="18">[15]RESUMO!#REF!</definedName>
    <definedName name="SG_04_03_1">[15]RESUMO!#REF!</definedName>
    <definedName name="SG_04_04" localSheetId="18">'[56]Planilha PROJETISTA'!#REF!</definedName>
    <definedName name="SG_04_04">'[56]Planilha PROJETISTA'!#REF!</definedName>
    <definedName name="SG_04_04_1" localSheetId="18">[15]RESUMO!#REF!</definedName>
    <definedName name="SG_04_04_1">[15]RESUMO!#REF!</definedName>
    <definedName name="SG_04_05" localSheetId="18">'[56]Planilha PROJETISTA'!#REF!</definedName>
    <definedName name="SG_04_05">'[56]Planilha PROJETISTA'!#REF!</definedName>
    <definedName name="SG_04_05_1" localSheetId="18">[15]RESUMO!#REF!</definedName>
    <definedName name="SG_04_05_1">[15]RESUMO!#REF!</definedName>
    <definedName name="SG_04_06" localSheetId="18">'[56]Planilha PROJETISTA'!#REF!</definedName>
    <definedName name="SG_04_06">'[56]Planilha PROJETISTA'!#REF!</definedName>
    <definedName name="SG_04_06_1" localSheetId="18">[15]RESUMO!#REF!</definedName>
    <definedName name="SG_04_06_1">[15]RESUMO!#REF!</definedName>
    <definedName name="SG_04_07" localSheetId="18">'[56]Planilha PROJETISTA'!#REF!</definedName>
    <definedName name="SG_04_07">'[56]Planilha PROJETISTA'!#REF!</definedName>
    <definedName name="SG_04_07_1" localSheetId="18">[15]RESUMO!#REF!</definedName>
    <definedName name="SG_04_07_1">[15]RESUMO!#REF!</definedName>
    <definedName name="SG_04_08" localSheetId="18">'[56]Planilha PROJETISTA'!#REF!</definedName>
    <definedName name="SG_04_08">'[56]Planilha PROJETISTA'!#REF!</definedName>
    <definedName name="SG_04_08_1" localSheetId="18">[15]RESUMO!#REF!</definedName>
    <definedName name="SG_04_08_1">[15]RESUMO!#REF!</definedName>
    <definedName name="SG_04_09" localSheetId="18">'[56]Planilha PROJETISTA'!#REF!</definedName>
    <definedName name="SG_04_09">'[56]Planilha PROJETISTA'!#REF!</definedName>
    <definedName name="SG_04_09_1" localSheetId="18">[15]RESUMO!#REF!</definedName>
    <definedName name="SG_04_09_1">[15]RESUMO!#REF!</definedName>
    <definedName name="SG_04_10" localSheetId="18">'[56]Planilha PROJETISTA'!#REF!</definedName>
    <definedName name="SG_04_10">'[56]Planilha PROJETISTA'!#REF!</definedName>
    <definedName name="SG_04_10_1" localSheetId="18">[15]RESUMO!#REF!</definedName>
    <definedName name="SG_04_10_1">[15]RESUMO!#REF!</definedName>
    <definedName name="SG_04_11" localSheetId="18">'[56]Planilha PROJETISTA'!#REF!</definedName>
    <definedName name="SG_04_11">'[56]Planilha PROJETISTA'!#REF!</definedName>
    <definedName name="SG_04_11_1" localSheetId="18">[15]RESUMO!#REF!</definedName>
    <definedName name="SG_04_11_1">[15]RESUMO!#REF!</definedName>
    <definedName name="SG_04_12" localSheetId="18">'[56]Planilha PROJETISTA'!#REF!</definedName>
    <definedName name="SG_04_12">'[56]Planilha PROJETISTA'!#REF!</definedName>
    <definedName name="SG_04_12_1" localSheetId="18">[15]RESUMO!#REF!</definedName>
    <definedName name="SG_04_12_1">[15]RESUMO!#REF!</definedName>
    <definedName name="SG_04_13" localSheetId="18">'[56]Planilha PROJETISTA'!#REF!</definedName>
    <definedName name="SG_04_13">'[56]Planilha PROJETISTA'!#REF!</definedName>
    <definedName name="SG_04_13_1" localSheetId="18">[15]RESUMO!#REF!</definedName>
    <definedName name="SG_04_13_1">[15]RESUMO!#REF!</definedName>
    <definedName name="SG_04_14" localSheetId="18">'[56]Planilha PROJETISTA'!#REF!</definedName>
    <definedName name="SG_04_14">'[56]Planilha PROJETISTA'!#REF!</definedName>
    <definedName name="SG_04_14_1" localSheetId="18">[15]RESUMO!#REF!</definedName>
    <definedName name="SG_04_14_1">[15]RESUMO!#REF!</definedName>
    <definedName name="SG_04_15" localSheetId="18">'[56]Planilha PROJETISTA'!#REF!</definedName>
    <definedName name="SG_04_15">'[56]Planilha PROJETISTA'!#REF!</definedName>
    <definedName name="SG_04_15_1" localSheetId="18">[15]RESUMO!#REF!</definedName>
    <definedName name="SG_04_15_1">[15]RESUMO!#REF!</definedName>
    <definedName name="SG_04_16" localSheetId="18">'[56]Planilha PROJETISTA'!#REF!</definedName>
    <definedName name="SG_04_16">'[56]Planilha PROJETISTA'!#REF!</definedName>
    <definedName name="SG_04_16_1" localSheetId="18">[15]RESUMO!#REF!</definedName>
    <definedName name="SG_04_16_1">[15]RESUMO!#REF!</definedName>
    <definedName name="SG_04_17" localSheetId="18">'[56]Planilha PROJETISTA'!#REF!</definedName>
    <definedName name="SG_04_17">'[56]Planilha PROJETISTA'!#REF!</definedName>
    <definedName name="SG_04_17_1" localSheetId="18">[15]RESUMO!#REF!</definedName>
    <definedName name="SG_04_17_1">[15]RESUMO!#REF!</definedName>
    <definedName name="SG_04_18" localSheetId="18">'[56]Planilha PROJETISTA'!#REF!</definedName>
    <definedName name="SG_04_18">'[56]Planilha PROJETISTA'!#REF!</definedName>
    <definedName name="SG_04_18_1" localSheetId="18">[15]RESUMO!#REF!</definedName>
    <definedName name="SG_04_18_1">[15]RESUMO!#REF!</definedName>
    <definedName name="SG_04_19" localSheetId="18">'[56]Planilha PROJETISTA'!#REF!</definedName>
    <definedName name="SG_04_19">'[56]Planilha PROJETISTA'!#REF!</definedName>
    <definedName name="SG_04_19_1" localSheetId="18">[15]RESUMO!#REF!</definedName>
    <definedName name="SG_04_19_1">[15]RESUMO!#REF!</definedName>
    <definedName name="SG_04_20" localSheetId="18">'[56]Planilha PROJETISTA'!#REF!</definedName>
    <definedName name="SG_04_20">'[56]Planilha PROJETISTA'!#REF!</definedName>
    <definedName name="SG_04_20_1" localSheetId="18">[15]RESUMO!#REF!</definedName>
    <definedName name="SG_04_20_1">[15]RESUMO!#REF!</definedName>
    <definedName name="SG_05_01_1" localSheetId="18">[15]RESUMO!#REF!</definedName>
    <definedName name="SG_05_01_1">[15]RESUMO!#REF!</definedName>
    <definedName name="SG_05_02" localSheetId="18">'[56]Planilha PROJETISTA'!#REF!</definedName>
    <definedName name="SG_05_02">'[56]Planilha PROJETISTA'!#REF!</definedName>
    <definedName name="SG_05_02_1" localSheetId="18">[15]RESUMO!#REF!</definedName>
    <definedName name="SG_05_02_1">[15]RESUMO!#REF!</definedName>
    <definedName name="SG_05_03" localSheetId="18">'[56]Planilha PROJETISTA'!#REF!</definedName>
    <definedName name="SG_05_03">'[56]Planilha PROJETISTA'!#REF!</definedName>
    <definedName name="SG_05_03_1" localSheetId="18">[15]RESUMO!#REF!</definedName>
    <definedName name="SG_05_03_1">[15]RESUMO!#REF!</definedName>
    <definedName name="SG_05_04_1" localSheetId="18">[15]RESUMO!#REF!</definedName>
    <definedName name="SG_05_04_1">[15]RESUMO!#REF!</definedName>
    <definedName name="SG_05_05_1" localSheetId="18">[15]RESUMO!#REF!</definedName>
    <definedName name="SG_05_05_1">[15]RESUMO!#REF!</definedName>
    <definedName name="SG_05_06_1" localSheetId="18">[15]RESUMO!#REF!</definedName>
    <definedName name="SG_05_06_1">[15]RESUMO!#REF!</definedName>
    <definedName name="SG_05_07" localSheetId="18">'[56]Planilha PROJETISTA'!#REF!</definedName>
    <definedName name="SG_05_07">'[56]Planilha PROJETISTA'!#REF!</definedName>
    <definedName name="SG_05_07_1" localSheetId="18">[15]RESUMO!#REF!</definedName>
    <definedName name="SG_05_07_1">[15]RESUMO!#REF!</definedName>
    <definedName name="SG_05_08" localSheetId="18">'[56]Planilha PROJETISTA'!#REF!</definedName>
    <definedName name="SG_05_08">'[56]Planilha PROJETISTA'!#REF!</definedName>
    <definedName name="SG_05_08_1" localSheetId="18">[15]RESUMO!#REF!</definedName>
    <definedName name="SG_05_08_1">[15]RESUMO!#REF!</definedName>
    <definedName name="SG_05_09_1" localSheetId="18">[15]RESUMO!#REF!</definedName>
    <definedName name="SG_05_09_1">[15]RESUMO!#REF!</definedName>
    <definedName name="SG_05_10_1" localSheetId="18">[15]RESUMO!#REF!</definedName>
    <definedName name="SG_05_10_1">[15]RESUMO!#REF!</definedName>
    <definedName name="SG_05_11" localSheetId="18">'[56]Planilha PROJETISTA'!#REF!</definedName>
    <definedName name="SG_05_11">'[56]Planilha PROJETISTA'!#REF!</definedName>
    <definedName name="SG_05_11_1" localSheetId="18">[15]RESUMO!#REF!</definedName>
    <definedName name="SG_05_11_1">[15]RESUMO!#REF!</definedName>
    <definedName name="SG_05_12_1" localSheetId="18">[15]RESUMO!#REF!</definedName>
    <definedName name="SG_05_12_1">[15]RESUMO!#REF!</definedName>
    <definedName name="SG_05_13_1" localSheetId="18">[15]RESUMO!#REF!</definedName>
    <definedName name="SG_05_13_1">[15]RESUMO!#REF!</definedName>
    <definedName name="SG_05_14" localSheetId="18">'[56]Planilha PROJETISTA'!#REF!</definedName>
    <definedName name="SG_05_14">'[56]Planilha PROJETISTA'!#REF!</definedName>
    <definedName name="SG_05_14_1" localSheetId="18">[15]RESUMO!#REF!</definedName>
    <definedName name="SG_05_14_1">[15]RESUMO!#REF!</definedName>
    <definedName name="SG_05_15" localSheetId="18">'[56]Planilha PROJETISTA'!#REF!</definedName>
    <definedName name="SG_05_15">'[56]Planilha PROJETISTA'!#REF!</definedName>
    <definedName name="SG_05_15_1" localSheetId="18">[15]RESUMO!#REF!</definedName>
    <definedName name="SG_05_15_1">[15]RESUMO!#REF!</definedName>
    <definedName name="SG_05_16" localSheetId="18">'[56]Planilha PROJETISTA'!#REF!</definedName>
    <definedName name="SG_05_16">'[56]Planilha PROJETISTA'!#REF!</definedName>
    <definedName name="SG_05_16_1" localSheetId="18">[15]RESUMO!#REF!</definedName>
    <definedName name="SG_05_16_1">[15]RESUMO!#REF!</definedName>
    <definedName name="SG_05_17" localSheetId="18">'[56]Planilha PROJETISTA'!#REF!</definedName>
    <definedName name="SG_05_17">'[56]Planilha PROJETISTA'!#REF!</definedName>
    <definedName name="SG_05_17_1" localSheetId="18">[15]RESUMO!#REF!</definedName>
    <definedName name="SG_05_17_1">[15]RESUMO!#REF!</definedName>
    <definedName name="SG_05_18" localSheetId="18">'[56]Planilha PROJETISTA'!#REF!</definedName>
    <definedName name="SG_05_18">'[56]Planilha PROJETISTA'!#REF!</definedName>
    <definedName name="SG_05_18_1" localSheetId="18">[15]RESUMO!#REF!</definedName>
    <definedName name="SG_05_18_1">[15]RESUMO!#REF!</definedName>
    <definedName name="SG_05_19" localSheetId="18">'[56]Planilha PROJETISTA'!#REF!</definedName>
    <definedName name="SG_05_19">'[56]Planilha PROJETISTA'!#REF!</definedName>
    <definedName name="SG_05_19_1" localSheetId="18">[15]RESUMO!#REF!</definedName>
    <definedName name="SG_05_19_1">[15]RESUMO!#REF!</definedName>
    <definedName name="SG_05_20" localSheetId="18">'[56]Planilha PROJETISTA'!#REF!</definedName>
    <definedName name="SG_05_20">'[56]Planilha PROJETISTA'!#REF!</definedName>
    <definedName name="SG_05_20_1" localSheetId="18">[15]RESUMO!#REF!</definedName>
    <definedName name="SG_05_20_1">[15]RESUMO!#REF!</definedName>
    <definedName name="SG_06_01_1" localSheetId="18">[15]RESUMO!#REF!</definedName>
    <definedName name="SG_06_01_1">[15]RESUMO!#REF!</definedName>
    <definedName name="SG_06_02_1" localSheetId="18">[15]RESUMO!#REF!</definedName>
    <definedName name="SG_06_02_1">[15]RESUMO!#REF!</definedName>
    <definedName name="SG_06_03_1" localSheetId="18">[15]RESUMO!#REF!</definedName>
    <definedName name="SG_06_03_1">[15]RESUMO!#REF!</definedName>
    <definedName name="SG_06_04" localSheetId="18">'[56]Planilha PROJETISTA'!#REF!</definedName>
    <definedName name="SG_06_04">'[56]Planilha PROJETISTA'!#REF!</definedName>
    <definedName name="SG_06_04_1" localSheetId="18">[15]RESUMO!#REF!</definedName>
    <definedName name="SG_06_04_1">[15]RESUMO!#REF!</definedName>
    <definedName name="SG_06_05" localSheetId="18">'[56]Planilha PROJETISTA'!#REF!</definedName>
    <definedName name="SG_06_05">'[56]Planilha PROJETISTA'!#REF!</definedName>
    <definedName name="SG_06_05_1" localSheetId="18">[15]RESUMO!#REF!</definedName>
    <definedName name="SG_06_05_1">[15]RESUMO!#REF!</definedName>
    <definedName name="SG_06_06" localSheetId="18">'[56]Planilha PROJETISTA'!#REF!</definedName>
    <definedName name="SG_06_06">'[56]Planilha PROJETISTA'!#REF!</definedName>
    <definedName name="SG_06_06_1" localSheetId="18">[15]RESUMO!#REF!</definedName>
    <definedName name="SG_06_06_1">[15]RESUMO!#REF!</definedName>
    <definedName name="SG_06_07" localSheetId="18">'[56]Planilha PROJETISTA'!#REF!</definedName>
    <definedName name="SG_06_07">'[56]Planilha PROJETISTA'!#REF!</definedName>
    <definedName name="SG_06_07_1" localSheetId="18">[15]RESUMO!#REF!</definedName>
    <definedName name="SG_06_07_1">[15]RESUMO!#REF!</definedName>
    <definedName name="SG_06_08" localSheetId="18">'[56]Planilha PROJETISTA'!#REF!</definedName>
    <definedName name="SG_06_08">'[56]Planilha PROJETISTA'!#REF!</definedName>
    <definedName name="SG_06_08_1" localSheetId="18">[15]RESUMO!#REF!</definedName>
    <definedName name="SG_06_08_1">[15]RESUMO!#REF!</definedName>
    <definedName name="SG_06_09" localSheetId="18">'[56]Planilha PROJETISTA'!#REF!</definedName>
    <definedName name="SG_06_09">'[56]Planilha PROJETISTA'!#REF!</definedName>
    <definedName name="SG_06_09_1" localSheetId="18">[15]RESUMO!#REF!</definedName>
    <definedName name="SG_06_09_1">[15]RESUMO!#REF!</definedName>
    <definedName name="SG_06_10" localSheetId="18">'[56]Planilha PROJETISTA'!#REF!</definedName>
    <definedName name="SG_06_10">'[56]Planilha PROJETISTA'!#REF!</definedName>
    <definedName name="SG_06_10_1" localSheetId="18">[15]RESUMO!#REF!</definedName>
    <definedName name="SG_06_10_1">[15]RESUMO!#REF!</definedName>
    <definedName name="SG_06_11" localSheetId="18">'[56]Planilha PROJETISTA'!#REF!</definedName>
    <definedName name="SG_06_11">'[56]Planilha PROJETISTA'!#REF!</definedName>
    <definedName name="SG_06_11_1" localSheetId="18">[15]RESUMO!#REF!</definedName>
    <definedName name="SG_06_11_1">[15]RESUMO!#REF!</definedName>
    <definedName name="SG_06_12" localSheetId="18">'[56]Planilha PROJETISTA'!#REF!</definedName>
    <definedName name="SG_06_12">'[56]Planilha PROJETISTA'!#REF!</definedName>
    <definedName name="SG_06_12_1" localSheetId="18">[15]RESUMO!#REF!</definedName>
    <definedName name="SG_06_12_1">[15]RESUMO!#REF!</definedName>
    <definedName name="SG_06_13" localSheetId="18">'[56]Planilha PROJETISTA'!#REF!</definedName>
    <definedName name="SG_06_13">'[56]Planilha PROJETISTA'!#REF!</definedName>
    <definedName name="SG_06_13_1" localSheetId="18">[15]RESUMO!#REF!</definedName>
    <definedName name="SG_06_13_1">[15]RESUMO!#REF!</definedName>
    <definedName name="SG_06_14" localSheetId="18">'[56]Planilha PROJETISTA'!#REF!</definedName>
    <definedName name="SG_06_14">'[56]Planilha PROJETISTA'!#REF!</definedName>
    <definedName name="SG_06_14_1" localSheetId="18">[15]RESUMO!#REF!</definedName>
    <definedName name="SG_06_14_1">[15]RESUMO!#REF!</definedName>
    <definedName name="SG_06_15" localSheetId="18">'[56]Planilha PROJETISTA'!#REF!</definedName>
    <definedName name="SG_06_15">'[56]Planilha PROJETISTA'!#REF!</definedName>
    <definedName name="SG_06_15_1" localSheetId="18">[15]RESUMO!#REF!</definedName>
    <definedName name="SG_06_15_1">[15]RESUMO!#REF!</definedName>
    <definedName name="SG_06_16" localSheetId="18">'[56]Planilha PROJETISTA'!#REF!</definedName>
    <definedName name="SG_06_16">'[56]Planilha PROJETISTA'!#REF!</definedName>
    <definedName name="SG_06_16_1" localSheetId="18">[15]RESUMO!#REF!</definedName>
    <definedName name="SG_06_16_1">[15]RESUMO!#REF!</definedName>
    <definedName name="SG_06_17" localSheetId="18">'[56]Planilha PROJETISTA'!#REF!</definedName>
    <definedName name="SG_06_17">'[56]Planilha PROJETISTA'!#REF!</definedName>
    <definedName name="SG_06_17_1" localSheetId="18">[15]RESUMO!#REF!</definedName>
    <definedName name="SG_06_17_1">[15]RESUMO!#REF!</definedName>
    <definedName name="SG_06_18" localSheetId="18">'[56]Planilha PROJETISTA'!#REF!</definedName>
    <definedName name="SG_06_18">'[56]Planilha PROJETISTA'!#REF!</definedName>
    <definedName name="SG_06_18_1" localSheetId="18">[15]RESUMO!#REF!</definedName>
    <definedName name="SG_06_18_1">[15]RESUMO!#REF!</definedName>
    <definedName name="SG_06_19" localSheetId="18">'[56]Planilha PROJETISTA'!#REF!</definedName>
    <definedName name="SG_06_19">'[56]Planilha PROJETISTA'!#REF!</definedName>
    <definedName name="SG_06_19_1" localSheetId="18">[15]RESUMO!#REF!</definedName>
    <definedName name="SG_06_19_1">[15]RESUMO!#REF!</definedName>
    <definedName name="SG_06_20" localSheetId="18">'[56]Planilha PROJETISTA'!#REF!</definedName>
    <definedName name="SG_06_20">'[56]Planilha PROJETISTA'!#REF!</definedName>
    <definedName name="SG_06_20_1" localSheetId="18">[15]RESUMO!#REF!</definedName>
    <definedName name="SG_06_20_1">[15]RESUMO!#REF!</definedName>
    <definedName name="SG_07_01_1" localSheetId="18">[15]RESUMO!#REF!</definedName>
    <definedName name="SG_07_01_1">[15]RESUMO!#REF!</definedName>
    <definedName name="SG_07_02" localSheetId="18">'[56]Planilha PROJETISTA'!#REF!</definedName>
    <definedName name="SG_07_02">'[56]Planilha PROJETISTA'!#REF!</definedName>
    <definedName name="SG_07_02_1" localSheetId="18">[15]RESUMO!#REF!</definedName>
    <definedName name="SG_07_02_1">[15]RESUMO!#REF!</definedName>
    <definedName name="SG_07_03" localSheetId="18">'[56]Planilha PROJETISTA'!#REF!</definedName>
    <definedName name="SG_07_03">'[56]Planilha PROJETISTA'!#REF!</definedName>
    <definedName name="SG_07_03_1" localSheetId="18">[15]RESUMO!#REF!</definedName>
    <definedName name="SG_07_03_1">[15]RESUMO!#REF!</definedName>
    <definedName name="SG_07_04" localSheetId="18">'[56]Planilha PROJETISTA'!#REF!</definedName>
    <definedName name="SG_07_04">'[56]Planilha PROJETISTA'!#REF!</definedName>
    <definedName name="SG_07_04_1" localSheetId="18">[15]RESUMO!#REF!</definedName>
    <definedName name="SG_07_04_1">[15]RESUMO!#REF!</definedName>
    <definedName name="SG_07_05" localSheetId="18">'[56]Planilha PROJETISTA'!#REF!</definedName>
    <definedName name="SG_07_05">'[56]Planilha PROJETISTA'!#REF!</definedName>
    <definedName name="SG_07_05_1" localSheetId="18">[15]RESUMO!#REF!</definedName>
    <definedName name="SG_07_05_1">[15]RESUMO!#REF!</definedName>
    <definedName name="SG_07_06" localSheetId="18">'[56]Planilha PROJETISTA'!#REF!</definedName>
    <definedName name="SG_07_06">'[56]Planilha PROJETISTA'!#REF!</definedName>
    <definedName name="SG_07_06_1" localSheetId="18">[15]RESUMO!#REF!</definedName>
    <definedName name="SG_07_06_1">[15]RESUMO!#REF!</definedName>
    <definedName name="SG_07_07" localSheetId="18">'[56]Planilha PROJETISTA'!#REF!</definedName>
    <definedName name="SG_07_07">'[56]Planilha PROJETISTA'!#REF!</definedName>
    <definedName name="SG_07_07_1" localSheetId="18">[15]RESUMO!#REF!</definedName>
    <definedName name="SG_07_07_1">[15]RESUMO!#REF!</definedName>
    <definedName name="SG_07_08" localSheetId="18">'[56]Planilha PROJETISTA'!#REF!</definedName>
    <definedName name="SG_07_08">'[56]Planilha PROJETISTA'!#REF!</definedName>
    <definedName name="SG_07_08_1" localSheetId="18">[15]RESUMO!#REF!</definedName>
    <definedName name="SG_07_08_1">[15]RESUMO!#REF!</definedName>
    <definedName name="SG_07_09" localSheetId="18">'[56]Planilha PROJETISTA'!#REF!</definedName>
    <definedName name="SG_07_09">'[56]Planilha PROJETISTA'!#REF!</definedName>
    <definedName name="SG_07_09_1" localSheetId="18">[15]RESUMO!#REF!</definedName>
    <definedName name="SG_07_09_1">[15]RESUMO!#REF!</definedName>
    <definedName name="SG_07_10" localSheetId="18">'[56]Planilha PROJETISTA'!#REF!</definedName>
    <definedName name="SG_07_10">'[56]Planilha PROJETISTA'!#REF!</definedName>
    <definedName name="SG_07_10_1" localSheetId="18">[15]RESUMO!#REF!</definedName>
    <definedName name="SG_07_10_1">[15]RESUMO!#REF!</definedName>
    <definedName name="SG_07_11" localSheetId="18">'[56]Planilha PROJETISTA'!#REF!</definedName>
    <definedName name="SG_07_11">'[56]Planilha PROJETISTA'!#REF!</definedName>
    <definedName name="SG_07_11_1" localSheetId="18">[15]RESUMO!#REF!</definedName>
    <definedName name="SG_07_11_1">[15]RESUMO!#REF!</definedName>
    <definedName name="SG_07_12" localSheetId="18">'[56]Planilha PROJETISTA'!#REF!</definedName>
    <definedName name="SG_07_12">'[56]Planilha PROJETISTA'!#REF!</definedName>
    <definedName name="SG_07_12_1" localSheetId="18">[15]RESUMO!#REF!</definedName>
    <definedName name="SG_07_12_1">[15]RESUMO!#REF!</definedName>
    <definedName name="SG_07_13" localSheetId="18">'[56]Planilha PROJETISTA'!#REF!</definedName>
    <definedName name="SG_07_13">'[56]Planilha PROJETISTA'!#REF!</definedName>
    <definedName name="SG_07_13_1" localSheetId="18">[15]RESUMO!#REF!</definedName>
    <definedName name="SG_07_13_1">[15]RESUMO!#REF!</definedName>
    <definedName name="SG_07_14" localSheetId="18">'[56]Planilha PROJETISTA'!#REF!</definedName>
    <definedName name="SG_07_14">'[56]Planilha PROJETISTA'!#REF!</definedName>
    <definedName name="SG_07_14_1" localSheetId="18">[15]RESUMO!#REF!</definedName>
    <definedName name="SG_07_14_1">[15]RESUMO!#REF!</definedName>
    <definedName name="SG_07_15" localSheetId="18">'[56]Planilha PROJETISTA'!#REF!</definedName>
    <definedName name="SG_07_15">'[56]Planilha PROJETISTA'!#REF!</definedName>
    <definedName name="SG_07_15_1" localSheetId="18">[15]RESUMO!#REF!</definedName>
    <definedName name="SG_07_15_1">[15]RESUMO!#REF!</definedName>
    <definedName name="SG_07_16" localSheetId="18">'[56]Planilha PROJETISTA'!#REF!</definedName>
    <definedName name="SG_07_16">'[56]Planilha PROJETISTA'!#REF!</definedName>
    <definedName name="SG_07_16_1" localSheetId="18">[15]RESUMO!#REF!</definedName>
    <definedName name="SG_07_16_1">[15]RESUMO!#REF!</definedName>
    <definedName name="SG_07_17" localSheetId="18">'[56]Planilha PROJETISTA'!#REF!</definedName>
    <definedName name="SG_07_17">'[56]Planilha PROJETISTA'!#REF!</definedName>
    <definedName name="SG_07_17_1" localSheetId="18">[15]RESUMO!#REF!</definedName>
    <definedName name="SG_07_17_1">[15]RESUMO!#REF!</definedName>
    <definedName name="SG_07_18" localSheetId="18">'[56]Planilha PROJETISTA'!#REF!</definedName>
    <definedName name="SG_07_18">'[56]Planilha PROJETISTA'!#REF!</definedName>
    <definedName name="SG_07_18_1" localSheetId="18">[15]RESUMO!#REF!</definedName>
    <definedName name="SG_07_18_1">[15]RESUMO!#REF!</definedName>
    <definedName name="SG_07_19" localSheetId="18">'[56]Planilha PROJETISTA'!#REF!</definedName>
    <definedName name="SG_07_19">'[56]Planilha PROJETISTA'!#REF!</definedName>
    <definedName name="SG_07_19_1" localSheetId="18">[15]RESUMO!#REF!</definedName>
    <definedName name="SG_07_19_1">[15]RESUMO!#REF!</definedName>
    <definedName name="SG_07_20" localSheetId="18">'[56]Planilha PROJETISTA'!#REF!</definedName>
    <definedName name="SG_07_20">'[56]Planilha PROJETISTA'!#REF!</definedName>
    <definedName name="SG_07_20_1" localSheetId="18">[15]RESUMO!#REF!</definedName>
    <definedName name="SG_07_20_1">[15]RESUMO!#REF!</definedName>
    <definedName name="SG_08_01_1" localSheetId="18">[15]RESUMO!#REF!</definedName>
    <definedName name="SG_08_01_1">[15]RESUMO!#REF!</definedName>
    <definedName name="SG_08_02" localSheetId="18">'[56]Planilha PROJETISTA'!#REF!</definedName>
    <definedName name="SG_08_02">'[56]Planilha PROJETISTA'!#REF!</definedName>
    <definedName name="SG_08_02_1" localSheetId="18">[15]RESUMO!#REF!</definedName>
    <definedName name="SG_08_02_1">[15]RESUMO!#REF!</definedName>
    <definedName name="SG_08_03" localSheetId="18">'[56]Planilha PROJETISTA'!#REF!</definedName>
    <definedName name="SG_08_03">'[56]Planilha PROJETISTA'!#REF!</definedName>
    <definedName name="SG_08_03_1" localSheetId="18">[15]RESUMO!#REF!</definedName>
    <definedName name="SG_08_03_1">[15]RESUMO!#REF!</definedName>
    <definedName name="SG_08_04" localSheetId="18">'[56]Planilha PROJETISTA'!#REF!</definedName>
    <definedName name="SG_08_04">'[56]Planilha PROJETISTA'!#REF!</definedName>
    <definedName name="SG_08_04_1" localSheetId="18">[15]RESUMO!#REF!</definedName>
    <definedName name="SG_08_04_1">[15]RESUMO!#REF!</definedName>
    <definedName name="SG_08_05" localSheetId="18">'[56]Planilha PROJETISTA'!#REF!</definedName>
    <definedName name="SG_08_05">'[56]Planilha PROJETISTA'!#REF!</definedName>
    <definedName name="SG_08_05_1" localSheetId="18">[15]RESUMO!#REF!</definedName>
    <definedName name="SG_08_05_1">[15]RESUMO!#REF!</definedName>
    <definedName name="SG_08_06" localSheetId="18">'[56]Planilha PROJETISTA'!#REF!</definedName>
    <definedName name="SG_08_06">'[56]Planilha PROJETISTA'!#REF!</definedName>
    <definedName name="SG_08_06_1" localSheetId="18">[15]RESUMO!#REF!</definedName>
    <definedName name="SG_08_06_1">[15]RESUMO!#REF!</definedName>
    <definedName name="SG_08_07" localSheetId="18">'[56]Planilha PROJETISTA'!#REF!</definedName>
    <definedName name="SG_08_07">'[56]Planilha PROJETISTA'!#REF!</definedName>
    <definedName name="SG_08_07_1" localSheetId="18">[15]RESUMO!#REF!</definedName>
    <definedName name="SG_08_07_1">[15]RESUMO!#REF!</definedName>
    <definedName name="SG_08_08" localSheetId="18">'[56]Planilha PROJETISTA'!#REF!</definedName>
    <definedName name="SG_08_08">'[56]Planilha PROJETISTA'!#REF!</definedName>
    <definedName name="SG_08_08_1" localSheetId="18">[15]RESUMO!#REF!</definedName>
    <definedName name="SG_08_08_1">[15]RESUMO!#REF!</definedName>
    <definedName name="SG_08_09" localSheetId="18">'[56]Planilha PROJETISTA'!#REF!</definedName>
    <definedName name="SG_08_09">'[56]Planilha PROJETISTA'!#REF!</definedName>
    <definedName name="SG_08_09_1" localSheetId="18">[15]RESUMO!#REF!</definedName>
    <definedName name="SG_08_09_1">[15]RESUMO!#REF!</definedName>
    <definedName name="SG_08_10" localSheetId="18">'[56]Planilha PROJETISTA'!#REF!</definedName>
    <definedName name="SG_08_10">'[56]Planilha PROJETISTA'!#REF!</definedName>
    <definedName name="SG_08_10_1" localSheetId="18">[15]RESUMO!#REF!</definedName>
    <definedName name="SG_08_10_1">[15]RESUMO!#REF!</definedName>
    <definedName name="SG_08_11" localSheetId="18">'[56]Planilha PROJETISTA'!#REF!</definedName>
    <definedName name="SG_08_11">'[56]Planilha PROJETISTA'!#REF!</definedName>
    <definedName name="SG_08_11_1" localSheetId="18">[15]RESUMO!#REF!</definedName>
    <definedName name="SG_08_11_1">[15]RESUMO!#REF!</definedName>
    <definedName name="SG_08_12" localSheetId="18">'[56]Planilha PROJETISTA'!#REF!</definedName>
    <definedName name="SG_08_12">'[56]Planilha PROJETISTA'!#REF!</definedName>
    <definedName name="SG_08_12_1" localSheetId="18">[15]RESUMO!#REF!</definedName>
    <definedName name="SG_08_12_1">[15]RESUMO!#REF!</definedName>
    <definedName name="SG_08_13" localSheetId="18">'[56]Planilha PROJETISTA'!#REF!</definedName>
    <definedName name="SG_08_13">'[56]Planilha PROJETISTA'!#REF!</definedName>
    <definedName name="SG_08_13_1" localSheetId="18">[15]RESUMO!#REF!</definedName>
    <definedName name="SG_08_13_1">[15]RESUMO!#REF!</definedName>
    <definedName name="SG_08_14" localSheetId="18">'[56]Planilha PROJETISTA'!#REF!</definedName>
    <definedName name="SG_08_14">'[56]Planilha PROJETISTA'!#REF!</definedName>
    <definedName name="SG_08_14_1" localSheetId="18">[15]RESUMO!#REF!</definedName>
    <definedName name="SG_08_14_1">[15]RESUMO!#REF!</definedName>
    <definedName name="SG_08_15" localSheetId="18">'[56]Planilha PROJETISTA'!#REF!</definedName>
    <definedName name="SG_08_15">'[56]Planilha PROJETISTA'!#REF!</definedName>
    <definedName name="SG_08_15_1" localSheetId="18">[15]RESUMO!#REF!</definedName>
    <definedName name="SG_08_15_1">[15]RESUMO!#REF!</definedName>
    <definedName name="SG_08_16" localSheetId="18">'[56]Planilha PROJETISTA'!#REF!</definedName>
    <definedName name="SG_08_16">'[56]Planilha PROJETISTA'!#REF!</definedName>
    <definedName name="SG_08_16_1" localSheetId="18">[15]RESUMO!#REF!</definedName>
    <definedName name="SG_08_16_1">[15]RESUMO!#REF!</definedName>
    <definedName name="SG_08_17" localSheetId="18">'[56]Planilha PROJETISTA'!#REF!</definedName>
    <definedName name="SG_08_17">'[56]Planilha PROJETISTA'!#REF!</definedName>
    <definedName name="SG_08_17_1" localSheetId="18">[15]RESUMO!#REF!</definedName>
    <definedName name="SG_08_17_1">[15]RESUMO!#REF!</definedName>
    <definedName name="SG_08_18" localSheetId="18">'[56]Planilha PROJETISTA'!#REF!</definedName>
    <definedName name="SG_08_18">'[56]Planilha PROJETISTA'!#REF!</definedName>
    <definedName name="SG_08_18_1" localSheetId="18">[15]RESUMO!#REF!</definedName>
    <definedName name="SG_08_18_1">[15]RESUMO!#REF!</definedName>
    <definedName name="SG_08_19" localSheetId="18">'[56]Planilha PROJETISTA'!#REF!</definedName>
    <definedName name="SG_08_19">'[56]Planilha PROJETISTA'!#REF!</definedName>
    <definedName name="SG_08_19_1" localSheetId="18">[15]RESUMO!#REF!</definedName>
    <definedName name="SG_08_19_1">[15]RESUMO!#REF!</definedName>
    <definedName name="SG_08_20" localSheetId="18">'[56]Planilha PROJETISTA'!#REF!</definedName>
    <definedName name="SG_08_20">'[56]Planilha PROJETISTA'!#REF!</definedName>
    <definedName name="SG_08_20_1" localSheetId="18">[15]RESUMO!#REF!</definedName>
    <definedName name="SG_08_20_1">[15]RESUMO!#REF!</definedName>
    <definedName name="SG_09_01_1" localSheetId="18">[15]RESUMO!#REF!</definedName>
    <definedName name="SG_09_01_1">[15]RESUMO!#REF!</definedName>
    <definedName name="SG_09_02_1" localSheetId="18">[15]RESUMO!#REF!</definedName>
    <definedName name="SG_09_02_1">[15]RESUMO!#REF!</definedName>
    <definedName name="SG_09_03" localSheetId="18">'[56]Planilha PROJETISTA'!#REF!</definedName>
    <definedName name="SG_09_03">'[56]Planilha PROJETISTA'!#REF!</definedName>
    <definedName name="SG_09_03_1" localSheetId="18">[15]RESUMO!#REF!</definedName>
    <definedName name="SG_09_03_1">[15]RESUMO!#REF!</definedName>
    <definedName name="SG_09_04" localSheetId="18">'[56]Planilha PROJETISTA'!#REF!</definedName>
    <definedName name="SG_09_04">'[56]Planilha PROJETISTA'!#REF!</definedName>
    <definedName name="SG_09_04_1" localSheetId="18">[15]RESUMO!#REF!</definedName>
    <definedName name="SG_09_04_1">[15]RESUMO!#REF!</definedName>
    <definedName name="SG_09_05" localSheetId="18">'[56]Planilha PROJETISTA'!#REF!</definedName>
    <definedName name="SG_09_05">'[56]Planilha PROJETISTA'!#REF!</definedName>
    <definedName name="SG_09_05_1" localSheetId="18">[15]RESUMO!#REF!</definedName>
    <definedName name="SG_09_05_1">[15]RESUMO!#REF!</definedName>
    <definedName name="SG_09_06" localSheetId="18">'[56]Planilha PROJETISTA'!#REF!</definedName>
    <definedName name="SG_09_06">'[56]Planilha PROJETISTA'!#REF!</definedName>
    <definedName name="SG_09_06_1" localSheetId="18">[15]RESUMO!#REF!</definedName>
    <definedName name="SG_09_06_1">[15]RESUMO!#REF!</definedName>
    <definedName name="SG_09_07" localSheetId="18">'[56]Planilha PROJETISTA'!#REF!</definedName>
    <definedName name="SG_09_07">'[56]Planilha PROJETISTA'!#REF!</definedName>
    <definedName name="SG_09_07_1" localSheetId="18">[15]RESUMO!#REF!</definedName>
    <definedName name="SG_09_07_1">[15]RESUMO!#REF!</definedName>
    <definedName name="SG_09_08" localSheetId="18">'[56]Planilha PROJETISTA'!#REF!</definedName>
    <definedName name="SG_09_08">'[56]Planilha PROJETISTA'!#REF!</definedName>
    <definedName name="SG_09_08_1" localSheetId="18">[15]RESUMO!#REF!</definedName>
    <definedName name="SG_09_08_1">[15]RESUMO!#REF!</definedName>
    <definedName name="SG_09_09" localSheetId="18">'[56]Planilha PROJETISTA'!#REF!</definedName>
    <definedName name="SG_09_09">'[56]Planilha PROJETISTA'!#REF!</definedName>
    <definedName name="SG_09_09_1" localSheetId="18">[15]RESUMO!#REF!</definedName>
    <definedName name="SG_09_09_1">[15]RESUMO!#REF!</definedName>
    <definedName name="SG_09_10" localSheetId="18">'[56]Planilha PROJETISTA'!#REF!</definedName>
    <definedName name="SG_09_10">'[56]Planilha PROJETISTA'!#REF!</definedName>
    <definedName name="SG_09_10_1" localSheetId="18">[15]RESUMO!#REF!</definedName>
    <definedName name="SG_09_10_1">[15]RESUMO!#REF!</definedName>
    <definedName name="SG_09_11" localSheetId="18">'[56]Planilha PROJETISTA'!#REF!</definedName>
    <definedName name="SG_09_11">'[56]Planilha PROJETISTA'!#REF!</definedName>
    <definedName name="SG_09_11_1" localSheetId="18">[15]RESUMO!#REF!</definedName>
    <definedName name="SG_09_11_1">[15]RESUMO!#REF!</definedName>
    <definedName name="SG_09_12" localSheetId="18">'[56]Planilha PROJETISTA'!#REF!</definedName>
    <definedName name="SG_09_12">'[56]Planilha PROJETISTA'!#REF!</definedName>
    <definedName name="SG_09_12_1" localSheetId="18">[15]RESUMO!#REF!</definedName>
    <definedName name="SG_09_12_1">[15]RESUMO!#REF!</definedName>
    <definedName name="SG_09_13" localSheetId="18">'[56]Planilha PROJETISTA'!#REF!</definedName>
    <definedName name="SG_09_13">'[56]Planilha PROJETISTA'!#REF!</definedName>
    <definedName name="SG_09_13_1" localSheetId="18">[15]RESUMO!#REF!</definedName>
    <definedName name="SG_09_13_1">[15]RESUMO!#REF!</definedName>
    <definedName name="SG_09_14" localSheetId="18">'[56]Planilha PROJETISTA'!#REF!</definedName>
    <definedName name="SG_09_14">'[56]Planilha PROJETISTA'!#REF!</definedName>
    <definedName name="SG_09_14_1" localSheetId="18">[15]RESUMO!#REF!</definedName>
    <definedName name="SG_09_14_1">[15]RESUMO!#REF!</definedName>
    <definedName name="SG_09_15" localSheetId="18">'[56]Planilha PROJETISTA'!#REF!</definedName>
    <definedName name="SG_09_15">'[56]Planilha PROJETISTA'!#REF!</definedName>
    <definedName name="SG_09_15_1" localSheetId="18">[15]RESUMO!#REF!</definedName>
    <definedName name="SG_09_15_1">[15]RESUMO!#REF!</definedName>
    <definedName name="SG_09_16" localSheetId="18">'[56]Planilha PROJETISTA'!#REF!</definedName>
    <definedName name="SG_09_16">'[56]Planilha PROJETISTA'!#REF!</definedName>
    <definedName name="SG_09_16_1" localSheetId="18">[15]RESUMO!#REF!</definedName>
    <definedName name="SG_09_16_1">[15]RESUMO!#REF!</definedName>
    <definedName name="SG_09_17" localSheetId="18">'[56]Planilha PROJETISTA'!#REF!</definedName>
    <definedName name="SG_09_17">'[56]Planilha PROJETISTA'!#REF!</definedName>
    <definedName name="SG_09_17_1" localSheetId="18">[15]RESUMO!#REF!</definedName>
    <definedName name="SG_09_17_1">[15]RESUMO!#REF!</definedName>
    <definedName name="SG_09_18" localSheetId="18">'[56]Planilha PROJETISTA'!#REF!</definedName>
    <definedName name="SG_09_18">'[56]Planilha PROJETISTA'!#REF!</definedName>
    <definedName name="SG_09_18_1" localSheetId="18">[15]RESUMO!#REF!</definedName>
    <definedName name="SG_09_18_1">[15]RESUMO!#REF!</definedName>
    <definedName name="SG_09_19" localSheetId="18">'[56]Planilha PROJETISTA'!#REF!</definedName>
    <definedName name="SG_09_19">'[56]Planilha PROJETISTA'!#REF!</definedName>
    <definedName name="SG_09_19_1" localSheetId="18">[15]RESUMO!#REF!</definedName>
    <definedName name="SG_09_19_1">[15]RESUMO!#REF!</definedName>
    <definedName name="SG_09_20" localSheetId="18">'[56]Planilha PROJETISTA'!#REF!</definedName>
    <definedName name="SG_09_20">'[56]Planilha PROJETISTA'!#REF!</definedName>
    <definedName name="SG_09_20_1" localSheetId="18">[15]RESUMO!#REF!</definedName>
    <definedName name="SG_09_20_1">[15]RESUMO!#REF!</definedName>
    <definedName name="SG_10_01_1" localSheetId="18">[15]RESUMO!#REF!</definedName>
    <definedName name="SG_10_01_1">[15]RESUMO!#REF!</definedName>
    <definedName name="SG_10_02" localSheetId="18">'[56]Planilha PROJETISTA'!#REF!</definedName>
    <definedName name="SG_10_02">'[56]Planilha PROJETISTA'!#REF!</definedName>
    <definedName name="SG_10_02_1" localSheetId="18">[15]RESUMO!#REF!</definedName>
    <definedName name="SG_10_02_1">[15]RESUMO!#REF!</definedName>
    <definedName name="SG_10_03" localSheetId="18">'[56]Planilha PROJETISTA'!#REF!</definedName>
    <definedName name="SG_10_03">'[56]Planilha PROJETISTA'!#REF!</definedName>
    <definedName name="SG_10_03_1" localSheetId="18">[15]RESUMO!#REF!</definedName>
    <definedName name="SG_10_03_1">[15]RESUMO!#REF!</definedName>
    <definedName name="SG_10_04" localSheetId="18">'[56]Planilha PROJETISTA'!#REF!</definedName>
    <definedName name="SG_10_04">'[56]Planilha PROJETISTA'!#REF!</definedName>
    <definedName name="SG_10_04_1" localSheetId="18">[15]RESUMO!#REF!</definedName>
    <definedName name="SG_10_04_1">[15]RESUMO!#REF!</definedName>
    <definedName name="SG_10_05" localSheetId="18">'[56]Planilha PROJETISTA'!#REF!</definedName>
    <definedName name="SG_10_05">'[56]Planilha PROJETISTA'!#REF!</definedName>
    <definedName name="SG_10_05_1" localSheetId="18">[15]RESUMO!#REF!</definedName>
    <definedName name="SG_10_05_1">[15]RESUMO!#REF!</definedName>
    <definedName name="SG_10_06" localSheetId="18">'[56]Planilha PROJETISTA'!#REF!</definedName>
    <definedName name="SG_10_06">'[56]Planilha PROJETISTA'!#REF!</definedName>
    <definedName name="SG_10_06_1" localSheetId="18">[15]RESUMO!#REF!</definedName>
    <definedName name="SG_10_06_1">[15]RESUMO!#REF!</definedName>
    <definedName name="SG_10_07" localSheetId="18">'[56]Planilha PROJETISTA'!#REF!</definedName>
    <definedName name="SG_10_07">'[56]Planilha PROJETISTA'!#REF!</definedName>
    <definedName name="SG_10_07_1" localSheetId="18">[15]RESUMO!#REF!</definedName>
    <definedName name="SG_10_07_1">[15]RESUMO!#REF!</definedName>
    <definedName name="SG_10_08" localSheetId="18">'[56]Planilha PROJETISTA'!#REF!</definedName>
    <definedName name="SG_10_08">'[56]Planilha PROJETISTA'!#REF!</definedName>
    <definedName name="SG_10_08_1" localSheetId="18">[15]RESUMO!#REF!</definedName>
    <definedName name="SG_10_08_1">[15]RESUMO!#REF!</definedName>
    <definedName name="SG_10_09" localSheetId="18">'[56]Planilha PROJETISTA'!#REF!</definedName>
    <definedName name="SG_10_09">'[56]Planilha PROJETISTA'!#REF!</definedName>
    <definedName name="SG_10_09_1" localSheetId="18">[15]RESUMO!#REF!</definedName>
    <definedName name="SG_10_09_1">[15]RESUMO!#REF!</definedName>
    <definedName name="SG_10_10" localSheetId="18">'[56]Planilha PROJETISTA'!#REF!</definedName>
    <definedName name="SG_10_10">'[56]Planilha PROJETISTA'!#REF!</definedName>
    <definedName name="SG_10_10_1" localSheetId="18">[15]RESUMO!#REF!</definedName>
    <definedName name="SG_10_10_1">[15]RESUMO!#REF!</definedName>
    <definedName name="SG_10_11" localSheetId="18">'[56]Planilha PROJETISTA'!#REF!</definedName>
    <definedName name="SG_10_11">'[56]Planilha PROJETISTA'!#REF!</definedName>
    <definedName name="SG_10_11_1" localSheetId="18">[15]RESUMO!#REF!</definedName>
    <definedName name="SG_10_11_1">[15]RESUMO!#REF!</definedName>
    <definedName name="SG_10_12" localSheetId="18">'[56]Planilha PROJETISTA'!#REF!</definedName>
    <definedName name="SG_10_12">'[56]Planilha PROJETISTA'!#REF!</definedName>
    <definedName name="SG_10_12_1" localSheetId="18">[15]RESUMO!#REF!</definedName>
    <definedName name="SG_10_12_1">[15]RESUMO!#REF!</definedName>
    <definedName name="SG_10_13" localSheetId="18">'[56]Planilha PROJETISTA'!#REF!</definedName>
    <definedName name="SG_10_13">'[56]Planilha PROJETISTA'!#REF!</definedName>
    <definedName name="SG_10_13_1" localSheetId="18">[15]RESUMO!#REF!</definedName>
    <definedName name="SG_10_13_1">[15]RESUMO!#REF!</definedName>
    <definedName name="SG_10_14" localSheetId="18">'[56]Planilha PROJETISTA'!#REF!</definedName>
    <definedName name="SG_10_14">'[56]Planilha PROJETISTA'!#REF!</definedName>
    <definedName name="SG_10_14_1" localSheetId="18">[15]RESUMO!#REF!</definedName>
    <definedName name="SG_10_14_1">[15]RESUMO!#REF!</definedName>
    <definedName name="SG_10_15" localSheetId="18">'[56]Planilha PROJETISTA'!#REF!</definedName>
    <definedName name="SG_10_15">'[56]Planilha PROJETISTA'!#REF!</definedName>
    <definedName name="SG_10_15_1" localSheetId="18">[15]RESUMO!#REF!</definedName>
    <definedName name="SG_10_15_1">[15]RESUMO!#REF!</definedName>
    <definedName name="SG_10_16" localSheetId="18">'[56]Planilha PROJETISTA'!#REF!</definedName>
    <definedName name="SG_10_16">'[56]Planilha PROJETISTA'!#REF!</definedName>
    <definedName name="SG_10_16_1" localSheetId="18">[15]RESUMO!#REF!</definedName>
    <definedName name="SG_10_16_1">[15]RESUMO!#REF!</definedName>
    <definedName name="SG_10_17" localSheetId="18">'[56]Planilha PROJETISTA'!#REF!</definedName>
    <definedName name="SG_10_17">'[56]Planilha PROJETISTA'!#REF!</definedName>
    <definedName name="SG_10_17_1" localSheetId="18">[15]RESUMO!#REF!</definedName>
    <definedName name="SG_10_17_1">[15]RESUMO!#REF!</definedName>
    <definedName name="SG_10_18" localSheetId="18">'[56]Planilha PROJETISTA'!#REF!</definedName>
    <definedName name="SG_10_18">'[56]Planilha PROJETISTA'!#REF!</definedName>
    <definedName name="SG_10_18_1" localSheetId="18">[15]RESUMO!#REF!</definedName>
    <definedName name="SG_10_18_1">[15]RESUMO!#REF!</definedName>
    <definedName name="SG_10_19" localSheetId="18">'[56]Planilha PROJETISTA'!#REF!</definedName>
    <definedName name="SG_10_19">'[56]Planilha PROJETISTA'!#REF!</definedName>
    <definedName name="SG_10_19_1" localSheetId="18">[15]RESUMO!#REF!</definedName>
    <definedName name="SG_10_19_1">[15]RESUMO!#REF!</definedName>
    <definedName name="SG_10_20" localSheetId="18">'[56]Planilha PROJETISTA'!#REF!</definedName>
    <definedName name="SG_10_20">'[56]Planilha PROJETISTA'!#REF!</definedName>
    <definedName name="SG_10_20_1" localSheetId="18">[15]RESUMO!#REF!</definedName>
    <definedName name="SG_10_20_1">[15]RESUMO!#REF!</definedName>
    <definedName name="SG_11_01_1" localSheetId="18">[15]RESUMO!#REF!</definedName>
    <definedName name="SG_11_01_1">[15]RESUMO!#REF!</definedName>
    <definedName name="SG_11_02" localSheetId="18">'[56]Planilha PROJETISTA'!#REF!</definedName>
    <definedName name="SG_11_02">'[56]Planilha PROJETISTA'!#REF!</definedName>
    <definedName name="SG_11_02_1" localSheetId="18">[15]RESUMO!#REF!</definedName>
    <definedName name="SG_11_02_1">[15]RESUMO!#REF!</definedName>
    <definedName name="SG_11_03" localSheetId="18">'[56]Planilha PROJETISTA'!#REF!</definedName>
    <definedName name="SG_11_03">'[56]Planilha PROJETISTA'!#REF!</definedName>
    <definedName name="SG_11_03_1" localSheetId="18">[15]RESUMO!#REF!</definedName>
    <definedName name="SG_11_03_1">[15]RESUMO!#REF!</definedName>
    <definedName name="SG_11_04" localSheetId="18">'[56]Planilha PROJETISTA'!#REF!</definedName>
    <definedName name="SG_11_04">'[56]Planilha PROJETISTA'!#REF!</definedName>
    <definedName name="SG_11_04_1" localSheetId="18">[15]RESUMO!#REF!</definedName>
    <definedName name="SG_11_04_1">[15]RESUMO!#REF!</definedName>
    <definedName name="SG_11_05" localSheetId="18">'[56]Planilha PROJETISTA'!#REF!</definedName>
    <definedName name="SG_11_05">'[56]Planilha PROJETISTA'!#REF!</definedName>
    <definedName name="SG_11_05_1" localSheetId="18">[15]RESUMO!#REF!</definedName>
    <definedName name="SG_11_05_1">[15]RESUMO!#REF!</definedName>
    <definedName name="SG_11_06" localSheetId="18">'[56]Planilha PROJETISTA'!#REF!</definedName>
    <definedName name="SG_11_06">'[56]Planilha PROJETISTA'!#REF!</definedName>
    <definedName name="SG_11_06_1" localSheetId="18">[15]RESUMO!#REF!</definedName>
    <definedName name="SG_11_06_1">[15]RESUMO!#REF!</definedName>
    <definedName name="SG_11_07" localSheetId="18">'[56]Planilha PROJETISTA'!#REF!</definedName>
    <definedName name="SG_11_07">'[56]Planilha PROJETISTA'!#REF!</definedName>
    <definedName name="SG_11_07_1" localSheetId="18">[15]RESUMO!#REF!</definedName>
    <definedName name="SG_11_07_1">[15]RESUMO!#REF!</definedName>
    <definedName name="SG_11_08" localSheetId="18">'[56]Planilha PROJETISTA'!#REF!</definedName>
    <definedName name="SG_11_08">'[56]Planilha PROJETISTA'!#REF!</definedName>
    <definedName name="SG_11_08_1" localSheetId="18">[15]RESUMO!#REF!</definedName>
    <definedName name="SG_11_08_1">[15]RESUMO!#REF!</definedName>
    <definedName name="SG_11_09" localSheetId="18">'[56]Planilha PROJETISTA'!#REF!</definedName>
    <definedName name="SG_11_09">'[56]Planilha PROJETISTA'!#REF!</definedName>
    <definedName name="SG_11_09_1" localSheetId="18">[15]RESUMO!#REF!</definedName>
    <definedName name="SG_11_09_1">[15]RESUMO!#REF!</definedName>
    <definedName name="SG_11_10" localSheetId="18">'[56]Planilha PROJETISTA'!#REF!</definedName>
    <definedName name="SG_11_10">'[56]Planilha PROJETISTA'!#REF!</definedName>
    <definedName name="SG_11_10_1" localSheetId="18">[15]RESUMO!#REF!</definedName>
    <definedName name="SG_11_10_1">[15]RESUMO!#REF!</definedName>
    <definedName name="SG_11_11" localSheetId="18">'[56]Planilha PROJETISTA'!#REF!</definedName>
    <definedName name="SG_11_11">'[56]Planilha PROJETISTA'!#REF!</definedName>
    <definedName name="SG_11_11_1" localSheetId="18">[15]RESUMO!#REF!</definedName>
    <definedName name="SG_11_11_1">[15]RESUMO!#REF!</definedName>
    <definedName name="SG_11_12" localSheetId="18">'[56]Planilha PROJETISTA'!#REF!</definedName>
    <definedName name="SG_11_12">'[56]Planilha PROJETISTA'!#REF!</definedName>
    <definedName name="SG_11_12_1" localSheetId="18">[15]RESUMO!#REF!</definedName>
    <definedName name="SG_11_12_1">[15]RESUMO!#REF!</definedName>
    <definedName name="SG_11_13" localSheetId="18">'[56]Planilha PROJETISTA'!#REF!</definedName>
    <definedName name="SG_11_13">'[56]Planilha PROJETISTA'!#REF!</definedName>
    <definedName name="SG_11_13_1" localSheetId="18">[15]RESUMO!#REF!</definedName>
    <definedName name="SG_11_13_1">[15]RESUMO!#REF!</definedName>
    <definedName name="SG_11_14" localSheetId="18">'[56]Planilha PROJETISTA'!#REF!</definedName>
    <definedName name="SG_11_14">'[56]Planilha PROJETISTA'!#REF!</definedName>
    <definedName name="SG_11_14_1" localSheetId="18">[15]RESUMO!#REF!</definedName>
    <definedName name="SG_11_14_1">[15]RESUMO!#REF!</definedName>
    <definedName name="SG_11_15" localSheetId="18">'[56]Planilha PROJETISTA'!#REF!</definedName>
    <definedName name="SG_11_15">'[56]Planilha PROJETISTA'!#REF!</definedName>
    <definedName name="SG_11_15_1" localSheetId="18">[15]RESUMO!#REF!</definedName>
    <definedName name="SG_11_15_1">[15]RESUMO!#REF!</definedName>
    <definedName name="SG_11_16" localSheetId="18">'[56]Planilha PROJETISTA'!#REF!</definedName>
    <definedName name="SG_11_16">'[56]Planilha PROJETISTA'!#REF!</definedName>
    <definedName name="SG_11_16_1" localSheetId="18">[15]RESUMO!#REF!</definedName>
    <definedName name="SG_11_16_1">[15]RESUMO!#REF!</definedName>
    <definedName name="SG_11_17" localSheetId="18">'[56]Planilha PROJETISTA'!#REF!</definedName>
    <definedName name="SG_11_17">'[56]Planilha PROJETISTA'!#REF!</definedName>
    <definedName name="SG_11_17_1" localSheetId="18">[15]RESUMO!#REF!</definedName>
    <definedName name="SG_11_17_1">[15]RESUMO!#REF!</definedName>
    <definedName name="SG_11_18" localSheetId="18">'[56]Planilha PROJETISTA'!#REF!</definedName>
    <definedName name="SG_11_18">'[56]Planilha PROJETISTA'!#REF!</definedName>
    <definedName name="SG_11_18_1" localSheetId="18">[15]RESUMO!#REF!</definedName>
    <definedName name="SG_11_18_1">[15]RESUMO!#REF!</definedName>
    <definedName name="SG_11_19" localSheetId="18">'[56]Planilha PROJETISTA'!#REF!</definedName>
    <definedName name="SG_11_19">'[56]Planilha PROJETISTA'!#REF!</definedName>
    <definedName name="SG_11_19_1" localSheetId="18">[15]RESUMO!#REF!</definedName>
    <definedName name="SG_11_19_1">[15]RESUMO!#REF!</definedName>
    <definedName name="SG_11_20" localSheetId="18">'[56]Planilha PROJETISTA'!#REF!</definedName>
    <definedName name="SG_11_20">'[56]Planilha PROJETISTA'!#REF!</definedName>
    <definedName name="SG_11_20_1" localSheetId="18">[15]RESUMO!#REF!</definedName>
    <definedName name="SG_11_20_1">[15]RESUMO!#REF!</definedName>
    <definedName name="SG_12_01_1" localSheetId="18">[15]RESUMO!#REF!</definedName>
    <definedName name="SG_12_01_1">[15]RESUMO!#REF!</definedName>
    <definedName name="SG_12_02_1" localSheetId="18">[15]RESUMO!#REF!</definedName>
    <definedName name="SG_12_02_1">[15]RESUMO!#REF!</definedName>
    <definedName name="SG_12_03_1" localSheetId="18">[15]RESUMO!#REF!</definedName>
    <definedName name="SG_12_03_1">[15]RESUMO!#REF!</definedName>
    <definedName name="SG_12_04_1" localSheetId="18">[15]RESUMO!#REF!</definedName>
    <definedName name="SG_12_04_1">[15]RESUMO!#REF!</definedName>
    <definedName name="SG_12_05_1" localSheetId="18">[15]RESUMO!#REF!</definedName>
    <definedName name="SG_12_05_1">[15]RESUMO!#REF!</definedName>
    <definedName name="SG_12_06_1" localSheetId="18">[15]RESUMO!#REF!</definedName>
    <definedName name="SG_12_06_1">[15]RESUMO!#REF!</definedName>
    <definedName name="SG_12_07_1" localSheetId="18">[15]RESUMO!#REF!</definedName>
    <definedName name="SG_12_07_1">[15]RESUMO!#REF!</definedName>
    <definedName name="SG_12_08" localSheetId="18">'[56]Planilha PROJETISTA'!#REF!</definedName>
    <definedName name="SG_12_08">'[56]Planilha PROJETISTA'!#REF!</definedName>
    <definedName name="SG_12_08_1" localSheetId="18">[15]RESUMO!#REF!</definedName>
    <definedName name="SG_12_08_1">[15]RESUMO!#REF!</definedName>
    <definedName name="SG_12_09" localSheetId="18">'[56]Planilha PROJETISTA'!#REF!</definedName>
    <definedName name="SG_12_09">'[56]Planilha PROJETISTA'!#REF!</definedName>
    <definedName name="SG_12_09_1" localSheetId="18">[15]RESUMO!#REF!</definedName>
    <definedName name="SG_12_09_1">[15]RESUMO!#REF!</definedName>
    <definedName name="SG_12_10" localSheetId="18">'[56]Planilha PROJETISTA'!#REF!</definedName>
    <definedName name="SG_12_10">'[56]Planilha PROJETISTA'!#REF!</definedName>
    <definedName name="SG_12_10_1" localSheetId="18">[15]RESUMO!#REF!</definedName>
    <definedName name="SG_12_10_1">[15]RESUMO!#REF!</definedName>
    <definedName name="SG_12_11" localSheetId="18">'[56]Planilha PROJETISTA'!#REF!</definedName>
    <definedName name="SG_12_11">'[56]Planilha PROJETISTA'!#REF!</definedName>
    <definedName name="SG_12_11_1" localSheetId="18">[15]RESUMO!#REF!</definedName>
    <definedName name="SG_12_11_1">[15]RESUMO!#REF!</definedName>
    <definedName name="SG_12_12" localSheetId="18">'[56]Planilha PROJETISTA'!#REF!</definedName>
    <definedName name="SG_12_12">'[56]Planilha PROJETISTA'!#REF!</definedName>
    <definedName name="SG_12_12_1" localSheetId="18">[15]RESUMO!#REF!</definedName>
    <definedName name="SG_12_12_1">[15]RESUMO!#REF!</definedName>
    <definedName name="SG_12_13" localSheetId="18">'[56]Planilha PROJETISTA'!#REF!</definedName>
    <definedName name="SG_12_13">'[56]Planilha PROJETISTA'!#REF!</definedName>
    <definedName name="SG_12_13_1" localSheetId="18">[15]RESUMO!#REF!</definedName>
    <definedName name="SG_12_13_1">[15]RESUMO!#REF!</definedName>
    <definedName name="SG_12_14" localSheetId="18">'[56]Planilha PROJETISTA'!#REF!</definedName>
    <definedName name="SG_12_14">'[56]Planilha PROJETISTA'!#REF!</definedName>
    <definedName name="SG_12_14_1" localSheetId="18">[15]RESUMO!#REF!</definedName>
    <definedName name="SG_12_14_1">[15]RESUMO!#REF!</definedName>
    <definedName name="SG_12_15" localSheetId="18">'[56]Planilha PROJETISTA'!#REF!</definedName>
    <definedName name="SG_12_15">'[56]Planilha PROJETISTA'!#REF!</definedName>
    <definedName name="SG_12_15_1" localSheetId="18">[15]RESUMO!#REF!</definedName>
    <definedName name="SG_12_15_1">[15]RESUMO!#REF!</definedName>
    <definedName name="SG_12_16" localSheetId="18">'[56]Planilha PROJETISTA'!#REF!</definedName>
    <definedName name="SG_12_16">'[56]Planilha PROJETISTA'!#REF!</definedName>
    <definedName name="SG_12_16_1" localSheetId="18">[15]RESUMO!#REF!</definedName>
    <definedName name="SG_12_16_1">[15]RESUMO!#REF!</definedName>
    <definedName name="SG_12_17" localSheetId="18">'[56]Planilha PROJETISTA'!#REF!</definedName>
    <definedName name="SG_12_17">'[56]Planilha PROJETISTA'!#REF!</definedName>
    <definedName name="SG_12_17_1" localSheetId="18">[15]RESUMO!#REF!</definedName>
    <definedName name="SG_12_17_1">[15]RESUMO!#REF!</definedName>
    <definedName name="SG_12_18" localSheetId="18">'[56]Planilha PROJETISTA'!#REF!</definedName>
    <definedName name="SG_12_18">'[56]Planilha PROJETISTA'!#REF!</definedName>
    <definedName name="SG_12_18_1" localSheetId="18">[15]RESUMO!#REF!</definedName>
    <definedName name="SG_12_18_1">[15]RESUMO!#REF!</definedName>
    <definedName name="SG_12_19" localSheetId="18">'[56]Planilha PROJETISTA'!#REF!</definedName>
    <definedName name="SG_12_19">'[56]Planilha PROJETISTA'!#REF!</definedName>
    <definedName name="SG_12_19_1" localSheetId="18">[15]RESUMO!#REF!</definedName>
    <definedName name="SG_12_19_1">[15]RESUMO!#REF!</definedName>
    <definedName name="SG_12_20" localSheetId="18">'[56]Planilha PROJETISTA'!#REF!</definedName>
    <definedName name="SG_12_20">'[56]Planilha PROJETISTA'!#REF!</definedName>
    <definedName name="SG_12_20_1" localSheetId="18">[15]RESUMO!#REF!</definedName>
    <definedName name="SG_12_20_1">[15]RESUMO!#REF!</definedName>
    <definedName name="SG_13_01_1" localSheetId="18">[15]RESUMO!#REF!</definedName>
    <definedName name="SG_13_01_1">[15]RESUMO!#REF!</definedName>
    <definedName name="SG_13_02_1" localSheetId="18">[15]RESUMO!#REF!</definedName>
    <definedName name="SG_13_02_1">[15]RESUMO!#REF!</definedName>
    <definedName name="SG_13_03_1" localSheetId="18">[15]RESUMO!#REF!</definedName>
    <definedName name="SG_13_03_1">[15]RESUMO!#REF!</definedName>
    <definedName name="SG_13_04_1" localSheetId="18">[15]RESUMO!#REF!</definedName>
    <definedName name="SG_13_04_1">[15]RESUMO!#REF!</definedName>
    <definedName name="SG_13_05_1" localSheetId="18">[15]RESUMO!#REF!</definedName>
    <definedName name="SG_13_05_1">[15]RESUMO!#REF!</definedName>
    <definedName name="SG_13_06" localSheetId="18">'[56]Planilha PROJETISTA'!#REF!</definedName>
    <definedName name="SG_13_06">'[56]Planilha PROJETISTA'!#REF!</definedName>
    <definedName name="SG_13_06_1" localSheetId="18">[15]RESUMO!#REF!</definedName>
    <definedName name="SG_13_06_1">[15]RESUMO!#REF!</definedName>
    <definedName name="SG_13_07" localSheetId="18">'[56]Planilha PROJETISTA'!#REF!</definedName>
    <definedName name="SG_13_07">'[56]Planilha PROJETISTA'!#REF!</definedName>
    <definedName name="SG_13_07_1" localSheetId="18">[15]RESUMO!#REF!</definedName>
    <definedName name="SG_13_07_1">[15]RESUMO!#REF!</definedName>
    <definedName name="SG_13_08" localSheetId="18">'[56]Planilha PROJETISTA'!#REF!</definedName>
    <definedName name="SG_13_08">'[56]Planilha PROJETISTA'!#REF!</definedName>
    <definedName name="SG_13_08_1" localSheetId="18">[15]RESUMO!#REF!</definedName>
    <definedName name="SG_13_08_1">[15]RESUMO!#REF!</definedName>
    <definedName name="SG_13_09" localSheetId="18">'[56]Planilha PROJETISTA'!#REF!</definedName>
    <definedName name="SG_13_09">'[56]Planilha PROJETISTA'!#REF!</definedName>
    <definedName name="SG_13_09_1" localSheetId="18">[15]RESUMO!#REF!</definedName>
    <definedName name="SG_13_09_1">[15]RESUMO!#REF!</definedName>
    <definedName name="SG_13_10" localSheetId="18">'[56]Planilha PROJETISTA'!#REF!</definedName>
    <definedName name="SG_13_10">'[56]Planilha PROJETISTA'!#REF!</definedName>
    <definedName name="SG_13_10_1" localSheetId="18">[15]RESUMO!#REF!</definedName>
    <definedName name="SG_13_10_1">[15]RESUMO!#REF!</definedName>
    <definedName name="SG_13_11" localSheetId="18">'[56]Planilha PROJETISTA'!#REF!</definedName>
    <definedName name="SG_13_11">'[56]Planilha PROJETISTA'!#REF!</definedName>
    <definedName name="SG_13_11_1" localSheetId="18">[15]RESUMO!#REF!</definedName>
    <definedName name="SG_13_11_1">[15]RESUMO!#REF!</definedName>
    <definedName name="SG_13_12" localSheetId="18">'[56]Planilha PROJETISTA'!#REF!</definedName>
    <definedName name="SG_13_12">'[56]Planilha PROJETISTA'!#REF!</definedName>
    <definedName name="SG_13_12_1" localSheetId="18">[15]RESUMO!#REF!</definedName>
    <definedName name="SG_13_12_1">[15]RESUMO!#REF!</definedName>
    <definedName name="SG_13_13" localSheetId="18">'[56]Planilha PROJETISTA'!#REF!</definedName>
    <definedName name="SG_13_13">'[56]Planilha PROJETISTA'!#REF!</definedName>
    <definedName name="SG_13_13_1" localSheetId="18">[15]RESUMO!#REF!</definedName>
    <definedName name="SG_13_13_1">[15]RESUMO!#REF!</definedName>
    <definedName name="SG_13_14" localSheetId="18">'[56]Planilha PROJETISTA'!#REF!</definedName>
    <definedName name="SG_13_14">'[56]Planilha PROJETISTA'!#REF!</definedName>
    <definedName name="SG_13_14_1" localSheetId="18">[15]RESUMO!#REF!</definedName>
    <definedName name="SG_13_14_1">[15]RESUMO!#REF!</definedName>
    <definedName name="SG_13_15" localSheetId="18">'[56]Planilha PROJETISTA'!#REF!</definedName>
    <definedName name="SG_13_15">'[56]Planilha PROJETISTA'!#REF!</definedName>
    <definedName name="SG_13_15_1" localSheetId="18">[15]RESUMO!#REF!</definedName>
    <definedName name="SG_13_15_1">[15]RESUMO!#REF!</definedName>
    <definedName name="SG_13_16" localSheetId="18">'[56]Planilha PROJETISTA'!#REF!</definedName>
    <definedName name="SG_13_16">'[56]Planilha PROJETISTA'!#REF!</definedName>
    <definedName name="SG_13_16_1" localSheetId="18">[15]RESUMO!#REF!</definedName>
    <definedName name="SG_13_16_1">[15]RESUMO!#REF!</definedName>
    <definedName name="SG_13_17" localSheetId="18">'[56]Planilha PROJETISTA'!#REF!</definedName>
    <definedName name="SG_13_17">'[56]Planilha PROJETISTA'!#REF!</definedName>
    <definedName name="SG_13_17_1" localSheetId="18">[15]RESUMO!#REF!</definedName>
    <definedName name="SG_13_17_1">[15]RESUMO!#REF!</definedName>
    <definedName name="SG_13_18" localSheetId="18">'[56]Planilha PROJETISTA'!#REF!</definedName>
    <definedName name="SG_13_18">'[56]Planilha PROJETISTA'!#REF!</definedName>
    <definedName name="SG_13_18_1" localSheetId="18">[15]RESUMO!#REF!</definedName>
    <definedName name="SG_13_18_1">[15]RESUMO!#REF!</definedName>
    <definedName name="SG_13_19" localSheetId="18">'[56]Planilha PROJETISTA'!#REF!</definedName>
    <definedName name="SG_13_19">'[56]Planilha PROJETISTA'!#REF!</definedName>
    <definedName name="SG_13_19_1" localSheetId="18">[15]RESUMO!#REF!</definedName>
    <definedName name="SG_13_19_1">[15]RESUMO!#REF!</definedName>
    <definedName name="SG_13_20" localSheetId="18">'[56]Planilha PROJETISTA'!#REF!</definedName>
    <definedName name="SG_13_20">'[56]Planilha PROJETISTA'!#REF!</definedName>
    <definedName name="SG_13_20_1" localSheetId="18">[15]RESUMO!#REF!</definedName>
    <definedName name="SG_13_20_1">[15]RESUMO!#REF!</definedName>
    <definedName name="SG_14_01_1" localSheetId="18">[15]RESUMO!#REF!</definedName>
    <definedName name="SG_14_01_1">[15]RESUMO!#REF!</definedName>
    <definedName name="SG_14_02_1" localSheetId="18">[15]RESUMO!#REF!</definedName>
    <definedName name="SG_14_02_1">[15]RESUMO!#REF!</definedName>
    <definedName name="SG_14_03_1" localSheetId="18">[15]RESUMO!#REF!</definedName>
    <definedName name="SG_14_03_1">[15]RESUMO!#REF!</definedName>
    <definedName name="SG_14_04_1" localSheetId="18">[15]RESUMO!#REF!</definedName>
    <definedName name="SG_14_04_1">[15]RESUMO!#REF!</definedName>
    <definedName name="SG_14_05_1" localSheetId="18">[15]RESUMO!#REF!</definedName>
    <definedName name="SG_14_05_1">[15]RESUMO!#REF!</definedName>
    <definedName name="SG_14_06_1" localSheetId="18">[15]RESUMO!#REF!</definedName>
    <definedName name="SG_14_06_1">[15]RESUMO!#REF!</definedName>
    <definedName name="SG_14_07_1" localSheetId="18">[15]RESUMO!#REF!</definedName>
    <definedName name="SG_14_07_1">[15]RESUMO!#REF!</definedName>
    <definedName name="SG_14_08" localSheetId="18">'[56]Planilha PROJETISTA'!#REF!</definedName>
    <definedName name="SG_14_08">'[56]Planilha PROJETISTA'!#REF!</definedName>
    <definedName name="SG_14_08_1" localSheetId="18">[15]RESUMO!#REF!</definedName>
    <definedName name="SG_14_08_1">[15]RESUMO!#REF!</definedName>
    <definedName name="SG_14_09" localSheetId="18">'[56]Planilha PROJETISTA'!#REF!</definedName>
    <definedName name="SG_14_09">'[56]Planilha PROJETISTA'!#REF!</definedName>
    <definedName name="SG_14_09_1" localSheetId="18">[15]RESUMO!#REF!</definedName>
    <definedName name="SG_14_09_1">[15]RESUMO!#REF!</definedName>
    <definedName name="SG_14_10" localSheetId="18">'[56]Planilha PROJETISTA'!#REF!</definedName>
    <definedName name="SG_14_10">'[56]Planilha PROJETISTA'!#REF!</definedName>
    <definedName name="SG_14_10_1" localSheetId="18">[15]RESUMO!#REF!</definedName>
    <definedName name="SG_14_10_1">[15]RESUMO!#REF!</definedName>
    <definedName name="SG_14_11" localSheetId="18">'[56]Planilha PROJETISTA'!#REF!</definedName>
    <definedName name="SG_14_11">'[56]Planilha PROJETISTA'!#REF!</definedName>
    <definedName name="SG_14_11_1" localSheetId="18">[15]RESUMO!#REF!</definedName>
    <definedName name="SG_14_11_1">[15]RESUMO!#REF!</definedName>
    <definedName name="SG_14_12" localSheetId="18">'[56]Planilha PROJETISTA'!#REF!</definedName>
    <definedName name="SG_14_12">'[56]Planilha PROJETISTA'!#REF!</definedName>
    <definedName name="SG_14_12_1" localSheetId="18">[15]RESUMO!#REF!</definedName>
    <definedName name="SG_14_12_1">[15]RESUMO!#REF!</definedName>
    <definedName name="SG_14_13" localSheetId="18">'[56]Planilha PROJETISTA'!#REF!</definedName>
    <definedName name="SG_14_13">'[56]Planilha PROJETISTA'!#REF!</definedName>
    <definedName name="SG_14_13_1" localSheetId="18">[15]RESUMO!#REF!</definedName>
    <definedName name="SG_14_13_1">[15]RESUMO!#REF!</definedName>
    <definedName name="SG_14_14" localSheetId="18">'[56]Planilha PROJETISTA'!#REF!</definedName>
    <definedName name="SG_14_14">'[56]Planilha PROJETISTA'!#REF!</definedName>
    <definedName name="SG_14_14_1" localSheetId="18">[15]RESUMO!#REF!</definedName>
    <definedName name="SG_14_14_1">[15]RESUMO!#REF!</definedName>
    <definedName name="SG_14_15" localSheetId="18">'[56]Planilha PROJETISTA'!#REF!</definedName>
    <definedName name="SG_14_15">'[56]Planilha PROJETISTA'!#REF!</definedName>
    <definedName name="SG_14_15_1" localSheetId="18">[15]RESUMO!#REF!</definedName>
    <definedName name="SG_14_15_1">[15]RESUMO!#REF!</definedName>
    <definedName name="SG_14_16" localSheetId="18">'[56]Planilha PROJETISTA'!#REF!</definedName>
    <definedName name="SG_14_16">'[56]Planilha PROJETISTA'!#REF!</definedName>
    <definedName name="SG_14_16_1" localSheetId="18">[15]RESUMO!#REF!</definedName>
    <definedName name="SG_14_16_1">[15]RESUMO!#REF!</definedName>
    <definedName name="SG_14_17" localSheetId="18">'[56]Planilha PROJETISTA'!#REF!</definedName>
    <definedName name="SG_14_17">'[56]Planilha PROJETISTA'!#REF!</definedName>
    <definedName name="SG_14_17_1" localSheetId="18">[15]RESUMO!#REF!</definedName>
    <definedName name="SG_14_17_1">[15]RESUMO!#REF!</definedName>
    <definedName name="SG_14_18" localSheetId="18">'[56]Planilha PROJETISTA'!#REF!</definedName>
    <definedName name="SG_14_18">'[56]Planilha PROJETISTA'!#REF!</definedName>
    <definedName name="SG_14_18_1" localSheetId="18">[15]RESUMO!#REF!</definedName>
    <definedName name="SG_14_18_1">[15]RESUMO!#REF!</definedName>
    <definedName name="SG_14_19" localSheetId="18">'[56]Planilha PROJETISTA'!#REF!</definedName>
    <definedName name="SG_14_19">'[56]Planilha PROJETISTA'!#REF!</definedName>
    <definedName name="SG_14_19_1" localSheetId="18">[15]RESUMO!#REF!</definedName>
    <definedName name="SG_14_19_1">[15]RESUMO!#REF!</definedName>
    <definedName name="SG_14_20" localSheetId="18">'[56]Planilha PROJETISTA'!#REF!</definedName>
    <definedName name="SG_14_20">'[56]Planilha PROJETISTA'!#REF!</definedName>
    <definedName name="SG_14_20_1" localSheetId="18">[15]RESUMO!#REF!</definedName>
    <definedName name="SG_14_20_1">[15]RESUMO!#REF!</definedName>
    <definedName name="SG_15_01_1" localSheetId="18">[15]RESUMO!#REF!</definedName>
    <definedName name="SG_15_01_1">[15]RESUMO!#REF!</definedName>
    <definedName name="SG_15_02_1" localSheetId="18">[15]RESUMO!#REF!</definedName>
    <definedName name="SG_15_02_1">[15]RESUMO!#REF!</definedName>
    <definedName name="SG_15_03_1" localSheetId="18">[15]RESUMO!#REF!</definedName>
    <definedName name="SG_15_03_1">[15]RESUMO!#REF!</definedName>
    <definedName name="SG_15_04_1" localSheetId="18">[15]RESUMO!#REF!</definedName>
    <definedName name="SG_15_04_1">[15]RESUMO!#REF!</definedName>
    <definedName name="SG_15_05_1" localSheetId="18">[15]RESUMO!#REF!</definedName>
    <definedName name="SG_15_05_1">[15]RESUMO!#REF!</definedName>
    <definedName name="SG_15_06_1" localSheetId="18">[15]RESUMO!#REF!</definedName>
    <definedName name="SG_15_06_1">[15]RESUMO!#REF!</definedName>
    <definedName name="SG_15_07_1" localSheetId="18">[15]RESUMO!#REF!</definedName>
    <definedName name="SG_15_07_1">[15]RESUMO!#REF!</definedName>
    <definedName name="SG_15_08_1" localSheetId="18">[15]RESUMO!#REF!</definedName>
    <definedName name="SG_15_08_1">[15]RESUMO!#REF!</definedName>
    <definedName name="SG_15_09_1" localSheetId="18">[15]RESUMO!#REF!</definedName>
    <definedName name="SG_15_09_1">[15]RESUMO!#REF!</definedName>
    <definedName name="SG_15_10_1" localSheetId="18">[15]RESUMO!#REF!</definedName>
    <definedName name="SG_15_10_1">[15]RESUMO!#REF!</definedName>
    <definedName name="SG_15_11_1" localSheetId="18">[15]RESUMO!#REF!</definedName>
    <definedName name="SG_15_11_1">[15]RESUMO!#REF!</definedName>
    <definedName name="SG_15_12_1" localSheetId="18">[15]RESUMO!#REF!</definedName>
    <definedName name="SG_15_12_1">[15]RESUMO!#REF!</definedName>
    <definedName name="SG_15_13_1" localSheetId="18">[15]RESUMO!#REF!</definedName>
    <definedName name="SG_15_13_1">[15]RESUMO!#REF!</definedName>
    <definedName name="SG_15_14_1" localSheetId="18">[15]RESUMO!#REF!</definedName>
    <definedName name="SG_15_14_1">[15]RESUMO!#REF!</definedName>
    <definedName name="SG_15_15_1" localSheetId="18">[15]RESUMO!#REF!</definedName>
    <definedName name="SG_15_15_1">[15]RESUMO!#REF!</definedName>
    <definedName name="SG_15_16_1" localSheetId="18">[15]RESUMO!#REF!</definedName>
    <definedName name="SG_15_16_1">[15]RESUMO!#REF!</definedName>
    <definedName name="SG_15_17_1" localSheetId="18">[15]RESUMO!#REF!</definedName>
    <definedName name="SG_15_17_1">[15]RESUMO!#REF!</definedName>
    <definedName name="SG_15_18_1" localSheetId="18">[15]RESUMO!#REF!</definedName>
    <definedName name="SG_15_18_1">[15]RESUMO!#REF!</definedName>
    <definedName name="SG_15_19_1" localSheetId="18">[15]RESUMO!#REF!</definedName>
    <definedName name="SG_15_19_1">[15]RESUMO!#REF!</definedName>
    <definedName name="SG_15_20_1" localSheetId="18">[15]RESUMO!#REF!</definedName>
    <definedName name="SG_15_20_1">[15]RESUMO!#REF!</definedName>
    <definedName name="SG_16_01_1" localSheetId="18">[15]RESUMO!#REF!</definedName>
    <definedName name="SG_16_01_1">[15]RESUMO!#REF!</definedName>
    <definedName name="SG_16_02_1" localSheetId="18">[15]RESUMO!#REF!</definedName>
    <definedName name="SG_16_02_1">[15]RESUMO!#REF!</definedName>
    <definedName name="SG_16_03_1" localSheetId="18">[15]RESUMO!#REF!</definedName>
    <definedName name="SG_16_03_1">[15]RESUMO!#REF!</definedName>
    <definedName name="SG_16_04_1" localSheetId="18">[15]RESUMO!#REF!</definedName>
    <definedName name="SG_16_04_1">[15]RESUMO!#REF!</definedName>
    <definedName name="SG_16_05_1" localSheetId="18">[15]RESUMO!#REF!</definedName>
    <definedName name="SG_16_05_1">[15]RESUMO!#REF!</definedName>
    <definedName name="SG_16_06_1" localSheetId="18">[15]RESUMO!#REF!</definedName>
    <definedName name="SG_16_06_1">[15]RESUMO!#REF!</definedName>
    <definedName name="SG_16_07_1" localSheetId="18">[15]RESUMO!#REF!</definedName>
    <definedName name="SG_16_07_1">[15]RESUMO!#REF!</definedName>
    <definedName name="SG_16_08_1" localSheetId="18">[15]RESUMO!#REF!</definedName>
    <definedName name="SG_16_08_1">[15]RESUMO!#REF!</definedName>
    <definedName name="SG_16_09_1" localSheetId="18">[15]RESUMO!#REF!</definedName>
    <definedName name="SG_16_09_1">[15]RESUMO!#REF!</definedName>
    <definedName name="SG_16_10_1" localSheetId="18">[15]RESUMO!#REF!</definedName>
    <definedName name="SG_16_10_1">[15]RESUMO!#REF!</definedName>
    <definedName name="SG_16_11_1" localSheetId="18">[15]RESUMO!#REF!</definedName>
    <definedName name="SG_16_11_1">[15]RESUMO!#REF!</definedName>
    <definedName name="SG_16_12_1" localSheetId="18">[15]RESUMO!#REF!</definedName>
    <definedName name="SG_16_12_1">[15]RESUMO!#REF!</definedName>
    <definedName name="SG_16_13_1" localSheetId="18">[15]RESUMO!#REF!</definedName>
    <definedName name="SG_16_13_1">[15]RESUMO!#REF!</definedName>
    <definedName name="SG_16_14_1" localSheetId="18">[15]RESUMO!#REF!</definedName>
    <definedName name="SG_16_14_1">[15]RESUMO!#REF!</definedName>
    <definedName name="SG_16_15_1" localSheetId="18">[15]RESUMO!#REF!</definedName>
    <definedName name="SG_16_15_1">[15]RESUMO!#REF!</definedName>
    <definedName name="SG_16_16_1" localSheetId="18">[15]RESUMO!#REF!</definedName>
    <definedName name="SG_16_16_1">[15]RESUMO!#REF!</definedName>
    <definedName name="SG_16_17_1" localSheetId="18">[15]RESUMO!#REF!</definedName>
    <definedName name="SG_16_17_1">[15]RESUMO!#REF!</definedName>
    <definedName name="SG_16_18_1" localSheetId="18">[15]RESUMO!#REF!</definedName>
    <definedName name="SG_16_18_1">[15]RESUMO!#REF!</definedName>
    <definedName name="SG_16_19_1" localSheetId="18">[15]RESUMO!#REF!</definedName>
    <definedName name="SG_16_19_1">[15]RESUMO!#REF!</definedName>
    <definedName name="SG_16_20_1" localSheetId="18">[15]RESUMO!#REF!</definedName>
    <definedName name="SG_16_20_1">[15]RESUMO!#REF!</definedName>
    <definedName name="SG_17_01_1" localSheetId="18">[15]RESUMO!#REF!</definedName>
    <definedName name="SG_17_01_1">[15]RESUMO!#REF!</definedName>
    <definedName name="SG_17_02_1" localSheetId="18">[15]RESUMO!#REF!</definedName>
    <definedName name="SG_17_02_1">[15]RESUMO!#REF!</definedName>
    <definedName name="SG_17_03_1" localSheetId="18">[15]RESUMO!#REF!</definedName>
    <definedName name="SG_17_03_1">[15]RESUMO!#REF!</definedName>
    <definedName name="SG_17_04_1" localSheetId="18">[15]RESUMO!#REF!</definedName>
    <definedName name="SG_17_04_1">[15]RESUMO!#REF!</definedName>
    <definedName name="SG_17_05_1" localSheetId="18">[15]RESUMO!#REF!</definedName>
    <definedName name="SG_17_05_1">[15]RESUMO!#REF!</definedName>
    <definedName name="SG_17_06_1" localSheetId="18">[15]RESUMO!#REF!</definedName>
    <definedName name="SG_17_06_1">[15]RESUMO!#REF!</definedName>
    <definedName name="SG_17_07_1" localSheetId="18">[15]RESUMO!#REF!</definedName>
    <definedName name="SG_17_07_1">[15]RESUMO!#REF!</definedName>
    <definedName name="SG_17_08_1" localSheetId="18">[15]RESUMO!#REF!</definedName>
    <definedName name="SG_17_08_1">[15]RESUMO!#REF!</definedName>
    <definedName name="SG_17_09_1" localSheetId="18">[15]RESUMO!#REF!</definedName>
    <definedName name="SG_17_09_1">[15]RESUMO!#REF!</definedName>
    <definedName name="SG_17_10_1" localSheetId="18">[15]RESUMO!#REF!</definedName>
    <definedName name="SG_17_10_1">[15]RESUMO!#REF!</definedName>
    <definedName name="SG_17_11_1" localSheetId="18">[15]RESUMO!#REF!</definedName>
    <definedName name="SG_17_11_1">[15]RESUMO!#REF!</definedName>
    <definedName name="SG_17_12_1" localSheetId="18">[15]RESUMO!#REF!</definedName>
    <definedName name="SG_17_12_1">[15]RESUMO!#REF!</definedName>
    <definedName name="SG_17_13_1" localSheetId="18">[15]RESUMO!#REF!</definedName>
    <definedName name="SG_17_13_1">[15]RESUMO!#REF!</definedName>
    <definedName name="SG_17_14_1" localSheetId="18">[15]RESUMO!#REF!</definedName>
    <definedName name="SG_17_14_1">[15]RESUMO!#REF!</definedName>
    <definedName name="SG_17_15_1" localSheetId="18">[15]RESUMO!#REF!</definedName>
    <definedName name="SG_17_15_1">[15]RESUMO!#REF!</definedName>
    <definedName name="SG_17_16_1" localSheetId="18">[15]RESUMO!#REF!</definedName>
    <definedName name="SG_17_16_1">[15]RESUMO!#REF!</definedName>
    <definedName name="SG_17_17_1" localSheetId="18">[15]RESUMO!#REF!</definedName>
    <definedName name="SG_17_17_1">[15]RESUMO!#REF!</definedName>
    <definedName name="SG_17_18_1" localSheetId="18">[15]RESUMO!#REF!</definedName>
    <definedName name="SG_17_18_1">[15]RESUMO!#REF!</definedName>
    <definedName name="SG_17_19_1" localSheetId="18">[15]RESUMO!#REF!</definedName>
    <definedName name="SG_17_19_1">[15]RESUMO!#REF!</definedName>
    <definedName name="SG_17_20_1" localSheetId="18">[15]RESUMO!#REF!</definedName>
    <definedName name="SG_17_20_1">[15]RESUMO!#REF!</definedName>
    <definedName name="SG_18_01_1" localSheetId="18">[15]RESUMO!#REF!</definedName>
    <definedName name="SG_18_01_1">[15]RESUMO!#REF!</definedName>
    <definedName name="SG_18_02_1" localSheetId="18">[15]RESUMO!#REF!</definedName>
    <definedName name="SG_18_02_1">[15]RESUMO!#REF!</definedName>
    <definedName name="SG_18_03_1" localSheetId="18">[15]RESUMO!#REF!</definedName>
    <definedName name="SG_18_03_1">[15]RESUMO!#REF!</definedName>
    <definedName name="SG_18_04_1" localSheetId="18">[15]RESUMO!#REF!</definedName>
    <definedName name="SG_18_04_1">[15]RESUMO!#REF!</definedName>
    <definedName name="SG_18_05_1" localSheetId="18">[15]RESUMO!#REF!</definedName>
    <definedName name="SG_18_05_1">[15]RESUMO!#REF!</definedName>
    <definedName name="SG_18_06_1" localSheetId="18">[15]RESUMO!#REF!</definedName>
    <definedName name="SG_18_06_1">[15]RESUMO!#REF!</definedName>
    <definedName name="SG_18_07_1" localSheetId="18">[15]RESUMO!#REF!</definedName>
    <definedName name="SG_18_07_1">[15]RESUMO!#REF!</definedName>
    <definedName name="SG_18_08_1" localSheetId="18">[15]RESUMO!#REF!</definedName>
    <definedName name="SG_18_08_1">[15]RESUMO!#REF!</definedName>
    <definedName name="SG_18_09_1" localSheetId="18">[15]RESUMO!#REF!</definedName>
    <definedName name="SG_18_09_1">[15]RESUMO!#REF!</definedName>
    <definedName name="SG_18_10_1" localSheetId="18">[15]RESUMO!#REF!</definedName>
    <definedName name="SG_18_10_1">[15]RESUMO!#REF!</definedName>
    <definedName name="SG_18_11_1" localSheetId="18">[15]RESUMO!#REF!</definedName>
    <definedName name="SG_18_11_1">[15]RESUMO!#REF!</definedName>
    <definedName name="SG_18_12_1" localSheetId="18">[15]RESUMO!#REF!</definedName>
    <definedName name="SG_18_12_1">[15]RESUMO!#REF!</definedName>
    <definedName name="SG_18_13_1" localSheetId="18">[15]RESUMO!#REF!</definedName>
    <definedName name="SG_18_13_1">[15]RESUMO!#REF!</definedName>
    <definedName name="SG_18_14_1" localSheetId="18">[15]RESUMO!#REF!</definedName>
    <definedName name="SG_18_14_1">[15]RESUMO!#REF!</definedName>
    <definedName name="SG_18_15_1" localSheetId="18">[15]RESUMO!#REF!</definedName>
    <definedName name="SG_18_15_1">[15]RESUMO!#REF!</definedName>
    <definedName name="SG_18_16_1" localSheetId="18">[15]RESUMO!#REF!</definedName>
    <definedName name="SG_18_16_1">[15]RESUMO!#REF!</definedName>
    <definedName name="SG_18_17_1" localSheetId="18">[15]RESUMO!#REF!</definedName>
    <definedName name="SG_18_17_1">[15]RESUMO!#REF!</definedName>
    <definedName name="SG_18_18_1" localSheetId="18">[15]RESUMO!#REF!</definedName>
    <definedName name="SG_18_18_1">[15]RESUMO!#REF!</definedName>
    <definedName name="SG_18_19_1" localSheetId="18">[15]RESUMO!#REF!</definedName>
    <definedName name="SG_18_19_1">[15]RESUMO!#REF!</definedName>
    <definedName name="SG_18_20_1" localSheetId="18">[15]RESUMO!#REF!</definedName>
    <definedName name="SG_18_20_1">[15]RESUMO!#REF!</definedName>
    <definedName name="SG_19_01_1" localSheetId="18">[15]RESUMO!#REF!</definedName>
    <definedName name="SG_19_01_1">[15]RESUMO!#REF!</definedName>
    <definedName name="SG_19_02_1" localSheetId="18">[15]RESUMO!#REF!</definedName>
    <definedName name="SG_19_02_1">[15]RESUMO!#REF!</definedName>
    <definedName name="SG_19_03_1" localSheetId="18">[15]RESUMO!#REF!</definedName>
    <definedName name="SG_19_03_1">[15]RESUMO!#REF!</definedName>
    <definedName name="SG_19_04_1" localSheetId="18">[15]RESUMO!#REF!</definedName>
    <definedName name="SG_19_04_1">[15]RESUMO!#REF!</definedName>
    <definedName name="SG_19_05_1" localSheetId="18">[15]RESUMO!#REF!</definedName>
    <definedName name="SG_19_05_1">[15]RESUMO!#REF!</definedName>
    <definedName name="SG_19_06_1" localSheetId="18">[15]RESUMO!#REF!</definedName>
    <definedName name="SG_19_06_1">[15]RESUMO!#REF!</definedName>
    <definedName name="SG_19_07_1" localSheetId="18">[15]RESUMO!#REF!</definedName>
    <definedName name="SG_19_07_1">[15]RESUMO!#REF!</definedName>
    <definedName name="SG_19_08_1" localSheetId="18">[15]RESUMO!#REF!</definedName>
    <definedName name="SG_19_08_1">[15]RESUMO!#REF!</definedName>
    <definedName name="SG_19_09_1" localSheetId="18">[15]RESUMO!#REF!</definedName>
    <definedName name="SG_19_09_1">[15]RESUMO!#REF!</definedName>
    <definedName name="SG_19_10_1" localSheetId="18">[15]RESUMO!#REF!</definedName>
    <definedName name="SG_19_10_1">[15]RESUMO!#REF!</definedName>
    <definedName name="SG_19_11_1" localSheetId="18">[15]RESUMO!#REF!</definedName>
    <definedName name="SG_19_11_1">[15]RESUMO!#REF!</definedName>
    <definedName name="SG_19_12_1" localSheetId="18">[15]RESUMO!#REF!</definedName>
    <definedName name="SG_19_12_1">[15]RESUMO!#REF!</definedName>
    <definedName name="SG_19_13_1" localSheetId="18">[15]RESUMO!#REF!</definedName>
    <definedName name="SG_19_13_1">[15]RESUMO!#REF!</definedName>
    <definedName name="SG_19_14_1" localSheetId="18">[15]RESUMO!#REF!</definedName>
    <definedName name="SG_19_14_1">[15]RESUMO!#REF!</definedName>
    <definedName name="SG_19_15_1" localSheetId="18">[15]RESUMO!#REF!</definedName>
    <definedName name="SG_19_15_1">[15]RESUMO!#REF!</definedName>
    <definedName name="SG_19_16_1" localSheetId="18">[15]RESUMO!#REF!</definedName>
    <definedName name="SG_19_16_1">[15]RESUMO!#REF!</definedName>
    <definedName name="SG_19_17_1" localSheetId="18">[15]RESUMO!#REF!</definedName>
    <definedName name="SG_19_17_1">[15]RESUMO!#REF!</definedName>
    <definedName name="SG_19_18_1" localSheetId="18">[15]RESUMO!#REF!</definedName>
    <definedName name="SG_19_18_1">[15]RESUMO!#REF!</definedName>
    <definedName name="SG_19_19_1" localSheetId="18">[15]RESUMO!#REF!</definedName>
    <definedName name="SG_19_19_1">[15]RESUMO!#REF!</definedName>
    <definedName name="SG_19_20_1" localSheetId="18">[15]RESUMO!#REF!</definedName>
    <definedName name="SG_19_20_1">[15]RESUMO!#REF!</definedName>
    <definedName name="SG_20_01_1" localSheetId="18">[15]RESUMO!#REF!</definedName>
    <definedName name="SG_20_01_1">[15]RESUMO!#REF!</definedName>
    <definedName name="SG_20_02_1" localSheetId="18">[15]RESUMO!#REF!</definedName>
    <definedName name="SG_20_02_1">[15]RESUMO!#REF!</definedName>
    <definedName name="SG_20_03_1" localSheetId="18">[15]RESUMO!#REF!</definedName>
    <definedName name="SG_20_03_1">[15]RESUMO!#REF!</definedName>
    <definedName name="SG_20_04_1" localSheetId="18">[15]RESUMO!#REF!</definedName>
    <definedName name="SG_20_04_1">[15]RESUMO!#REF!</definedName>
    <definedName name="SG_20_05_1" localSheetId="18">[15]RESUMO!#REF!</definedName>
    <definedName name="SG_20_05_1">[15]RESUMO!#REF!</definedName>
    <definedName name="SG_20_06_1" localSheetId="18">[15]RESUMO!#REF!</definedName>
    <definedName name="SG_20_06_1">[15]RESUMO!#REF!</definedName>
    <definedName name="SG_20_07_1" localSheetId="18">[15]RESUMO!#REF!</definedName>
    <definedName name="SG_20_07_1">[15]RESUMO!#REF!</definedName>
    <definedName name="SG_20_08_1" localSheetId="18">[15]RESUMO!#REF!</definedName>
    <definedName name="SG_20_08_1">[15]RESUMO!#REF!</definedName>
    <definedName name="SG_20_09_1" localSheetId="18">[15]RESUMO!#REF!</definedName>
    <definedName name="SG_20_09_1">[15]RESUMO!#REF!</definedName>
    <definedName name="SG_20_10_1" localSheetId="18">[15]RESUMO!#REF!</definedName>
    <definedName name="SG_20_10_1">[15]RESUMO!#REF!</definedName>
    <definedName name="SG_20_11_1" localSheetId="18">[15]RESUMO!#REF!</definedName>
    <definedName name="SG_20_11_1">[15]RESUMO!#REF!</definedName>
    <definedName name="SG_20_12_1" localSheetId="18">[15]RESUMO!#REF!</definedName>
    <definedName name="SG_20_12_1">[15]RESUMO!#REF!</definedName>
    <definedName name="SG_20_13_1" localSheetId="18">[15]RESUMO!#REF!</definedName>
    <definedName name="SG_20_13_1">[15]RESUMO!#REF!</definedName>
    <definedName name="SG_20_14_1" localSheetId="18">[15]RESUMO!#REF!</definedName>
    <definedName name="SG_20_14_1">[15]RESUMO!#REF!</definedName>
    <definedName name="SG_20_15_1" localSheetId="18">[15]RESUMO!#REF!</definedName>
    <definedName name="SG_20_15_1">[15]RESUMO!#REF!</definedName>
    <definedName name="SG_20_16_1" localSheetId="18">[15]RESUMO!#REF!</definedName>
    <definedName name="SG_20_16_1">[15]RESUMO!#REF!</definedName>
    <definedName name="SG_20_17_1" localSheetId="18">[15]RESUMO!#REF!</definedName>
    <definedName name="SG_20_17_1">[15]RESUMO!#REF!</definedName>
    <definedName name="SG_20_18_1" localSheetId="18">[15]RESUMO!#REF!</definedName>
    <definedName name="SG_20_18_1">[15]RESUMO!#REF!</definedName>
    <definedName name="SG_20_19_1" localSheetId="18">[15]RESUMO!#REF!</definedName>
    <definedName name="SG_20_19_1">[15]RESUMO!#REF!</definedName>
    <definedName name="SG_20_20_1" localSheetId="18">[15]RESUMO!#REF!</definedName>
    <definedName name="SG_20_20_1">[15]RESUMO!#REF!</definedName>
    <definedName name="SINAPI" localSheetId="18">#REF!</definedName>
    <definedName name="SINAPI">#REF!</definedName>
    <definedName name="soa">[27]PLANILHA!#REF!</definedName>
    <definedName name="soares">[27]PLANILHA!#REF!</definedName>
    <definedName name="SomaAgrup" hidden="1">SUMIF(OFFSET(#REF!,1,0,#REF!),"S",OFFSET(#REF!,1,0,#REF!))</definedName>
    <definedName name="sondacil" localSheetId="18">#REF!</definedName>
    <definedName name="sondacil">#REF!</definedName>
    <definedName name="SSD" localSheetId="18">Plan1</definedName>
    <definedName name="SSD" localSheetId="0">Plan1</definedName>
    <definedName name="SSD" localSheetId="1">Plan1</definedName>
    <definedName name="SSD" localSheetId="4">Plan1</definedName>
    <definedName name="SSD">Plan1</definedName>
    <definedName name="sss" localSheetId="18">'[57]Planilha PROJETISTA'!#REF!</definedName>
    <definedName name="sss">'[57]Planilha PROJETISTA'!#REF!</definedName>
    <definedName name="step">'[42]Ponto de Equilíbrio'!$C$16</definedName>
    <definedName name="T" localSheetId="18">#REF!</definedName>
    <definedName name="t">'[56]Planilha PROJETISTA'!#REF!</definedName>
    <definedName name="tab" localSheetId="18">#REF!</definedName>
    <definedName name="tab">#REF!</definedName>
    <definedName name="Tabela" localSheetId="18">#REF!</definedName>
    <definedName name="Tabela">#REF!</definedName>
    <definedName name="Tabela_1" localSheetId="18">#REF!</definedName>
    <definedName name="Tabela_1">#REF!</definedName>
    <definedName name="Tabela_1_6" localSheetId="18">#REF!</definedName>
    <definedName name="Tabela_1_6">#REF!</definedName>
    <definedName name="Tabela_10" localSheetId="18">#REF!</definedName>
    <definedName name="Tabela_10">#REF!</definedName>
    <definedName name="Tabela_2" localSheetId="18">#REF!</definedName>
    <definedName name="Tabela_2">#REF!</definedName>
    <definedName name="Tabela_3" localSheetId="18">#REF!</definedName>
    <definedName name="Tabela_3">#REF!</definedName>
    <definedName name="Tabela_4" localSheetId="18">#REF!</definedName>
    <definedName name="Tabela_4">#REF!</definedName>
    <definedName name="Tabela_5" localSheetId="18">#REF!</definedName>
    <definedName name="Tabela_5">#REF!</definedName>
    <definedName name="Tabela_5_1" localSheetId="18">#REF!</definedName>
    <definedName name="Tabela_5_1">#REF!</definedName>
    <definedName name="Tabela_6" localSheetId="18">#REF!</definedName>
    <definedName name="Tabela_6">#REF!</definedName>
    <definedName name="TABREC" localSheetId="18">'[58]TABELA RECURSOS'!$A$1:$G$142</definedName>
    <definedName name="TABREC">'[59]TABELA RECURSOS'!$A$1:$G$142</definedName>
    <definedName name="TB_Ø" localSheetId="18">#REF!</definedName>
    <definedName name="TB_Ø">#REF!</definedName>
    <definedName name="TERRAPLANAGEM4">#REF!</definedName>
    <definedName name="teste">[17]Pontes!#REF!</definedName>
    <definedName name="Tipo_de_Salario" localSheetId="18">#REF!</definedName>
    <definedName name="Tipo_de_Salario">#REF!</definedName>
    <definedName name="TIPOORCAMENTO" hidden="1">IF(VALUE([60]MENU!$O$3)=2,"Licitado","Proposto")</definedName>
    <definedName name="TIT1_2" localSheetId="18">#REF!</definedName>
    <definedName name="TIT1_2">#REF!</definedName>
    <definedName name="TIT1_3" localSheetId="18">#REF!</definedName>
    <definedName name="TIT1_3">#REF!</definedName>
    <definedName name="TIT2_2" localSheetId="18">#REF!</definedName>
    <definedName name="TIT2_2">#REF!</definedName>
    <definedName name="TIT2_3">#REF!</definedName>
    <definedName name="_xlnm.Print_Titles" localSheetId="18">'CPU Ia'!$4:$10</definedName>
    <definedName name="_xlnm.Print_Titles" localSheetId="7">'MC-DRE'!$1:$12</definedName>
    <definedName name="_xlnm.Print_Titles" localSheetId="9">'MC-PAV e DREN SUPER'!$3:$18</definedName>
    <definedName name="_xlnm.Print_Titles" localSheetId="5">ORÇAMENTO!$5:$15</definedName>
    <definedName name="_xlnm.Print_Titles" localSheetId="4">'ORÇAMENTO (F)'!$5:$15</definedName>
    <definedName name="_xlnm.Print_Titles">#REF!</definedName>
    <definedName name="toatal4" localSheetId="18">#REF!</definedName>
    <definedName name="toatal4">#REF!</definedName>
    <definedName name="TOCANTINÓPOLIS" localSheetId="18">#REF!</definedName>
    <definedName name="TOCANTINÓPOLIS">#REF!</definedName>
    <definedName name="TOT" localSheetId="18">'[4]Bm 8'!#REF!</definedName>
    <definedName name="TOT">'[2]Bm 8'!#REF!</definedName>
    <definedName name="Total" localSheetId="18">#REF!</definedName>
    <definedName name="total">#REF!</definedName>
    <definedName name="TOTAL_GERAL_1" localSheetId="18">[15]RESUMO!#REF!</definedName>
    <definedName name="TOTAL_GERAL_1">[15]RESUMO!#REF!</definedName>
    <definedName name="TOTAL_RESUMO" localSheetId="18">#REF!</definedName>
    <definedName name="TOTAL_RESUMO">#REF!</definedName>
    <definedName name="total2">#REF!</definedName>
    <definedName name="total3">#REF!</definedName>
    <definedName name="total4">#REF!</definedName>
    <definedName name="TR">#REF!</definedName>
    <definedName name="TSYEJMSNH">#REF!</definedName>
    <definedName name="TTT">#REF!</definedName>
    <definedName name="TxCresc" localSheetId="18">'[32]TodasTraf-2000-NoPrint'!$C$7:$L$17</definedName>
    <definedName name="TxCresc">'[33]TodasTraf-2000-NoPrint'!$C$7:$L$17</definedName>
    <definedName name="tyuu" hidden="1">[45]Poço!#REF!</definedName>
    <definedName name="ui">'[13]Ser-Sac'!$B$95</definedName>
    <definedName name="Unit." localSheetId="18">#REF!</definedName>
    <definedName name="Unit.">#REF!</definedName>
    <definedName name="uuuuuuuuuuuuu" localSheetId="18">#REF!</definedName>
    <definedName name="uuuuuuuuuuuuu">#REF!</definedName>
    <definedName name="v" localSheetId="18">#REF!</definedName>
    <definedName name="v">#REF!</definedName>
    <definedName name="Valores" localSheetId="18">#REF!</definedName>
    <definedName name="Valores">#REF!</definedName>
    <definedName name="VALORES_VALORES_Listar" localSheetId="18">#REF!</definedName>
    <definedName name="VALORES_VALORES_Listar">#REF!</definedName>
    <definedName name="vcasd" localSheetId="18" hidden="1">{#N/A,#N/A,FALSE,"Plan1"}</definedName>
    <definedName name="vcasd" hidden="1">{#N/A,#N/A,FALSE,"Plan1"}</definedName>
    <definedName name="Veic">'[31]Adm Local '!$K$311</definedName>
    <definedName name="VIGASBALDRAMES">'[61]001-VIG_FUND-AGO2000'!$B$13:$IV$8135</definedName>
    <definedName name="Volume" localSheetId="18">#REF!</definedName>
    <definedName name="Volume">#REF!</definedName>
    <definedName name="VTOTAL1" hidden="1">ROUND(#REF!*#REF!,15-13*#REF!)</definedName>
    <definedName name="w" localSheetId="18">#REF!</definedName>
    <definedName name="w">#REF!</definedName>
    <definedName name="Wal">#REF!</definedName>
    <definedName name="walt4">#REF!</definedName>
    <definedName name="wrn.mo2." localSheetId="18" hidden="1">{#N/A,#N/A,FALSE,"MO (2)"}</definedName>
    <definedName name="wrn.mo2." hidden="1">{#N/A,#N/A,FALSE,"MO (2)"}</definedName>
    <definedName name="wrn.Orçamento." localSheetId="18" hidden="1">{#N/A,#N/A,FALSE,"Planilha";#N/A,#N/A,FALSE,"Resumo";#N/A,#N/A,FALSE,"Fisico";#N/A,#N/A,FALSE,"Financeiro";#N/A,#N/A,FALSE,"Financeiro"}</definedName>
    <definedName name="wrn.Orçamento." hidden="1">{#N/A,#N/A,FALSE,"Planilha";#N/A,#N/A,FALSE,"Resumo";#N/A,#N/A,FALSE,"Fisico";#N/A,#N/A,FALSE,"Financeiro";#N/A,#N/A,FALSE,"Financeiro"}</definedName>
    <definedName name="wrn.SBBE." localSheetId="18" hidden="1">{#N/A,#N/A,FALSE,"Plan1"}</definedName>
    <definedName name="wrn.SBBE." hidden="1">{#N/A,#N/A,FALSE,"Plan1"}</definedName>
    <definedName name="xcvxf">'[4]Bm 8'!#REF!</definedName>
    <definedName name="XSX" localSheetId="18">#REF!</definedName>
    <definedName name="XSX">#REF!</definedName>
    <definedName name="XTUBO" localSheetId="18">#REF!</definedName>
    <definedName name="XTUBO">#REF!</definedName>
  </definedNames>
  <calcPr calcId="18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164" i="71" l="1"/>
  <c r="E170" i="71" l="1"/>
  <c r="E166" i="71"/>
  <c r="E162" i="71"/>
  <c r="E160" i="71"/>
  <c r="E139" i="71"/>
  <c r="E127" i="71"/>
  <c r="E103" i="71"/>
  <c r="E20" i="71"/>
  <c r="E13" i="71"/>
  <c r="K21" i="84" l="1"/>
  <c r="F864" i="64" s="1"/>
  <c r="L21" i="84"/>
  <c r="F865" i="64" s="1"/>
  <c r="M21" i="84"/>
  <c r="F866" i="64" s="1"/>
  <c r="N21" i="84"/>
  <c r="F867" i="64" s="1"/>
  <c r="O21" i="84"/>
  <c r="F868" i="64" s="1"/>
  <c r="P21" i="84"/>
  <c r="F869" i="64" s="1"/>
  <c r="Q21" i="84"/>
  <c r="F870" i="64" s="1"/>
  <c r="R21" i="84"/>
  <c r="F871" i="64" s="1"/>
  <c r="S21" i="84"/>
  <c r="F872" i="64" s="1"/>
  <c r="S15" i="84"/>
  <c r="R15" i="84"/>
  <c r="Q15" i="84"/>
  <c r="P15" i="84"/>
  <c r="O15" i="84"/>
  <c r="N15" i="84"/>
  <c r="M15" i="84"/>
  <c r="L15" i="84"/>
  <c r="K15" i="84"/>
  <c r="I871" i="64"/>
  <c r="I20" i="84"/>
  <c r="I21" i="84" s="1"/>
  <c r="H20" i="84"/>
  <c r="T20" i="84"/>
  <c r="J863" i="64"/>
  <c r="K863" i="64" s="1"/>
  <c r="C42" i="86"/>
  <c r="C43" i="86" s="1"/>
  <c r="H39" i="86" s="1"/>
  <c r="C40" i="86"/>
  <c r="C41" i="86" s="1"/>
  <c r="H38" i="86" s="1"/>
  <c r="C38" i="86"/>
  <c r="C37" i="86"/>
  <c r="C36" i="86"/>
  <c r="H32" i="86"/>
  <c r="H27" i="86"/>
  <c r="H21" i="86" s="1"/>
  <c r="H23" i="86" s="1"/>
  <c r="C44" i="86" s="1"/>
  <c r="H18" i="86"/>
  <c r="H14" i="86"/>
  <c r="B7" i="86"/>
  <c r="I870" i="64"/>
  <c r="I867" i="64"/>
  <c r="K867" i="64" s="1"/>
  <c r="I866" i="64"/>
  <c r="K866" i="64" s="1"/>
  <c r="I865" i="64"/>
  <c r="K865" i="64" s="1"/>
  <c r="I864" i="64"/>
  <c r="K864" i="64" s="1"/>
  <c r="K871" i="64" l="1"/>
  <c r="K870" i="64"/>
  <c r="C39" i="86"/>
  <c r="C49" i="86" s="1"/>
  <c r="H41" i="86"/>
  <c r="H43" i="86" s="1"/>
  <c r="C45" i="86"/>
  <c r="H37" i="86" l="1"/>
  <c r="H48" i="86"/>
  <c r="I868" i="64" l="1"/>
  <c r="K868" i="64" s="1"/>
  <c r="I869" i="64"/>
  <c r="K869" i="64" s="1"/>
  <c r="I872" i="64"/>
  <c r="K872" i="64" s="1"/>
  <c r="C33" i="85"/>
  <c r="C32" i="85"/>
  <c r="E27" i="85"/>
  <c r="I862" i="64" l="1"/>
  <c r="J12" i="61"/>
  <c r="J13" i="61"/>
  <c r="J14" i="61"/>
  <c r="J15" i="61"/>
  <c r="J16" i="61"/>
  <c r="J17" i="61"/>
  <c r="J24" i="61"/>
  <c r="J25" i="61"/>
  <c r="J26" i="61"/>
  <c r="J27" i="61"/>
  <c r="J28" i="61"/>
  <c r="J29" i="61"/>
  <c r="J6" i="61"/>
  <c r="H7" i="61"/>
  <c r="J7" i="61" s="1"/>
  <c r="H8" i="61"/>
  <c r="J8" i="61" s="1"/>
  <c r="H9" i="61"/>
  <c r="J9" i="61" s="1"/>
  <c r="H10" i="61"/>
  <c r="J10" i="61" s="1"/>
  <c r="H11" i="61"/>
  <c r="J11" i="61" s="1"/>
  <c r="H12" i="61"/>
  <c r="H13" i="61"/>
  <c r="H14" i="61"/>
  <c r="H15" i="61"/>
  <c r="H16" i="61"/>
  <c r="H17" i="61"/>
  <c r="H18" i="61"/>
  <c r="J18" i="61" s="1"/>
  <c r="H19" i="61"/>
  <c r="J19" i="61" s="1"/>
  <c r="H20" i="61"/>
  <c r="J20" i="61" s="1"/>
  <c r="H21" i="61"/>
  <c r="J21" i="61" s="1"/>
  <c r="H22" i="61"/>
  <c r="J22" i="61" s="1"/>
  <c r="H23" i="61"/>
  <c r="J23" i="61" s="1"/>
  <c r="H24" i="61"/>
  <c r="H25" i="61"/>
  <c r="H26" i="61"/>
  <c r="H27" i="61"/>
  <c r="H28" i="61"/>
  <c r="H29" i="61"/>
  <c r="H30" i="61"/>
  <c r="J30" i="61" s="1"/>
  <c r="H31" i="61"/>
  <c r="J31" i="61" s="1"/>
  <c r="H32" i="61"/>
  <c r="J32" i="61" s="1"/>
  <c r="H33" i="61"/>
  <c r="J33" i="61" s="1"/>
  <c r="H34" i="61"/>
  <c r="J34" i="61" s="1"/>
  <c r="H35" i="61"/>
  <c r="J35" i="61" s="1"/>
  <c r="H6" i="61"/>
  <c r="N21" i="39"/>
  <c r="M21" i="39" s="1"/>
  <c r="I21" i="39" s="1"/>
  <c r="N22" i="39"/>
  <c r="M22" i="39" s="1"/>
  <c r="I22" i="39" s="1"/>
  <c r="N23" i="39"/>
  <c r="M23" i="39" s="1"/>
  <c r="I23" i="39" s="1"/>
  <c r="N24" i="39"/>
  <c r="M24" i="39" s="1"/>
  <c r="I24" i="39" s="1"/>
  <c r="N25" i="39"/>
  <c r="M25" i="39" s="1"/>
  <c r="N26" i="39"/>
  <c r="M26" i="39" s="1"/>
  <c r="N27" i="39"/>
  <c r="M27" i="39" s="1"/>
  <c r="N28" i="39"/>
  <c r="M28" i="39" s="1"/>
  <c r="N29" i="39"/>
  <c r="M29" i="39" s="1"/>
  <c r="N30" i="39"/>
  <c r="M30" i="39" s="1"/>
  <c r="N31" i="39"/>
  <c r="M31" i="39" s="1"/>
  <c r="N32" i="39"/>
  <c r="M32" i="39" s="1"/>
  <c r="N33" i="39"/>
  <c r="M33" i="39" s="1"/>
  <c r="N34" i="39"/>
  <c r="M34" i="39" s="1"/>
  <c r="N35" i="39"/>
  <c r="M35" i="39" s="1"/>
  <c r="N36" i="39"/>
  <c r="M36" i="39" s="1"/>
  <c r="N37" i="39"/>
  <c r="M37" i="39" s="1"/>
  <c r="N38" i="39"/>
  <c r="M38" i="39" s="1"/>
  <c r="N39" i="39"/>
  <c r="M39" i="39" s="1"/>
  <c r="N40" i="39"/>
  <c r="M40" i="39" s="1"/>
  <c r="I40" i="39" s="1"/>
  <c r="N41" i="39"/>
  <c r="M41" i="39" s="1"/>
  <c r="I41" i="39" s="1"/>
  <c r="N42" i="39"/>
  <c r="M42" i="39" s="1"/>
  <c r="N43" i="39"/>
  <c r="M43" i="39" s="1"/>
  <c r="I43" i="39" s="1"/>
  <c r="N44" i="39"/>
  <c r="M44" i="39" s="1"/>
  <c r="I44" i="39" s="1"/>
  <c r="N45" i="39"/>
  <c r="M45" i="39" s="1"/>
  <c r="I45" i="39" s="1"/>
  <c r="N46" i="39"/>
  <c r="M46" i="39" s="1"/>
  <c r="I46" i="39" s="1"/>
  <c r="N47" i="39"/>
  <c r="M47" i="39" s="1"/>
  <c r="I47" i="39" s="1"/>
  <c r="N48" i="39"/>
  <c r="M48" i="39" s="1"/>
  <c r="I48" i="39" s="1"/>
  <c r="N49" i="39"/>
  <c r="M49" i="39" s="1"/>
  <c r="I49" i="39" s="1"/>
  <c r="N50" i="39"/>
  <c r="N51" i="39"/>
  <c r="N52" i="39"/>
  <c r="N53" i="39"/>
  <c r="N54" i="39"/>
  <c r="N55" i="39"/>
  <c r="N56" i="39"/>
  <c r="N57" i="39"/>
  <c r="N58" i="39"/>
  <c r="N59" i="39"/>
  <c r="N60" i="39"/>
  <c r="N61" i="39"/>
  <c r="N62" i="39"/>
  <c r="N63" i="39"/>
  <c r="N64" i="39"/>
  <c r="N65" i="39"/>
  <c r="N66" i="39"/>
  <c r="N67" i="39"/>
  <c r="N68" i="39"/>
  <c r="N69" i="39"/>
  <c r="N70" i="39"/>
  <c r="N71" i="39"/>
  <c r="N72" i="39"/>
  <c r="N73" i="39"/>
  <c r="N74" i="39"/>
  <c r="N75" i="39"/>
  <c r="N76" i="39"/>
  <c r="N77" i="39"/>
  <c r="N78" i="39"/>
  <c r="N79" i="39"/>
  <c r="N80" i="39"/>
  <c r="N81" i="39"/>
  <c r="N82" i="39"/>
  <c r="N83" i="39"/>
  <c r="N84" i="39"/>
  <c r="N85" i="39"/>
  <c r="N86" i="39"/>
  <c r="N87" i="39"/>
  <c r="N88" i="39"/>
  <c r="N89" i="39"/>
  <c r="N90" i="39"/>
  <c r="N91" i="39"/>
  <c r="N92" i="39"/>
  <c r="N93" i="39"/>
  <c r="N94" i="39"/>
  <c r="N95" i="39"/>
  <c r="N96" i="39"/>
  <c r="N97" i="39"/>
  <c r="N98" i="39"/>
  <c r="N99" i="39"/>
  <c r="N100" i="39"/>
  <c r="N101" i="39"/>
  <c r="N102" i="39"/>
  <c r="N103" i="39"/>
  <c r="N104" i="39"/>
  <c r="N105" i="39"/>
  <c r="N106" i="39"/>
  <c r="N107" i="39"/>
  <c r="N108" i="39"/>
  <c r="N109" i="39"/>
  <c r="N110" i="39"/>
  <c r="N111" i="39"/>
  <c r="N112" i="39"/>
  <c r="N113" i="39"/>
  <c r="N114" i="39"/>
  <c r="N115" i="39"/>
  <c r="N116" i="39"/>
  <c r="N117" i="39"/>
  <c r="N118" i="39"/>
  <c r="N119" i="39"/>
  <c r="N120" i="39"/>
  <c r="N121" i="39"/>
  <c r="N122" i="39"/>
  <c r="N123" i="39"/>
  <c r="N124" i="39"/>
  <c r="N125" i="39"/>
  <c r="N20" i="39"/>
  <c r="M20" i="39" s="1"/>
  <c r="I20" i="39" s="1"/>
  <c r="P21" i="39"/>
  <c r="P22" i="39"/>
  <c r="P23" i="39"/>
  <c r="P24" i="39"/>
  <c r="P25" i="39"/>
  <c r="P26" i="39"/>
  <c r="P27" i="39"/>
  <c r="P28" i="39"/>
  <c r="P29" i="39"/>
  <c r="P30" i="39"/>
  <c r="P31" i="39"/>
  <c r="P32" i="39"/>
  <c r="P33" i="39"/>
  <c r="P34" i="39"/>
  <c r="P35" i="39"/>
  <c r="P36" i="39"/>
  <c r="P37" i="39"/>
  <c r="P38" i="39"/>
  <c r="P39" i="39"/>
  <c r="P40" i="39"/>
  <c r="P41" i="39"/>
  <c r="P42" i="39"/>
  <c r="P43" i="39"/>
  <c r="P44" i="39"/>
  <c r="P45" i="39"/>
  <c r="P46" i="39"/>
  <c r="P47" i="39"/>
  <c r="P48" i="39"/>
  <c r="P49" i="39"/>
  <c r="P20" i="39"/>
  <c r="Q21" i="39"/>
  <c r="Q22" i="39"/>
  <c r="Q23" i="39"/>
  <c r="Q24" i="39"/>
  <c r="Q25" i="39"/>
  <c r="Q26" i="39"/>
  <c r="Q27" i="39"/>
  <c r="Q28" i="39"/>
  <c r="Q29" i="39"/>
  <c r="Q30" i="39"/>
  <c r="Q31" i="39"/>
  <c r="Q32" i="39"/>
  <c r="Q33" i="39"/>
  <c r="Q34" i="39"/>
  <c r="Q35" i="39"/>
  <c r="Q36" i="39"/>
  <c r="Q37" i="39"/>
  <c r="Q38" i="39"/>
  <c r="Q39" i="39"/>
  <c r="Q40" i="39"/>
  <c r="Q41" i="39"/>
  <c r="Q42" i="39"/>
  <c r="Q43" i="39"/>
  <c r="Q44" i="39"/>
  <c r="Q45" i="39"/>
  <c r="Q46" i="39"/>
  <c r="Q47" i="39"/>
  <c r="Q48" i="39"/>
  <c r="Q49" i="39"/>
  <c r="Q20" i="39"/>
  <c r="I755" i="64" l="1"/>
  <c r="F28" i="58"/>
  <c r="B172" i="71"/>
  <c r="F21" i="84"/>
  <c r="F858" i="64" s="1"/>
  <c r="E21" i="84"/>
  <c r="I861" i="64"/>
  <c r="D21" i="84"/>
  <c r="C11" i="84"/>
  <c r="I856" i="64"/>
  <c r="K856" i="64" s="1"/>
  <c r="I857" i="64"/>
  <c r="K857" i="64" s="1"/>
  <c r="I858" i="64"/>
  <c r="I859" i="64"/>
  <c r="I860" i="64"/>
  <c r="I855" i="64"/>
  <c r="K858" i="64" l="1"/>
  <c r="C21" i="84"/>
  <c r="F855" i="64" s="1"/>
  <c r="K855" i="64" s="1"/>
  <c r="G21" i="84"/>
  <c r="F859" i="64" s="1"/>
  <c r="K859" i="64" s="1"/>
  <c r="U28" i="39"/>
  <c r="U29" i="39"/>
  <c r="U31" i="39"/>
  <c r="T28" i="39"/>
  <c r="T29" i="39"/>
  <c r="T31" i="39"/>
  <c r="U78" i="39"/>
  <c r="U79" i="39"/>
  <c r="U80" i="39"/>
  <c r="U81" i="39"/>
  <c r="U82" i="39"/>
  <c r="U83" i="39"/>
  <c r="U84" i="39"/>
  <c r="U85" i="39"/>
  <c r="U86" i="39"/>
  <c r="U87" i="39"/>
  <c r="U88" i="39"/>
  <c r="U89" i="39"/>
  <c r="U90" i="39"/>
  <c r="U91" i="39"/>
  <c r="U92" i="39"/>
  <c r="U93" i="39"/>
  <c r="U94" i="39"/>
  <c r="U95" i="39"/>
  <c r="U96" i="39"/>
  <c r="U97" i="39"/>
  <c r="U98" i="39"/>
  <c r="U99" i="39"/>
  <c r="U100" i="39"/>
  <c r="U101" i="39"/>
  <c r="U102" i="39"/>
  <c r="U103" i="39"/>
  <c r="U104" i="39"/>
  <c r="U105" i="39"/>
  <c r="U106" i="39"/>
  <c r="U107" i="39"/>
  <c r="U108" i="39"/>
  <c r="U109" i="39"/>
  <c r="U110" i="39"/>
  <c r="U111" i="39"/>
  <c r="U112" i="39"/>
  <c r="U113" i="39"/>
  <c r="U114" i="39"/>
  <c r="U115" i="39"/>
  <c r="U116" i="39"/>
  <c r="U117" i="39"/>
  <c r="U118" i="39"/>
  <c r="U119" i="39"/>
  <c r="U120" i="39"/>
  <c r="U121" i="39"/>
  <c r="U122" i="39"/>
  <c r="U123" i="39"/>
  <c r="U124" i="39"/>
  <c r="U125" i="39"/>
  <c r="L83" i="83"/>
  <c r="N83" i="83" s="1"/>
  <c r="L84" i="83"/>
  <c r="N84" i="83" s="1"/>
  <c r="L85" i="83"/>
  <c r="N85" i="83" s="1"/>
  <c r="L82" i="83"/>
  <c r="J30" i="39"/>
  <c r="J28" i="39"/>
  <c r="J32" i="39"/>
  <c r="J31" i="39"/>
  <c r="J29" i="39"/>
  <c r="H21" i="84" l="1"/>
  <c r="L86" i="83"/>
  <c r="F473" i="64" s="1"/>
  <c r="N82" i="83"/>
  <c r="N86" i="83" s="1"/>
  <c r="F474" i="64" s="1"/>
  <c r="I844" i="64"/>
  <c r="F860" i="64" l="1"/>
  <c r="K860" i="64" s="1"/>
  <c r="T21" i="84"/>
  <c r="F861" i="64" s="1"/>
  <c r="K861" i="64" s="1"/>
  <c r="J21" i="84"/>
  <c r="F862" i="64" s="1"/>
  <c r="K862" i="64" s="1"/>
  <c r="F841" i="64"/>
  <c r="G126" i="82"/>
  <c r="F843" i="64" s="1"/>
  <c r="F846" i="64" s="1"/>
  <c r="E126" i="82"/>
  <c r="F126" i="82"/>
  <c r="F845" i="64" s="1"/>
  <c r="F844" i="64" s="1"/>
  <c r="K844" i="64" s="1"/>
  <c r="D28" i="82"/>
  <c r="D29" i="82"/>
  <c r="K873" i="64" l="1"/>
  <c r="D36" i="26" s="1"/>
  <c r="F483" i="64"/>
  <c r="F125" i="82"/>
  <c r="F124" i="82"/>
  <c r="G124" i="82" s="1"/>
  <c r="F123" i="82"/>
  <c r="F122" i="82"/>
  <c r="F121" i="82"/>
  <c r="F120" i="82"/>
  <c r="G120" i="82" s="1"/>
  <c r="F119" i="82"/>
  <c r="F118" i="82"/>
  <c r="F117" i="82"/>
  <c r="F116" i="82"/>
  <c r="G116" i="82" s="1"/>
  <c r="F115" i="82"/>
  <c r="F114" i="82"/>
  <c r="F113" i="82"/>
  <c r="F112" i="82"/>
  <c r="G112" i="82" s="1"/>
  <c r="F111" i="82"/>
  <c r="F110" i="82"/>
  <c r="F109" i="82"/>
  <c r="F108" i="82"/>
  <c r="G108" i="82" s="1"/>
  <c r="F107" i="82"/>
  <c r="F106" i="82"/>
  <c r="F105" i="82"/>
  <c r="F104" i="82"/>
  <c r="G104" i="82" s="1"/>
  <c r="F103" i="82"/>
  <c r="F102" i="82"/>
  <c r="F101" i="82"/>
  <c r="F100" i="82"/>
  <c r="F99" i="82"/>
  <c r="G99" i="82" s="1"/>
  <c r="F98" i="82"/>
  <c r="F97" i="82"/>
  <c r="G97" i="82" s="1"/>
  <c r="F96" i="82"/>
  <c r="F95" i="82"/>
  <c r="G95" i="82" s="1"/>
  <c r="F94" i="82"/>
  <c r="G94" i="82" s="1"/>
  <c r="F93" i="82"/>
  <c r="F92" i="82"/>
  <c r="F91" i="82"/>
  <c r="G91" i="82" s="1"/>
  <c r="F90" i="82"/>
  <c r="G90" i="82" s="1"/>
  <c r="F89" i="82"/>
  <c r="F88" i="82"/>
  <c r="F87" i="82"/>
  <c r="G87" i="82" s="1"/>
  <c r="F86" i="82"/>
  <c r="G86" i="82" s="1"/>
  <c r="F85" i="82"/>
  <c r="F84" i="82"/>
  <c r="F83" i="82"/>
  <c r="F82" i="82"/>
  <c r="G82" i="82" s="1"/>
  <c r="F81" i="82"/>
  <c r="F80" i="82"/>
  <c r="F79" i="82"/>
  <c r="F78" i="82"/>
  <c r="G78" i="82" s="1"/>
  <c r="D77" i="82"/>
  <c r="C77" i="82"/>
  <c r="F77" i="82" s="1"/>
  <c r="B77" i="82"/>
  <c r="A77" i="82"/>
  <c r="F76" i="82"/>
  <c r="D76" i="82"/>
  <c r="C76" i="82"/>
  <c r="B76" i="82"/>
  <c r="A76" i="82"/>
  <c r="D75" i="82"/>
  <c r="C75" i="82"/>
  <c r="B75" i="82"/>
  <c r="A75" i="82"/>
  <c r="D74" i="82"/>
  <c r="C74" i="82"/>
  <c r="F74" i="82" s="1"/>
  <c r="G74" i="82" s="1"/>
  <c r="B74" i="82"/>
  <c r="A74" i="82"/>
  <c r="D73" i="82"/>
  <c r="C73" i="82"/>
  <c r="B73" i="82"/>
  <c r="A73" i="82"/>
  <c r="D72" i="82"/>
  <c r="C72" i="82"/>
  <c r="F72" i="82" s="1"/>
  <c r="B72" i="82"/>
  <c r="A72" i="82"/>
  <c r="D71" i="82"/>
  <c r="C71" i="82"/>
  <c r="B71" i="82"/>
  <c r="A71" i="82"/>
  <c r="D70" i="82"/>
  <c r="C70" i="82"/>
  <c r="F70" i="82" s="1"/>
  <c r="G70" i="82" s="1"/>
  <c r="B70" i="82"/>
  <c r="A70" i="82"/>
  <c r="D69" i="82"/>
  <c r="C69" i="82"/>
  <c r="B69" i="82"/>
  <c r="A69" i="82"/>
  <c r="D68" i="82"/>
  <c r="C68" i="82"/>
  <c r="F68" i="82" s="1"/>
  <c r="B68" i="82"/>
  <c r="A68" i="82"/>
  <c r="D67" i="82"/>
  <c r="C67" i="82"/>
  <c r="B67" i="82"/>
  <c r="A67" i="82"/>
  <c r="D66" i="82"/>
  <c r="C66" i="82"/>
  <c r="F66" i="82" s="1"/>
  <c r="B66" i="82"/>
  <c r="A66" i="82"/>
  <c r="D65" i="82"/>
  <c r="C65" i="82"/>
  <c r="B65" i="82"/>
  <c r="A65" i="82"/>
  <c r="D64" i="82"/>
  <c r="C64" i="82"/>
  <c r="F64" i="82" s="1"/>
  <c r="B64" i="82"/>
  <c r="A64" i="82"/>
  <c r="D63" i="82"/>
  <c r="C63" i="82"/>
  <c r="F63" i="82" s="1"/>
  <c r="B63" i="82"/>
  <c r="A63" i="82"/>
  <c r="F62" i="82"/>
  <c r="D62" i="82"/>
  <c r="C62" i="82"/>
  <c r="B62" i="82"/>
  <c r="A62" i="82"/>
  <c r="D61" i="82"/>
  <c r="C61" i="82"/>
  <c r="F61" i="82" s="1"/>
  <c r="B61" i="82"/>
  <c r="A61" i="82"/>
  <c r="D60" i="82"/>
  <c r="C60" i="82"/>
  <c r="B60" i="82"/>
  <c r="A60" i="82"/>
  <c r="D59" i="82"/>
  <c r="C59" i="82"/>
  <c r="F59" i="82" s="1"/>
  <c r="B59" i="82"/>
  <c r="A59" i="82"/>
  <c r="D58" i="82"/>
  <c r="C58" i="82"/>
  <c r="F58" i="82" s="1"/>
  <c r="G58" i="82" s="1"/>
  <c r="B58" i="82"/>
  <c r="A58" i="82"/>
  <c r="D57" i="82"/>
  <c r="C57" i="82"/>
  <c r="B57" i="82"/>
  <c r="A57" i="82"/>
  <c r="D56" i="82"/>
  <c r="C56" i="82"/>
  <c r="F56" i="82" s="1"/>
  <c r="B56" i="82"/>
  <c r="A56" i="82"/>
  <c r="D55" i="82"/>
  <c r="C55" i="82"/>
  <c r="B55" i="82"/>
  <c r="A55" i="82"/>
  <c r="D54" i="82"/>
  <c r="C54" i="82"/>
  <c r="F54" i="82" s="1"/>
  <c r="B54" i="82"/>
  <c r="A54" i="82"/>
  <c r="D53" i="82"/>
  <c r="C53" i="82"/>
  <c r="F53" i="82" s="1"/>
  <c r="G53" i="82" s="1"/>
  <c r="B53" i="82"/>
  <c r="A53" i="82"/>
  <c r="D52" i="82"/>
  <c r="C52" i="82"/>
  <c r="F52" i="82" s="1"/>
  <c r="B52" i="82"/>
  <c r="A52" i="82"/>
  <c r="D51" i="82"/>
  <c r="C51" i="82"/>
  <c r="F51" i="82" s="1"/>
  <c r="B51" i="82"/>
  <c r="A51" i="82"/>
  <c r="D50" i="82"/>
  <c r="C50" i="82"/>
  <c r="F50" i="82" s="1"/>
  <c r="B50" i="82"/>
  <c r="A50" i="82"/>
  <c r="A49" i="82"/>
  <c r="A48" i="82"/>
  <c r="A47" i="82"/>
  <c r="A46" i="82"/>
  <c r="A45" i="82"/>
  <c r="A44" i="82"/>
  <c r="A43" i="82"/>
  <c r="A42" i="82"/>
  <c r="A41" i="82"/>
  <c r="A40" i="82"/>
  <c r="A39" i="82"/>
  <c r="A38" i="82"/>
  <c r="A36" i="82"/>
  <c r="A35" i="82"/>
  <c r="A34" i="82"/>
  <c r="A33" i="82"/>
  <c r="C32" i="82"/>
  <c r="D32" i="82" s="1"/>
  <c r="A32" i="82"/>
  <c r="C31" i="82"/>
  <c r="D31" i="82" s="1"/>
  <c r="A31" i="82"/>
  <c r="C30" i="82"/>
  <c r="D30" i="82" s="1"/>
  <c r="A30" i="82"/>
  <c r="C11" i="82"/>
  <c r="AN36" i="26" l="1"/>
  <c r="G172" i="71"/>
  <c r="H28" i="58"/>
  <c r="AL36" i="26"/>
  <c r="G52" i="82"/>
  <c r="G59" i="82"/>
  <c r="G51" i="82"/>
  <c r="F55" i="82"/>
  <c r="F57" i="82"/>
  <c r="G77" i="82"/>
  <c r="G80" i="82"/>
  <c r="G61" i="82"/>
  <c r="G84" i="82"/>
  <c r="G50" i="82"/>
  <c r="G54" i="82"/>
  <c r="G56" i="82"/>
  <c r="G64" i="82"/>
  <c r="F60" i="82"/>
  <c r="G63" i="82"/>
  <c r="G68" i="82"/>
  <c r="G76" i="82"/>
  <c r="G83" i="82"/>
  <c r="G62" i="82"/>
  <c r="F65" i="82"/>
  <c r="F67" i="82"/>
  <c r="G72" i="82"/>
  <c r="G79" i="82"/>
  <c r="G92" i="82"/>
  <c r="F69" i="82"/>
  <c r="F71" i="82"/>
  <c r="G88" i="82"/>
  <c r="G98" i="82"/>
  <c r="G101" i="82"/>
  <c r="G105" i="82"/>
  <c r="G109" i="82"/>
  <c r="G113" i="82"/>
  <c r="G117" i="82"/>
  <c r="G121" i="82"/>
  <c r="G125" i="82"/>
  <c r="G66" i="82"/>
  <c r="F73" i="82"/>
  <c r="F75" i="82"/>
  <c r="G100" i="82"/>
  <c r="G96" i="82"/>
  <c r="G81" i="82"/>
  <c r="G85" i="82"/>
  <c r="G89" i="82"/>
  <c r="G93" i="82"/>
  <c r="G102" i="82"/>
  <c r="G106" i="82"/>
  <c r="G110" i="82"/>
  <c r="G114" i="82"/>
  <c r="G118" i="82"/>
  <c r="G122" i="82"/>
  <c r="G103" i="82"/>
  <c r="G107" i="82"/>
  <c r="G111" i="82"/>
  <c r="G115" i="82"/>
  <c r="G119" i="82"/>
  <c r="G123" i="82"/>
  <c r="G75" i="82" l="1"/>
  <c r="G57" i="82"/>
  <c r="G55" i="82"/>
  <c r="G69" i="82"/>
  <c r="G71" i="82"/>
  <c r="G60" i="82"/>
  <c r="G67" i="82"/>
  <c r="G65" i="82"/>
  <c r="G73" i="82"/>
  <c r="I26" i="64" l="1"/>
  <c r="I27" i="64"/>
  <c r="I28" i="64"/>
  <c r="I29" i="64"/>
  <c r="I30" i="64"/>
  <c r="I31" i="64"/>
  <c r="I32" i="64"/>
  <c r="I33" i="64"/>
  <c r="I34" i="64"/>
  <c r="I35" i="64"/>
  <c r="I36" i="64"/>
  <c r="I37" i="64"/>
  <c r="I38" i="64"/>
  <c r="I39" i="64"/>
  <c r="I40" i="64"/>
  <c r="I41" i="64"/>
  <c r="I42" i="64"/>
  <c r="I43" i="64"/>
  <c r="I44" i="64"/>
  <c r="I45" i="64"/>
  <c r="I46" i="64"/>
  <c r="I47" i="64"/>
  <c r="I48" i="64"/>
  <c r="I49" i="64"/>
  <c r="I50" i="64"/>
  <c r="I51" i="64"/>
  <c r="I52" i="64"/>
  <c r="I53" i="64"/>
  <c r="I54" i="64"/>
  <c r="I55" i="64"/>
  <c r="I56" i="64"/>
  <c r="I57" i="64"/>
  <c r="I58" i="64"/>
  <c r="I59" i="64"/>
  <c r="I60" i="64"/>
  <c r="I61" i="64"/>
  <c r="I62" i="64"/>
  <c r="I63" i="64"/>
  <c r="I64" i="64"/>
  <c r="I65" i="64"/>
  <c r="I66" i="64"/>
  <c r="I67" i="64"/>
  <c r="I68" i="64"/>
  <c r="I69" i="64"/>
  <c r="I70" i="64"/>
  <c r="I71" i="64"/>
  <c r="I72" i="64"/>
  <c r="I73" i="64"/>
  <c r="I74" i="64"/>
  <c r="I75" i="64"/>
  <c r="I76" i="64"/>
  <c r="I77" i="64"/>
  <c r="I78" i="64"/>
  <c r="I79" i="64"/>
  <c r="I80" i="64"/>
  <c r="I81" i="64"/>
  <c r="I82" i="64"/>
  <c r="I83" i="64"/>
  <c r="I84" i="64"/>
  <c r="I85" i="64"/>
  <c r="I86" i="64"/>
  <c r="I87" i="64"/>
  <c r="I88" i="64"/>
  <c r="I89" i="64"/>
  <c r="I90" i="64"/>
  <c r="I91" i="64"/>
  <c r="I92" i="64"/>
  <c r="I93" i="64"/>
  <c r="I94" i="64"/>
  <c r="I95" i="64"/>
  <c r="I96" i="64"/>
  <c r="I97" i="64"/>
  <c r="I98" i="64"/>
  <c r="I99" i="64"/>
  <c r="I100" i="64"/>
  <c r="I101" i="64"/>
  <c r="I102" i="64"/>
  <c r="I103" i="64"/>
  <c r="I104" i="64"/>
  <c r="I105" i="64"/>
  <c r="I106" i="64"/>
  <c r="I107" i="64"/>
  <c r="I108" i="64"/>
  <c r="I109" i="64"/>
  <c r="I110" i="64"/>
  <c r="I111" i="64"/>
  <c r="I112" i="64"/>
  <c r="I113" i="64"/>
  <c r="I114" i="64"/>
  <c r="I115" i="64"/>
  <c r="I116" i="64"/>
  <c r="I117" i="64"/>
  <c r="I118" i="64"/>
  <c r="I119" i="64"/>
  <c r="I120" i="64"/>
  <c r="I121" i="64"/>
  <c r="I122" i="64"/>
  <c r="I123" i="64"/>
  <c r="I124" i="64"/>
  <c r="I125" i="64"/>
  <c r="I126" i="64"/>
  <c r="I127" i="64"/>
  <c r="I128" i="64"/>
  <c r="I129" i="64"/>
  <c r="I130" i="64"/>
  <c r="I131" i="64"/>
  <c r="I132" i="64"/>
  <c r="I133" i="64"/>
  <c r="I134" i="64"/>
  <c r="I135" i="64"/>
  <c r="I136" i="64"/>
  <c r="I137" i="64"/>
  <c r="I138" i="64"/>
  <c r="I139" i="64"/>
  <c r="I140" i="64"/>
  <c r="I141" i="64"/>
  <c r="I142" i="64"/>
  <c r="I143" i="64"/>
  <c r="I144" i="64"/>
  <c r="I145" i="64"/>
  <c r="I146" i="64"/>
  <c r="I147" i="64"/>
  <c r="I148" i="64"/>
  <c r="I149" i="64"/>
  <c r="I150" i="64"/>
  <c r="I151" i="64"/>
  <c r="I152" i="64"/>
  <c r="I153" i="64"/>
  <c r="I154" i="64"/>
  <c r="I155" i="64"/>
  <c r="I156" i="64"/>
  <c r="I157" i="64"/>
  <c r="I158" i="64"/>
  <c r="I159" i="64"/>
  <c r="I160" i="64"/>
  <c r="I161" i="64"/>
  <c r="I162" i="64"/>
  <c r="I163" i="64"/>
  <c r="I164" i="64"/>
  <c r="I165" i="64"/>
  <c r="I166" i="64"/>
  <c r="I167" i="64"/>
  <c r="I168" i="64"/>
  <c r="I169" i="64"/>
  <c r="I170" i="64"/>
  <c r="I171" i="64"/>
  <c r="I172" i="64"/>
  <c r="I173" i="64"/>
  <c r="I174" i="64"/>
  <c r="I175" i="64"/>
  <c r="I176" i="64"/>
  <c r="I177" i="64"/>
  <c r="I178" i="64"/>
  <c r="I179" i="64"/>
  <c r="I180" i="64"/>
  <c r="I181" i="64"/>
  <c r="I182" i="64"/>
  <c r="I183" i="64"/>
  <c r="I184" i="64"/>
  <c r="I185" i="64"/>
  <c r="I186" i="64"/>
  <c r="I187" i="64"/>
  <c r="I188" i="64"/>
  <c r="I189" i="64"/>
  <c r="I190" i="64"/>
  <c r="I191" i="64"/>
  <c r="I192" i="64"/>
  <c r="I193" i="64"/>
  <c r="I194" i="64"/>
  <c r="I195" i="64"/>
  <c r="I196" i="64"/>
  <c r="I197" i="64"/>
  <c r="I198" i="64"/>
  <c r="I199" i="64"/>
  <c r="I200" i="64"/>
  <c r="I201" i="64"/>
  <c r="I202" i="64"/>
  <c r="I203" i="64"/>
  <c r="I204" i="64"/>
  <c r="I205" i="64"/>
  <c r="I206" i="64"/>
  <c r="I207" i="64"/>
  <c r="I208" i="64"/>
  <c r="I209" i="64"/>
  <c r="I210" i="64"/>
  <c r="I211" i="64"/>
  <c r="I212" i="64"/>
  <c r="I213" i="64"/>
  <c r="I214" i="64"/>
  <c r="I215" i="64"/>
  <c r="I216" i="64"/>
  <c r="I217" i="64"/>
  <c r="I218" i="64"/>
  <c r="I219" i="64"/>
  <c r="I220" i="64"/>
  <c r="I221" i="64"/>
  <c r="I222" i="64"/>
  <c r="I223" i="64"/>
  <c r="I224" i="64"/>
  <c r="I225" i="64"/>
  <c r="I226" i="64"/>
  <c r="I227" i="64"/>
  <c r="I228" i="64"/>
  <c r="I229" i="64"/>
  <c r="I230" i="64"/>
  <c r="I231" i="64"/>
  <c r="I232" i="64"/>
  <c r="I233" i="64"/>
  <c r="I234" i="64"/>
  <c r="I235" i="64"/>
  <c r="I236" i="64"/>
  <c r="I237" i="64"/>
  <c r="I238" i="64"/>
  <c r="I239" i="64"/>
  <c r="I240" i="64"/>
  <c r="I241" i="64"/>
  <c r="I242" i="64"/>
  <c r="I243" i="64"/>
  <c r="I244" i="64"/>
  <c r="I245" i="64"/>
  <c r="I246" i="64"/>
  <c r="I247" i="64"/>
  <c r="I248" i="64"/>
  <c r="I249" i="64"/>
  <c r="I250" i="64"/>
  <c r="I251" i="64"/>
  <c r="I252" i="64"/>
  <c r="I253" i="64"/>
  <c r="I254" i="64"/>
  <c r="I255" i="64"/>
  <c r="I256" i="64"/>
  <c r="I257" i="64"/>
  <c r="I258" i="64"/>
  <c r="I259" i="64"/>
  <c r="I260" i="64"/>
  <c r="I261" i="64"/>
  <c r="I262" i="64"/>
  <c r="I263" i="64"/>
  <c r="I264" i="64"/>
  <c r="I265" i="64"/>
  <c r="I266" i="64"/>
  <c r="I267" i="64"/>
  <c r="I268" i="64"/>
  <c r="I269" i="64"/>
  <c r="I270" i="64"/>
  <c r="I271" i="64"/>
  <c r="I272" i="64"/>
  <c r="I273" i="64"/>
  <c r="I274" i="64"/>
  <c r="I275" i="64"/>
  <c r="I276" i="64"/>
  <c r="I277" i="64"/>
  <c r="I278" i="64"/>
  <c r="I279" i="64"/>
  <c r="I280" i="64"/>
  <c r="I281" i="64"/>
  <c r="I282" i="64"/>
  <c r="I283" i="64"/>
  <c r="I284" i="64"/>
  <c r="I285" i="64"/>
  <c r="I286" i="64"/>
  <c r="I287" i="64"/>
  <c r="I288" i="64"/>
  <c r="I289" i="64"/>
  <c r="I290" i="64"/>
  <c r="I291" i="64"/>
  <c r="I292" i="64"/>
  <c r="I293" i="64"/>
  <c r="I294" i="64"/>
  <c r="I295" i="64"/>
  <c r="I296" i="64"/>
  <c r="I297" i="64"/>
  <c r="I298" i="64"/>
  <c r="I299" i="64"/>
  <c r="I300" i="64"/>
  <c r="I301" i="64"/>
  <c r="I302" i="64"/>
  <c r="I303" i="64"/>
  <c r="I304" i="64"/>
  <c r="I305" i="64"/>
  <c r="I306" i="64"/>
  <c r="I307" i="64"/>
  <c r="I308" i="64"/>
  <c r="I309" i="64"/>
  <c r="I310" i="64"/>
  <c r="I311" i="64"/>
  <c r="I312" i="64"/>
  <c r="I313" i="64"/>
  <c r="I314" i="64"/>
  <c r="I315" i="64"/>
  <c r="I316" i="64"/>
  <c r="I317" i="64"/>
  <c r="I318" i="64"/>
  <c r="I319" i="64"/>
  <c r="I320" i="64"/>
  <c r="I321" i="64"/>
  <c r="I322" i="64"/>
  <c r="I323" i="64"/>
  <c r="I324" i="64"/>
  <c r="I325" i="64"/>
  <c r="I326" i="64"/>
  <c r="I327" i="64"/>
  <c r="I328" i="64"/>
  <c r="I329" i="64"/>
  <c r="I330" i="64"/>
  <c r="I331" i="64"/>
  <c r="I332" i="64"/>
  <c r="I333" i="64"/>
  <c r="I334" i="64"/>
  <c r="I335" i="64"/>
  <c r="I336" i="64"/>
  <c r="I337" i="64"/>
  <c r="I338" i="64"/>
  <c r="I339" i="64"/>
  <c r="I340" i="64"/>
  <c r="I341" i="64"/>
  <c r="I342" i="64"/>
  <c r="I343" i="64"/>
  <c r="I344" i="64"/>
  <c r="I345" i="64"/>
  <c r="I346" i="64"/>
  <c r="I347" i="64"/>
  <c r="I348" i="64"/>
  <c r="I349" i="64"/>
  <c r="I350" i="64"/>
  <c r="I351" i="64"/>
  <c r="I352" i="64"/>
  <c r="I353" i="64"/>
  <c r="I354" i="64"/>
  <c r="I355" i="64"/>
  <c r="I356" i="64"/>
  <c r="I357" i="64"/>
  <c r="I358" i="64"/>
  <c r="I359" i="64"/>
  <c r="I360" i="64"/>
  <c r="I361" i="64"/>
  <c r="I362" i="64"/>
  <c r="I363" i="64"/>
  <c r="I364" i="64"/>
  <c r="I365" i="64"/>
  <c r="I366" i="64"/>
  <c r="I367" i="64"/>
  <c r="I368" i="64"/>
  <c r="I369" i="64"/>
  <c r="I370" i="64"/>
  <c r="I371" i="64"/>
  <c r="I372" i="64"/>
  <c r="I373" i="64"/>
  <c r="I374" i="64"/>
  <c r="I375" i="64"/>
  <c r="I376" i="64"/>
  <c r="I377" i="64"/>
  <c r="I378" i="64"/>
  <c r="I379" i="64"/>
  <c r="I380" i="64"/>
  <c r="I381" i="64"/>
  <c r="I382" i="64"/>
  <c r="I383" i="64"/>
  <c r="I384" i="64"/>
  <c r="I385" i="64"/>
  <c r="I386" i="64"/>
  <c r="I387" i="64"/>
  <c r="I388" i="64"/>
  <c r="I389" i="64"/>
  <c r="I390" i="64"/>
  <c r="I391" i="64"/>
  <c r="I392" i="64"/>
  <c r="I393" i="64"/>
  <c r="I394" i="64"/>
  <c r="I395" i="64"/>
  <c r="I396" i="64"/>
  <c r="I397" i="64"/>
  <c r="I398" i="64"/>
  <c r="I399" i="64"/>
  <c r="I400" i="64"/>
  <c r="I401" i="64"/>
  <c r="I402" i="64"/>
  <c r="I403" i="64"/>
  <c r="I404" i="64"/>
  <c r="I405" i="64"/>
  <c r="I406" i="64"/>
  <c r="I407" i="64"/>
  <c r="I408" i="64"/>
  <c r="I409" i="64"/>
  <c r="I410" i="64"/>
  <c r="I411" i="64"/>
  <c r="I412" i="64"/>
  <c r="I413" i="64"/>
  <c r="I414" i="64"/>
  <c r="I415" i="64"/>
  <c r="I416" i="64"/>
  <c r="I417" i="64"/>
  <c r="I418" i="64"/>
  <c r="I419" i="64"/>
  <c r="I420" i="64"/>
  <c r="I421" i="64"/>
  <c r="I422" i="64"/>
  <c r="I423" i="64"/>
  <c r="I424" i="64"/>
  <c r="I425" i="64"/>
  <c r="I426" i="64"/>
  <c r="I427" i="64"/>
  <c r="I428" i="64"/>
  <c r="I429" i="64"/>
  <c r="I430" i="64"/>
  <c r="I431" i="64"/>
  <c r="I432" i="64"/>
  <c r="I433" i="64"/>
  <c r="I434" i="64"/>
  <c r="I435" i="64"/>
  <c r="I436" i="64"/>
  <c r="I437" i="64"/>
  <c r="I438" i="64"/>
  <c r="I439" i="64"/>
  <c r="I440" i="64"/>
  <c r="I441" i="64"/>
  <c r="I442" i="64"/>
  <c r="I443" i="64"/>
  <c r="I444" i="64"/>
  <c r="I445" i="64"/>
  <c r="I446" i="64"/>
  <c r="I447" i="64"/>
  <c r="I448" i="64"/>
  <c r="I449" i="64"/>
  <c r="I450" i="64"/>
  <c r="I451" i="64"/>
  <c r="I452" i="64"/>
  <c r="I453" i="64"/>
  <c r="I454" i="64"/>
  <c r="I455" i="64"/>
  <c r="I456" i="64"/>
  <c r="I457" i="64"/>
  <c r="I458" i="64"/>
  <c r="I459" i="64"/>
  <c r="I460" i="64"/>
  <c r="I461" i="64"/>
  <c r="I462" i="64"/>
  <c r="I463" i="64"/>
  <c r="I464" i="64"/>
  <c r="I465" i="64"/>
  <c r="I466" i="64"/>
  <c r="I467" i="64"/>
  <c r="I468" i="64"/>
  <c r="I469" i="64"/>
  <c r="I470" i="64"/>
  <c r="I471" i="64"/>
  <c r="I472" i="64"/>
  <c r="I473" i="64"/>
  <c r="I474" i="64"/>
  <c r="I475" i="64"/>
  <c r="I476" i="64"/>
  <c r="I477" i="64"/>
  <c r="I478" i="64"/>
  <c r="I479" i="64"/>
  <c r="I480" i="64"/>
  <c r="I481" i="64"/>
  <c r="I482" i="64"/>
  <c r="I483" i="64"/>
  <c r="I484" i="64"/>
  <c r="I485" i="64"/>
  <c r="I486" i="64"/>
  <c r="I487" i="64"/>
  <c r="I488" i="64"/>
  <c r="I489" i="64"/>
  <c r="I490" i="64"/>
  <c r="I491" i="64"/>
  <c r="I492" i="64"/>
  <c r="I493" i="64"/>
  <c r="I494" i="64"/>
  <c r="I495" i="64"/>
  <c r="I496" i="64"/>
  <c r="I497" i="64"/>
  <c r="I498" i="64"/>
  <c r="I499" i="64"/>
  <c r="I500" i="64"/>
  <c r="I501" i="64"/>
  <c r="I502" i="64"/>
  <c r="I503" i="64"/>
  <c r="I504" i="64"/>
  <c r="I505" i="64"/>
  <c r="I506" i="64"/>
  <c r="I507" i="64"/>
  <c r="I508" i="64"/>
  <c r="I509" i="64"/>
  <c r="I510" i="64"/>
  <c r="I511" i="64"/>
  <c r="I512" i="64"/>
  <c r="I513" i="64"/>
  <c r="I514" i="64"/>
  <c r="I515" i="64"/>
  <c r="I516" i="64"/>
  <c r="I517" i="64"/>
  <c r="I518" i="64"/>
  <c r="I519" i="64"/>
  <c r="I520" i="64"/>
  <c r="I521" i="64"/>
  <c r="I522" i="64"/>
  <c r="I523" i="64"/>
  <c r="I524" i="64"/>
  <c r="I525" i="64"/>
  <c r="I526" i="64"/>
  <c r="I527" i="64"/>
  <c r="I528" i="64"/>
  <c r="I529" i="64"/>
  <c r="I530" i="64"/>
  <c r="I531" i="64"/>
  <c r="I532" i="64"/>
  <c r="I533" i="64"/>
  <c r="I534" i="64"/>
  <c r="I535" i="64"/>
  <c r="I536" i="64"/>
  <c r="I537" i="64"/>
  <c r="I538" i="64"/>
  <c r="I539" i="64"/>
  <c r="I540" i="64"/>
  <c r="I541" i="64"/>
  <c r="I542" i="64"/>
  <c r="I543" i="64"/>
  <c r="I544" i="64"/>
  <c r="I545" i="64"/>
  <c r="I546" i="64"/>
  <c r="I547" i="64"/>
  <c r="I548" i="64"/>
  <c r="I549" i="64"/>
  <c r="I550" i="64"/>
  <c r="I551" i="64"/>
  <c r="I552" i="64"/>
  <c r="I553" i="64"/>
  <c r="I554" i="64"/>
  <c r="I555" i="64"/>
  <c r="I556" i="64"/>
  <c r="I557" i="64"/>
  <c r="I558" i="64"/>
  <c r="I559" i="64"/>
  <c r="I560" i="64"/>
  <c r="I561" i="64"/>
  <c r="I562" i="64"/>
  <c r="I563" i="64"/>
  <c r="I564" i="64"/>
  <c r="I565" i="64"/>
  <c r="I566" i="64"/>
  <c r="I567" i="64"/>
  <c r="I568" i="64"/>
  <c r="I569" i="64"/>
  <c r="I570" i="64"/>
  <c r="I571" i="64"/>
  <c r="I572" i="64"/>
  <c r="I573" i="64"/>
  <c r="I574" i="64"/>
  <c r="I575" i="64"/>
  <c r="I576" i="64"/>
  <c r="I577" i="64"/>
  <c r="I578" i="64"/>
  <c r="I579" i="64"/>
  <c r="I580" i="64"/>
  <c r="I581" i="64"/>
  <c r="I582" i="64"/>
  <c r="I583" i="64"/>
  <c r="I584" i="64"/>
  <c r="I585" i="64"/>
  <c r="I586" i="64"/>
  <c r="I587" i="64"/>
  <c r="I588" i="64"/>
  <c r="I589" i="64"/>
  <c r="I590" i="64"/>
  <c r="I591" i="64"/>
  <c r="I592" i="64"/>
  <c r="I593" i="64"/>
  <c r="I594" i="64"/>
  <c r="I595" i="64"/>
  <c r="I596" i="64"/>
  <c r="I597" i="64"/>
  <c r="I598" i="64"/>
  <c r="I599" i="64"/>
  <c r="I600" i="64"/>
  <c r="I601" i="64"/>
  <c r="I602" i="64"/>
  <c r="I603" i="64"/>
  <c r="I604" i="64"/>
  <c r="I605" i="64"/>
  <c r="I606" i="64"/>
  <c r="I607" i="64"/>
  <c r="I608" i="64"/>
  <c r="I609" i="64"/>
  <c r="I610" i="64"/>
  <c r="I611" i="64"/>
  <c r="I612" i="64"/>
  <c r="I613" i="64"/>
  <c r="I614" i="64"/>
  <c r="I615" i="64"/>
  <c r="I616" i="64"/>
  <c r="I617" i="64"/>
  <c r="I618" i="64"/>
  <c r="I619" i="64"/>
  <c r="I620" i="64"/>
  <c r="I621" i="64"/>
  <c r="I622" i="64"/>
  <c r="I623" i="64"/>
  <c r="I624" i="64"/>
  <c r="I625" i="64"/>
  <c r="I626" i="64"/>
  <c r="I627" i="64"/>
  <c r="I628" i="64"/>
  <c r="I629" i="64"/>
  <c r="I630" i="64"/>
  <c r="I631" i="64"/>
  <c r="I632" i="64"/>
  <c r="I633" i="64"/>
  <c r="I634" i="64"/>
  <c r="I635" i="64"/>
  <c r="I636" i="64"/>
  <c r="I637" i="64"/>
  <c r="I638" i="64"/>
  <c r="I639" i="64"/>
  <c r="I640" i="64"/>
  <c r="I641" i="64"/>
  <c r="I642" i="64"/>
  <c r="I643" i="64"/>
  <c r="I644" i="64"/>
  <c r="I645" i="64"/>
  <c r="I646" i="64"/>
  <c r="I647" i="64"/>
  <c r="I648" i="64"/>
  <c r="I649" i="64"/>
  <c r="I650" i="64"/>
  <c r="I651" i="64"/>
  <c r="I652" i="64"/>
  <c r="I653" i="64"/>
  <c r="I654" i="64"/>
  <c r="I655" i="64"/>
  <c r="I656" i="64"/>
  <c r="I657" i="64"/>
  <c r="I658" i="64"/>
  <c r="I659" i="64"/>
  <c r="I660" i="64"/>
  <c r="I661" i="64"/>
  <c r="I662" i="64"/>
  <c r="I663" i="64"/>
  <c r="I664" i="64"/>
  <c r="I665" i="64"/>
  <c r="I666" i="64"/>
  <c r="I667" i="64"/>
  <c r="I668" i="64"/>
  <c r="I669" i="64"/>
  <c r="I670" i="64"/>
  <c r="I671" i="64"/>
  <c r="I672" i="64"/>
  <c r="I673" i="64"/>
  <c r="I674" i="64"/>
  <c r="I675" i="64"/>
  <c r="I676" i="64"/>
  <c r="I677" i="64"/>
  <c r="I678" i="64"/>
  <c r="I679" i="64"/>
  <c r="I680" i="64"/>
  <c r="I681" i="64"/>
  <c r="I682" i="64"/>
  <c r="I683" i="64"/>
  <c r="I684" i="64"/>
  <c r="I685" i="64"/>
  <c r="I686" i="64"/>
  <c r="I687" i="64"/>
  <c r="I688" i="64"/>
  <c r="I689" i="64"/>
  <c r="I690" i="64"/>
  <c r="I691" i="64"/>
  <c r="I692" i="64"/>
  <c r="I693" i="64"/>
  <c r="I694" i="64"/>
  <c r="I695" i="64"/>
  <c r="I696" i="64"/>
  <c r="I697" i="64"/>
  <c r="I698" i="64"/>
  <c r="I699" i="64"/>
  <c r="I700" i="64"/>
  <c r="I701" i="64"/>
  <c r="I702" i="64"/>
  <c r="I703" i="64"/>
  <c r="I704" i="64"/>
  <c r="I705" i="64"/>
  <c r="I706" i="64"/>
  <c r="I707" i="64"/>
  <c r="I708" i="64"/>
  <c r="I709" i="64"/>
  <c r="I710" i="64"/>
  <c r="I711" i="64"/>
  <c r="I712" i="64"/>
  <c r="I713" i="64"/>
  <c r="I714" i="64"/>
  <c r="I715" i="64"/>
  <c r="I716" i="64"/>
  <c r="I717" i="64"/>
  <c r="I718" i="64"/>
  <c r="I719" i="64"/>
  <c r="I720" i="64"/>
  <c r="I721" i="64"/>
  <c r="I722" i="64"/>
  <c r="I723" i="64"/>
  <c r="I724" i="64"/>
  <c r="I725" i="64"/>
  <c r="I726" i="64"/>
  <c r="I727" i="64"/>
  <c r="I728" i="64"/>
  <c r="I729" i="64"/>
  <c r="I730" i="64"/>
  <c r="I731" i="64"/>
  <c r="I732" i="64"/>
  <c r="I733" i="64"/>
  <c r="I734" i="64"/>
  <c r="I735" i="64"/>
  <c r="I736" i="64"/>
  <c r="I737" i="64"/>
  <c r="I738" i="64"/>
  <c r="I739" i="64"/>
  <c r="I740" i="64"/>
  <c r="I25" i="64"/>
  <c r="I19" i="64"/>
  <c r="I18" i="64"/>
  <c r="I21" i="64"/>
  <c r="I34" i="63"/>
  <c r="F27" i="58"/>
  <c r="F26" i="58"/>
  <c r="F25" i="58"/>
  <c r="F24" i="58"/>
  <c r="F23" i="58"/>
  <c r="F22" i="58"/>
  <c r="F20" i="58"/>
  <c r="F19" i="58"/>
  <c r="F18" i="58"/>
  <c r="F17" i="58"/>
  <c r="AM32" i="26"/>
  <c r="AK32" i="26"/>
  <c r="AI32" i="26"/>
  <c r="AM24" i="26"/>
  <c r="AK24" i="26"/>
  <c r="AI24" i="26"/>
  <c r="AG24" i="26"/>
  <c r="AE24" i="26"/>
  <c r="AC24" i="26"/>
  <c r="AA24" i="26"/>
  <c r="Y24" i="26"/>
  <c r="W24" i="26"/>
  <c r="U24" i="26"/>
  <c r="S24" i="26"/>
  <c r="Q24" i="26"/>
  <c r="O24" i="26"/>
  <c r="M24" i="26"/>
  <c r="K24" i="26"/>
  <c r="I24" i="26"/>
  <c r="G24" i="26"/>
  <c r="E24" i="26"/>
  <c r="B34" i="26" l="1"/>
  <c r="B32" i="26"/>
  <c r="B30" i="26"/>
  <c r="B28" i="26"/>
  <c r="B26" i="26"/>
  <c r="B24" i="26"/>
  <c r="B22" i="26"/>
  <c r="B20" i="26"/>
  <c r="I849" i="64"/>
  <c r="K740" i="64"/>
  <c r="K739" i="64"/>
  <c r="K738" i="64"/>
  <c r="K737" i="64"/>
  <c r="K736" i="64"/>
  <c r="K735" i="64"/>
  <c r="K734" i="64"/>
  <c r="K733" i="64"/>
  <c r="K732" i="64"/>
  <c r="K731" i="64"/>
  <c r="K730" i="64"/>
  <c r="K729" i="64"/>
  <c r="K728" i="64"/>
  <c r="K727" i="64"/>
  <c r="K726" i="64"/>
  <c r="K725" i="64"/>
  <c r="K724" i="64"/>
  <c r="K723" i="64"/>
  <c r="K722" i="64"/>
  <c r="K721" i="64"/>
  <c r="K720" i="64"/>
  <c r="K719" i="64"/>
  <c r="K718" i="64"/>
  <c r="K717" i="64"/>
  <c r="K716" i="64"/>
  <c r="K715" i="64"/>
  <c r="K714" i="64"/>
  <c r="K713" i="64"/>
  <c r="K712" i="64"/>
  <c r="K711" i="64"/>
  <c r="K710" i="64"/>
  <c r="K709" i="64"/>
  <c r="K708" i="64"/>
  <c r="K707" i="64"/>
  <c r="K706" i="64"/>
  <c r="K705" i="64"/>
  <c r="K704" i="64"/>
  <c r="K703" i="64"/>
  <c r="K702" i="64"/>
  <c r="K701" i="64"/>
  <c r="K700" i="64"/>
  <c r="K699" i="64"/>
  <c r="K698" i="64"/>
  <c r="K697" i="64"/>
  <c r="K696" i="64"/>
  <c r="K695" i="64"/>
  <c r="K694" i="64"/>
  <c r="K693" i="64"/>
  <c r="K692" i="64"/>
  <c r="K691" i="64"/>
  <c r="K690" i="64"/>
  <c r="K689" i="64"/>
  <c r="K688" i="64"/>
  <c r="K687" i="64"/>
  <c r="K686" i="64"/>
  <c r="K685" i="64"/>
  <c r="K684" i="64"/>
  <c r="K683" i="64"/>
  <c r="K682" i="64"/>
  <c r="K681" i="64"/>
  <c r="K680" i="64"/>
  <c r="K679" i="64"/>
  <c r="K678" i="64"/>
  <c r="K677" i="64"/>
  <c r="K676" i="64"/>
  <c r="K675" i="64"/>
  <c r="K674" i="64"/>
  <c r="K673" i="64"/>
  <c r="K672" i="64"/>
  <c r="K671" i="64"/>
  <c r="K670" i="64"/>
  <c r="K669" i="64"/>
  <c r="K668" i="64"/>
  <c r="K667" i="64"/>
  <c r="K666" i="64"/>
  <c r="K665" i="64"/>
  <c r="K664" i="64"/>
  <c r="K663" i="64"/>
  <c r="K662" i="64"/>
  <c r="K661" i="64"/>
  <c r="K660" i="64"/>
  <c r="K659" i="64"/>
  <c r="K658" i="64"/>
  <c r="K657" i="64"/>
  <c r="K656" i="64"/>
  <c r="K655" i="64"/>
  <c r="K654" i="64"/>
  <c r="K653" i="64"/>
  <c r="K652" i="64"/>
  <c r="K651" i="64"/>
  <c r="K650" i="64"/>
  <c r="K649" i="64"/>
  <c r="K648" i="64"/>
  <c r="K647" i="64"/>
  <c r="K646" i="64"/>
  <c r="K645" i="64"/>
  <c r="K644" i="64"/>
  <c r="K643" i="64"/>
  <c r="K642" i="64"/>
  <c r="K641" i="64"/>
  <c r="K640" i="64"/>
  <c r="K639" i="64"/>
  <c r="K638" i="64"/>
  <c r="K637" i="64"/>
  <c r="K636" i="64"/>
  <c r="K635" i="64"/>
  <c r="K634" i="64"/>
  <c r="K633" i="64"/>
  <c r="K632" i="64"/>
  <c r="K631" i="64"/>
  <c r="K630" i="64"/>
  <c r="K629" i="64"/>
  <c r="K628" i="64"/>
  <c r="K627" i="64"/>
  <c r="K626" i="64"/>
  <c r="K625" i="64"/>
  <c r="K624" i="64"/>
  <c r="K623" i="64"/>
  <c r="K622" i="64"/>
  <c r="K621" i="64"/>
  <c r="K620" i="64"/>
  <c r="K619" i="64"/>
  <c r="K618" i="64"/>
  <c r="K617" i="64"/>
  <c r="K616" i="64"/>
  <c r="K615" i="64"/>
  <c r="K614" i="64"/>
  <c r="K613" i="64"/>
  <c r="K612" i="64"/>
  <c r="K611" i="64"/>
  <c r="K610" i="64"/>
  <c r="K609" i="64"/>
  <c r="K608" i="64"/>
  <c r="K607" i="64"/>
  <c r="K606" i="64"/>
  <c r="K605" i="64"/>
  <c r="K604" i="64"/>
  <c r="K603" i="64"/>
  <c r="K602" i="64"/>
  <c r="K601" i="64"/>
  <c r="K600" i="64"/>
  <c r="K599" i="64"/>
  <c r="K598" i="64"/>
  <c r="K597" i="64"/>
  <c r="K596" i="64"/>
  <c r="K595" i="64"/>
  <c r="K594" i="64"/>
  <c r="K593" i="64"/>
  <c r="K592" i="64"/>
  <c r="K591" i="64"/>
  <c r="K590" i="64"/>
  <c r="K589" i="64"/>
  <c r="K588" i="64"/>
  <c r="K587" i="64"/>
  <c r="K586" i="64"/>
  <c r="K585" i="64"/>
  <c r="K584" i="64"/>
  <c r="K583" i="64"/>
  <c r="K582" i="64"/>
  <c r="K581" i="64"/>
  <c r="K580" i="64"/>
  <c r="K579" i="64"/>
  <c r="B339" i="73"/>
  <c r="B340" i="73"/>
  <c r="B341" i="73"/>
  <c r="B338" i="73"/>
  <c r="K576" i="64"/>
  <c r="B331" i="73" l="1"/>
  <c r="B309" i="73"/>
  <c r="E303" i="73"/>
  <c r="E302" i="73"/>
  <c r="H302" i="73" s="1"/>
  <c r="E301" i="73"/>
  <c r="H301" i="73" s="1"/>
  <c r="E300" i="73"/>
  <c r="H300" i="73" s="1"/>
  <c r="E299" i="73"/>
  <c r="H299" i="73" s="1"/>
  <c r="H298" i="73"/>
  <c r="B292" i="73"/>
  <c r="H280" i="73"/>
  <c r="E279" i="73"/>
  <c r="H279" i="73" s="1"/>
  <c r="H278" i="73"/>
  <c r="E277" i="73"/>
  <c r="H277" i="73" s="1"/>
  <c r="H282" i="73" s="1"/>
  <c r="E261" i="73"/>
  <c r="E244" i="73"/>
  <c r="H218" i="73"/>
  <c r="F183" i="73"/>
  <c r="F205" i="73" s="1"/>
  <c r="E166" i="73"/>
  <c r="E167" i="73" s="1"/>
  <c r="E164" i="73"/>
  <c r="E176" i="73" s="1"/>
  <c r="E163" i="73"/>
  <c r="E143" i="73"/>
  <c r="H117" i="73"/>
  <c r="F82" i="73"/>
  <c r="H198" i="73" s="1"/>
  <c r="E65" i="73"/>
  <c r="E66" i="73" s="1"/>
  <c r="E63" i="73"/>
  <c r="E75" i="73" s="1"/>
  <c r="E62" i="73"/>
  <c r="C57" i="73"/>
  <c r="E50" i="73"/>
  <c r="C53" i="73" s="1"/>
  <c r="E53" i="73" s="1"/>
  <c r="D243" i="73" s="1"/>
  <c r="B251" i="73" s="1"/>
  <c r="C49" i="73"/>
  <c r="F49" i="73" s="1"/>
  <c r="G45" i="73"/>
  <c r="G44" i="73"/>
  <c r="G43" i="73"/>
  <c r="G42" i="73"/>
  <c r="G41" i="73"/>
  <c r="G40" i="73"/>
  <c r="G39" i="73"/>
  <c r="G38" i="73"/>
  <c r="G37" i="73"/>
  <c r="G36" i="73"/>
  <c r="G35" i="73"/>
  <c r="G34" i="73"/>
  <c r="G33" i="73"/>
  <c r="G32" i="73"/>
  <c r="G31" i="73"/>
  <c r="B31" i="73"/>
  <c r="G30" i="73"/>
  <c r="B30" i="73"/>
  <c r="B12" i="73"/>
  <c r="B32" i="73" s="1"/>
  <c r="C10" i="73"/>
  <c r="K577" i="64"/>
  <c r="K575" i="64"/>
  <c r="F574" i="64"/>
  <c r="K572" i="64"/>
  <c r="B13" i="73" l="1"/>
  <c r="B14" i="73" s="1"/>
  <c r="B34" i="73" s="1"/>
  <c r="E281" i="73"/>
  <c r="E96" i="73"/>
  <c r="H194" i="73"/>
  <c r="K574" i="64"/>
  <c r="C69" i="73"/>
  <c r="B181" i="73"/>
  <c r="C30" i="73"/>
  <c r="D30" i="73" s="1"/>
  <c r="E30" i="73" s="1"/>
  <c r="F30" i="73" s="1"/>
  <c r="C11" i="73"/>
  <c r="H196" i="73"/>
  <c r="E92" i="73"/>
  <c r="H304" i="73"/>
  <c r="E198" i="73"/>
  <c r="E196" i="73"/>
  <c r="E194" i="73"/>
  <c r="H191" i="73"/>
  <c r="F104" i="73"/>
  <c r="H97" i="73"/>
  <c r="H95" i="73"/>
  <c r="H93" i="73"/>
  <c r="H91" i="73"/>
  <c r="E195" i="73"/>
  <c r="H96" i="73"/>
  <c r="H94" i="73"/>
  <c r="H92" i="73"/>
  <c r="H197" i="73"/>
  <c r="H195" i="73"/>
  <c r="H193" i="73"/>
  <c r="E97" i="73"/>
  <c r="E95" i="73"/>
  <c r="E93" i="73"/>
  <c r="H90" i="73"/>
  <c r="E199" i="73"/>
  <c r="E197" i="73"/>
  <c r="E193" i="73"/>
  <c r="E98" i="73"/>
  <c r="D142" i="73"/>
  <c r="B150" i="73" s="1"/>
  <c r="B80" i="73"/>
  <c r="C74" i="73"/>
  <c r="E260" i="73"/>
  <c r="C188" i="73"/>
  <c r="C175" i="73"/>
  <c r="C211" i="73"/>
  <c r="C170" i="73"/>
  <c r="C87" i="73"/>
  <c r="E94" i="73"/>
  <c r="H192" i="73"/>
  <c r="B33" i="73" l="1"/>
  <c r="B15" i="73"/>
  <c r="B285" i="73"/>
  <c r="B294" i="73" s="1"/>
  <c r="B269" i="73"/>
  <c r="B273" i="73"/>
  <c r="D318" i="73"/>
  <c r="B325" i="73" s="1"/>
  <c r="B307" i="73"/>
  <c r="B311" i="73" s="1"/>
  <c r="B263" i="73"/>
  <c r="E218" i="73"/>
  <c r="E216" i="73"/>
  <c r="H115" i="73"/>
  <c r="H217" i="73"/>
  <c r="H215" i="73"/>
  <c r="E117" i="73"/>
  <c r="E115" i="73"/>
  <c r="E217" i="73"/>
  <c r="H116" i="73"/>
  <c r="H114" i="73"/>
  <c r="E116" i="73"/>
  <c r="H216" i="73"/>
  <c r="C110" i="73"/>
  <c r="C12" i="73"/>
  <c r="C31" i="73"/>
  <c r="D31" i="73" s="1"/>
  <c r="E31" i="73" s="1"/>
  <c r="F31" i="73" s="1"/>
  <c r="H99" i="73"/>
  <c r="B102" i="73" s="1"/>
  <c r="H200" i="73"/>
  <c r="B203" i="73" s="1"/>
  <c r="B16" i="73" l="1"/>
  <c r="B35" i="73"/>
  <c r="H219" i="73"/>
  <c r="B222" i="73" s="1"/>
  <c r="B241" i="73" s="1"/>
  <c r="C32" i="73"/>
  <c r="D32" i="73" s="1"/>
  <c r="E32" i="73" s="1"/>
  <c r="F32" i="73" s="1"/>
  <c r="C13" i="73"/>
  <c r="H118" i="73"/>
  <c r="B121" i="73" s="1"/>
  <c r="B140" i="73" s="1"/>
  <c r="B315" i="73"/>
  <c r="D319" i="73" s="1"/>
  <c r="B326" i="73" s="1"/>
  <c r="C327" i="73" s="1"/>
  <c r="B36" i="73" l="1"/>
  <c r="B17" i="73"/>
  <c r="B151" i="73"/>
  <c r="C153" i="73" s="1"/>
  <c r="D143" i="73"/>
  <c r="C14" i="73"/>
  <c r="C33" i="73"/>
  <c r="D33" i="73" s="1"/>
  <c r="E33" i="73" s="1"/>
  <c r="F33" i="73" s="1"/>
  <c r="D244" i="73"/>
  <c r="B252" i="73"/>
  <c r="C254" i="73" s="1"/>
  <c r="B18" i="73" l="1"/>
  <c r="B37" i="73"/>
  <c r="C34" i="73"/>
  <c r="D34" i="73" s="1"/>
  <c r="E34" i="73" s="1"/>
  <c r="F34" i="73" s="1"/>
  <c r="C15" i="73"/>
  <c r="B38" i="73" l="1"/>
  <c r="B19" i="73"/>
  <c r="C16" i="73"/>
  <c r="C35" i="73"/>
  <c r="D35" i="73" s="1"/>
  <c r="E35" i="73" s="1"/>
  <c r="F35" i="73" s="1"/>
  <c r="B20" i="73" l="1"/>
  <c r="B39" i="73"/>
  <c r="C36" i="73"/>
  <c r="D36" i="73" s="1"/>
  <c r="E36" i="73" s="1"/>
  <c r="F36" i="73" s="1"/>
  <c r="C17" i="73"/>
  <c r="B40" i="73" l="1"/>
  <c r="B21" i="73"/>
  <c r="C18" i="73"/>
  <c r="C37" i="73"/>
  <c r="D37" i="73" s="1"/>
  <c r="E37" i="73" s="1"/>
  <c r="F37" i="73" s="1"/>
  <c r="B22" i="73" l="1"/>
  <c r="B41" i="73"/>
  <c r="C38" i="73"/>
  <c r="D38" i="73" s="1"/>
  <c r="E38" i="73" s="1"/>
  <c r="F38" i="73" s="1"/>
  <c r="C19" i="73"/>
  <c r="B42" i="73" l="1"/>
  <c r="B23" i="73"/>
  <c r="C20" i="73"/>
  <c r="C39" i="73"/>
  <c r="D39" i="73" s="1"/>
  <c r="E39" i="73" s="1"/>
  <c r="F39" i="73" s="1"/>
  <c r="B24" i="73" l="1"/>
  <c r="B43" i="73"/>
  <c r="C40" i="73"/>
  <c r="D40" i="73" s="1"/>
  <c r="E40" i="73" s="1"/>
  <c r="F40" i="73" s="1"/>
  <c r="C21" i="73"/>
  <c r="B44" i="73" l="1"/>
  <c r="B25" i="73"/>
  <c r="B45" i="73" s="1"/>
  <c r="C22" i="73"/>
  <c r="C41" i="73"/>
  <c r="D41" i="73" s="1"/>
  <c r="E41" i="73" s="1"/>
  <c r="F41" i="73" s="1"/>
  <c r="C42" i="73" l="1"/>
  <c r="D42" i="73" s="1"/>
  <c r="E42" i="73" s="1"/>
  <c r="F42" i="73" s="1"/>
  <c r="C23" i="73"/>
  <c r="C24" i="73" l="1"/>
  <c r="C43" i="73"/>
  <c r="D43" i="73" s="1"/>
  <c r="E43" i="73" s="1"/>
  <c r="F43" i="73" s="1"/>
  <c r="C44" i="73" l="1"/>
  <c r="D44" i="73" s="1"/>
  <c r="E44" i="73" s="1"/>
  <c r="F44" i="73" s="1"/>
  <c r="C25" i="73"/>
  <c r="B332" i="73" l="1"/>
  <c r="C45" i="73"/>
  <c r="D45" i="73" s="1"/>
  <c r="E45" i="73" s="1"/>
  <c r="F45" i="73" s="1"/>
  <c r="M78" i="39" l="1"/>
  <c r="I78" i="39" s="1"/>
  <c r="M79" i="39"/>
  <c r="I79" i="39" s="1"/>
  <c r="M80" i="39"/>
  <c r="I80" i="39" s="1"/>
  <c r="M81" i="39"/>
  <c r="I81" i="39" s="1"/>
  <c r="M82" i="39"/>
  <c r="I82" i="39" s="1"/>
  <c r="M83" i="39"/>
  <c r="I83" i="39" s="1"/>
  <c r="M84" i="39"/>
  <c r="I84" i="39" s="1"/>
  <c r="M85" i="39"/>
  <c r="I85" i="39" s="1"/>
  <c r="M86" i="39"/>
  <c r="I86" i="39" s="1"/>
  <c r="M87" i="39"/>
  <c r="I87" i="39" s="1"/>
  <c r="M88" i="39"/>
  <c r="I88" i="39" s="1"/>
  <c r="M89" i="39"/>
  <c r="I89" i="39" s="1"/>
  <c r="M90" i="39"/>
  <c r="I90" i="39" s="1"/>
  <c r="M91" i="39"/>
  <c r="I91" i="39" s="1"/>
  <c r="M92" i="39"/>
  <c r="I92" i="39" s="1"/>
  <c r="M93" i="39"/>
  <c r="I93" i="39" s="1"/>
  <c r="M94" i="39"/>
  <c r="I94" i="39" s="1"/>
  <c r="M95" i="39"/>
  <c r="I95" i="39" s="1"/>
  <c r="M96" i="39"/>
  <c r="I96" i="39" s="1"/>
  <c r="M97" i="39"/>
  <c r="I97" i="39" s="1"/>
  <c r="M98" i="39"/>
  <c r="I98" i="39" s="1"/>
  <c r="M99" i="39"/>
  <c r="I99" i="39" s="1"/>
  <c r="M100" i="39"/>
  <c r="I100" i="39" s="1"/>
  <c r="M101" i="39"/>
  <c r="I101" i="39" s="1"/>
  <c r="M102" i="39"/>
  <c r="I102" i="39" s="1"/>
  <c r="M103" i="39"/>
  <c r="I103" i="39" s="1"/>
  <c r="M104" i="39"/>
  <c r="I104" i="39" s="1"/>
  <c r="M105" i="39"/>
  <c r="I105" i="39" s="1"/>
  <c r="M106" i="39"/>
  <c r="I106" i="39" s="1"/>
  <c r="M107" i="39"/>
  <c r="I107" i="39" s="1"/>
  <c r="M108" i="39"/>
  <c r="I108" i="39" s="1"/>
  <c r="M109" i="39"/>
  <c r="I109" i="39" s="1"/>
  <c r="M110" i="39"/>
  <c r="I110" i="39" s="1"/>
  <c r="M111" i="39"/>
  <c r="I111" i="39" s="1"/>
  <c r="M112" i="39"/>
  <c r="I112" i="39" s="1"/>
  <c r="M113" i="39"/>
  <c r="I113" i="39" s="1"/>
  <c r="M114" i="39"/>
  <c r="I114" i="39" s="1"/>
  <c r="M115" i="39"/>
  <c r="I115" i="39" s="1"/>
  <c r="M116" i="39"/>
  <c r="I116" i="39" s="1"/>
  <c r="M117" i="39"/>
  <c r="I117" i="39" s="1"/>
  <c r="M118" i="39"/>
  <c r="I118" i="39" s="1"/>
  <c r="M119" i="39"/>
  <c r="I119" i="39" s="1"/>
  <c r="M120" i="39"/>
  <c r="I120" i="39" s="1"/>
  <c r="M121" i="39"/>
  <c r="I121" i="39" s="1"/>
  <c r="M122" i="39"/>
  <c r="I122" i="39" s="1"/>
  <c r="M123" i="39"/>
  <c r="I123" i="39" s="1"/>
  <c r="M124" i="39"/>
  <c r="I124" i="39" s="1"/>
  <c r="M125" i="39"/>
  <c r="I125" i="39" s="1"/>
  <c r="C29" i="46" l="1"/>
  <c r="C28" i="46"/>
  <c r="J30" i="46" l="1"/>
  <c r="J31" i="46"/>
  <c r="J32" i="46"/>
  <c r="C32" i="39"/>
  <c r="C30" i="39"/>
  <c r="A30" i="39"/>
  <c r="A31" i="39"/>
  <c r="A32" i="39"/>
  <c r="G22" i="59"/>
  <c r="G23" i="59"/>
  <c r="G24" i="59"/>
  <c r="C30" i="46"/>
  <c r="E30" i="46" s="1"/>
  <c r="P30" i="46" s="1"/>
  <c r="Q30" i="46" s="1"/>
  <c r="F23" i="59"/>
  <c r="E31" i="46" s="1"/>
  <c r="U31" i="46" s="1"/>
  <c r="V31" i="46" s="1"/>
  <c r="C32" i="46"/>
  <c r="E32" i="46" s="1"/>
  <c r="G32" i="46" s="1"/>
  <c r="H32" i="46" s="1"/>
  <c r="E22" i="59"/>
  <c r="E23" i="59"/>
  <c r="E24" i="59"/>
  <c r="D22" i="59"/>
  <c r="D23" i="59"/>
  <c r="D24" i="59"/>
  <c r="H22" i="59"/>
  <c r="H23" i="59"/>
  <c r="H24" i="59"/>
  <c r="B22" i="59"/>
  <c r="B23" i="59"/>
  <c r="B24" i="59"/>
  <c r="K26" i="64"/>
  <c r="K27" i="64"/>
  <c r="K28" i="64"/>
  <c r="K29" i="64"/>
  <c r="K30" i="64"/>
  <c r="K31" i="64"/>
  <c r="K32" i="64"/>
  <c r="K33" i="64"/>
  <c r="K34" i="64"/>
  <c r="K35" i="64"/>
  <c r="K36" i="64"/>
  <c r="K37" i="64"/>
  <c r="K38" i="64"/>
  <c r="K39" i="64"/>
  <c r="K40" i="64"/>
  <c r="K41" i="64"/>
  <c r="K42" i="64"/>
  <c r="K43" i="64"/>
  <c r="K44" i="64"/>
  <c r="K45" i="64"/>
  <c r="K46" i="64"/>
  <c r="K47" i="64"/>
  <c r="K48" i="64"/>
  <c r="K49" i="64"/>
  <c r="K50" i="64"/>
  <c r="K51" i="64"/>
  <c r="K52" i="64"/>
  <c r="K53" i="64"/>
  <c r="K54" i="64"/>
  <c r="K55" i="64"/>
  <c r="K56" i="64"/>
  <c r="K57" i="64"/>
  <c r="K58" i="64"/>
  <c r="K59" i="64"/>
  <c r="K60" i="64"/>
  <c r="K61" i="64"/>
  <c r="K62" i="64"/>
  <c r="K63" i="64"/>
  <c r="K64" i="64"/>
  <c r="K65" i="64"/>
  <c r="K66" i="64"/>
  <c r="K67" i="64"/>
  <c r="K68" i="64"/>
  <c r="K69" i="64"/>
  <c r="K70" i="64"/>
  <c r="K71" i="64"/>
  <c r="K72" i="64"/>
  <c r="K73" i="64"/>
  <c r="K74" i="64"/>
  <c r="K75" i="64"/>
  <c r="K76" i="64"/>
  <c r="K77" i="64"/>
  <c r="K78" i="64"/>
  <c r="K79" i="64"/>
  <c r="K80" i="64"/>
  <c r="K81" i="64"/>
  <c r="K82" i="64"/>
  <c r="K83" i="64"/>
  <c r="K84" i="64"/>
  <c r="K85" i="64"/>
  <c r="K86" i="64"/>
  <c r="K87" i="64"/>
  <c r="K88" i="64"/>
  <c r="K89" i="64"/>
  <c r="K90" i="64"/>
  <c r="K91" i="64"/>
  <c r="K92" i="64"/>
  <c r="K93" i="64"/>
  <c r="K94" i="64"/>
  <c r="K95" i="64"/>
  <c r="K96" i="64"/>
  <c r="K97" i="64"/>
  <c r="K98" i="64"/>
  <c r="K99" i="64"/>
  <c r="K100" i="64"/>
  <c r="K101" i="64"/>
  <c r="K102" i="64"/>
  <c r="K103" i="64"/>
  <c r="K104" i="64"/>
  <c r="K105" i="64"/>
  <c r="K106" i="64"/>
  <c r="K107" i="64"/>
  <c r="K108" i="64"/>
  <c r="K109" i="64"/>
  <c r="K110" i="64"/>
  <c r="K111" i="64"/>
  <c r="K112" i="64"/>
  <c r="K113" i="64"/>
  <c r="K114" i="64"/>
  <c r="K115" i="64"/>
  <c r="K116" i="64"/>
  <c r="K117" i="64"/>
  <c r="K118" i="64"/>
  <c r="K119" i="64"/>
  <c r="K120" i="64"/>
  <c r="K121" i="64"/>
  <c r="K122" i="64"/>
  <c r="K123" i="64"/>
  <c r="K124" i="64"/>
  <c r="K125" i="64"/>
  <c r="K126" i="64"/>
  <c r="K127" i="64"/>
  <c r="K128" i="64"/>
  <c r="K129" i="64"/>
  <c r="K130" i="64"/>
  <c r="K131" i="64"/>
  <c r="K132" i="64"/>
  <c r="K133" i="64"/>
  <c r="K134" i="64"/>
  <c r="K135" i="64"/>
  <c r="K136" i="64"/>
  <c r="K137" i="64"/>
  <c r="K138" i="64"/>
  <c r="K139" i="64"/>
  <c r="K140" i="64"/>
  <c r="K141" i="64"/>
  <c r="K142" i="64"/>
  <c r="K143" i="64"/>
  <c r="K144" i="64"/>
  <c r="K145" i="64"/>
  <c r="K146" i="64"/>
  <c r="K147" i="64"/>
  <c r="K148" i="64"/>
  <c r="K149" i="64"/>
  <c r="K150" i="64"/>
  <c r="K151" i="64"/>
  <c r="K152" i="64"/>
  <c r="K153" i="64"/>
  <c r="K154" i="64"/>
  <c r="K155" i="64"/>
  <c r="K156" i="64"/>
  <c r="K157" i="64"/>
  <c r="K158" i="64"/>
  <c r="K159" i="64"/>
  <c r="K160" i="64"/>
  <c r="K161" i="64"/>
  <c r="K162" i="64"/>
  <c r="K163" i="64"/>
  <c r="K164" i="64"/>
  <c r="K165" i="64"/>
  <c r="K166" i="64"/>
  <c r="K167" i="64"/>
  <c r="K168" i="64"/>
  <c r="K169" i="64"/>
  <c r="K170" i="64"/>
  <c r="K171" i="64"/>
  <c r="K172" i="64"/>
  <c r="K173" i="64"/>
  <c r="K174" i="64"/>
  <c r="K175" i="64"/>
  <c r="K176" i="64"/>
  <c r="K177" i="64"/>
  <c r="K178" i="64"/>
  <c r="K179" i="64"/>
  <c r="K180" i="64"/>
  <c r="K181" i="64"/>
  <c r="K182" i="64"/>
  <c r="K183" i="64"/>
  <c r="K184" i="64"/>
  <c r="K185" i="64"/>
  <c r="K186" i="64"/>
  <c r="K187" i="64"/>
  <c r="K188" i="64"/>
  <c r="K189" i="64"/>
  <c r="K190" i="64"/>
  <c r="K191" i="64"/>
  <c r="K192" i="64"/>
  <c r="K193" i="64"/>
  <c r="K194" i="64"/>
  <c r="K195" i="64"/>
  <c r="K196" i="64"/>
  <c r="K197" i="64"/>
  <c r="K198" i="64"/>
  <c r="K199" i="64"/>
  <c r="K200" i="64"/>
  <c r="K201" i="64"/>
  <c r="K202" i="64"/>
  <c r="K203" i="64"/>
  <c r="K204" i="64"/>
  <c r="K205" i="64"/>
  <c r="K206" i="64"/>
  <c r="K207" i="64"/>
  <c r="K208" i="64"/>
  <c r="K209" i="64"/>
  <c r="K210" i="64"/>
  <c r="K211" i="64"/>
  <c r="K212" i="64"/>
  <c r="K213" i="64"/>
  <c r="K214" i="64"/>
  <c r="K215" i="64"/>
  <c r="K216" i="64"/>
  <c r="K217" i="64"/>
  <c r="K218" i="64"/>
  <c r="K219" i="64"/>
  <c r="K220" i="64"/>
  <c r="K221" i="64"/>
  <c r="K222" i="64"/>
  <c r="K223" i="64"/>
  <c r="K224" i="64"/>
  <c r="K225" i="64"/>
  <c r="K226" i="64"/>
  <c r="K227" i="64"/>
  <c r="K228" i="64"/>
  <c r="K229" i="64"/>
  <c r="K230" i="64"/>
  <c r="K231" i="64"/>
  <c r="K232" i="64"/>
  <c r="K233" i="64"/>
  <c r="K234" i="64"/>
  <c r="K235" i="64"/>
  <c r="K236" i="64"/>
  <c r="K237" i="64"/>
  <c r="K238" i="64"/>
  <c r="K239" i="64"/>
  <c r="K240" i="64"/>
  <c r="K241" i="64"/>
  <c r="K242" i="64"/>
  <c r="K243" i="64"/>
  <c r="K244" i="64"/>
  <c r="K245" i="64"/>
  <c r="K246" i="64"/>
  <c r="K247" i="64"/>
  <c r="K248" i="64"/>
  <c r="K249" i="64"/>
  <c r="K250" i="64"/>
  <c r="K251" i="64"/>
  <c r="K252" i="64"/>
  <c r="K253" i="64"/>
  <c r="K254" i="64"/>
  <c r="K255" i="64"/>
  <c r="K256" i="64"/>
  <c r="K257" i="64"/>
  <c r="K258" i="64"/>
  <c r="K259" i="64"/>
  <c r="K260" i="64"/>
  <c r="K261" i="64"/>
  <c r="K262" i="64"/>
  <c r="K263" i="64"/>
  <c r="K264" i="64"/>
  <c r="K265" i="64"/>
  <c r="K266" i="64"/>
  <c r="K267" i="64"/>
  <c r="K268" i="64"/>
  <c r="K269" i="64"/>
  <c r="K270" i="64"/>
  <c r="K271" i="64"/>
  <c r="K272" i="64"/>
  <c r="K273" i="64"/>
  <c r="K274" i="64"/>
  <c r="K275" i="64"/>
  <c r="K276" i="64"/>
  <c r="K277" i="64"/>
  <c r="K278" i="64"/>
  <c r="K279" i="64"/>
  <c r="K280" i="64"/>
  <c r="K281" i="64"/>
  <c r="K282" i="64"/>
  <c r="K283" i="64"/>
  <c r="K284" i="64"/>
  <c r="K285" i="64"/>
  <c r="K286" i="64"/>
  <c r="K287" i="64"/>
  <c r="K288" i="64"/>
  <c r="K289" i="64"/>
  <c r="K290" i="64"/>
  <c r="K291" i="64"/>
  <c r="K292" i="64"/>
  <c r="K293" i="64"/>
  <c r="K294" i="64"/>
  <c r="K295" i="64"/>
  <c r="K296" i="64"/>
  <c r="K297" i="64"/>
  <c r="K298" i="64"/>
  <c r="K299" i="64"/>
  <c r="K300" i="64"/>
  <c r="K301" i="64"/>
  <c r="K302" i="64"/>
  <c r="K303" i="64"/>
  <c r="K304" i="64"/>
  <c r="K305" i="64"/>
  <c r="K306" i="64"/>
  <c r="K307" i="64"/>
  <c r="K308" i="64"/>
  <c r="K309" i="64"/>
  <c r="K310" i="64"/>
  <c r="K311" i="64"/>
  <c r="K312" i="64"/>
  <c r="K313" i="64"/>
  <c r="K314" i="64"/>
  <c r="K315" i="64"/>
  <c r="K316" i="64"/>
  <c r="K317" i="64"/>
  <c r="K318" i="64"/>
  <c r="K319" i="64"/>
  <c r="K320" i="64"/>
  <c r="K321" i="64"/>
  <c r="K322" i="64"/>
  <c r="K323" i="64"/>
  <c r="K324" i="64"/>
  <c r="K325" i="64"/>
  <c r="K326" i="64"/>
  <c r="K327" i="64"/>
  <c r="K328" i="64"/>
  <c r="K329" i="64"/>
  <c r="K330" i="64"/>
  <c r="K331" i="64"/>
  <c r="K332" i="64"/>
  <c r="K333" i="64"/>
  <c r="K334" i="64"/>
  <c r="K335" i="64"/>
  <c r="K336" i="64"/>
  <c r="K337" i="64"/>
  <c r="K338" i="64"/>
  <c r="K339" i="64"/>
  <c r="K340" i="64"/>
  <c r="K341" i="64"/>
  <c r="K342" i="64"/>
  <c r="K343" i="64"/>
  <c r="K344" i="64"/>
  <c r="K345" i="64"/>
  <c r="K346" i="64"/>
  <c r="K347" i="64"/>
  <c r="K348" i="64"/>
  <c r="K349" i="64"/>
  <c r="K350" i="64"/>
  <c r="K351" i="64"/>
  <c r="K352" i="64"/>
  <c r="K353" i="64"/>
  <c r="K354" i="64"/>
  <c r="K355" i="64"/>
  <c r="K356" i="64"/>
  <c r="K357" i="64"/>
  <c r="K358" i="64"/>
  <c r="K359" i="64"/>
  <c r="K360" i="64"/>
  <c r="K361" i="64"/>
  <c r="K362" i="64"/>
  <c r="K363" i="64"/>
  <c r="K364" i="64"/>
  <c r="K365" i="64"/>
  <c r="K366" i="64"/>
  <c r="K367" i="64"/>
  <c r="K368" i="64"/>
  <c r="K369" i="64"/>
  <c r="K370" i="64"/>
  <c r="K371" i="64"/>
  <c r="K372" i="64"/>
  <c r="K373" i="64"/>
  <c r="K374" i="64"/>
  <c r="K375" i="64"/>
  <c r="K376" i="64"/>
  <c r="K377" i="64"/>
  <c r="K378" i="64"/>
  <c r="K379" i="64"/>
  <c r="K380" i="64"/>
  <c r="K381" i="64"/>
  <c r="K382" i="64"/>
  <c r="K383" i="64"/>
  <c r="K384" i="64"/>
  <c r="K385" i="64"/>
  <c r="K386" i="64"/>
  <c r="K387" i="64"/>
  <c r="K388" i="64"/>
  <c r="K389" i="64"/>
  <c r="K390" i="64"/>
  <c r="K391" i="64"/>
  <c r="K392" i="64"/>
  <c r="K393" i="64"/>
  <c r="K394" i="64"/>
  <c r="K395" i="64"/>
  <c r="K396" i="64"/>
  <c r="K397" i="64"/>
  <c r="K398" i="64"/>
  <c r="K399" i="64"/>
  <c r="K400" i="64"/>
  <c r="K401" i="64"/>
  <c r="K402" i="64"/>
  <c r="K403" i="64"/>
  <c r="K404" i="64"/>
  <c r="K405" i="64"/>
  <c r="K406" i="64"/>
  <c r="K407" i="64"/>
  <c r="K408" i="64"/>
  <c r="K409" i="64"/>
  <c r="K410" i="64"/>
  <c r="K411" i="64"/>
  <c r="K412" i="64"/>
  <c r="K413" i="64"/>
  <c r="K414" i="64"/>
  <c r="K415" i="64"/>
  <c r="K416" i="64"/>
  <c r="K417" i="64"/>
  <c r="K418" i="64"/>
  <c r="K419" i="64"/>
  <c r="K420" i="64"/>
  <c r="K421" i="64"/>
  <c r="K422" i="64"/>
  <c r="K423" i="64"/>
  <c r="K424" i="64"/>
  <c r="K425" i="64"/>
  <c r="K426" i="64"/>
  <c r="K427" i="64"/>
  <c r="K428" i="64"/>
  <c r="K429" i="64"/>
  <c r="K430" i="64"/>
  <c r="K431" i="64"/>
  <c r="K432" i="64"/>
  <c r="K433" i="64"/>
  <c r="K434" i="64"/>
  <c r="K435" i="64"/>
  <c r="K436" i="64"/>
  <c r="K437" i="64"/>
  <c r="K438" i="64"/>
  <c r="K439" i="64"/>
  <c r="K440" i="64"/>
  <c r="K441" i="64"/>
  <c r="K442" i="64"/>
  <c r="K443" i="64"/>
  <c r="K444" i="64"/>
  <c r="K445" i="64"/>
  <c r="K446" i="64"/>
  <c r="K447" i="64"/>
  <c r="K448" i="64"/>
  <c r="K449" i="64"/>
  <c r="K450" i="64"/>
  <c r="K451" i="64"/>
  <c r="K452" i="64"/>
  <c r="K453" i="64"/>
  <c r="K454" i="64"/>
  <c r="K455" i="64"/>
  <c r="K456" i="64"/>
  <c r="K457" i="64"/>
  <c r="K458" i="64"/>
  <c r="K459" i="64"/>
  <c r="K460" i="64"/>
  <c r="K461" i="64"/>
  <c r="K462" i="64"/>
  <c r="K463" i="64"/>
  <c r="K464" i="64"/>
  <c r="K465" i="64"/>
  <c r="K466" i="64"/>
  <c r="K467" i="64"/>
  <c r="K468" i="64"/>
  <c r="K469" i="64"/>
  <c r="K470" i="64"/>
  <c r="K471" i="64"/>
  <c r="K472" i="64"/>
  <c r="K473" i="64"/>
  <c r="K474" i="64"/>
  <c r="K475" i="64"/>
  <c r="K476" i="64"/>
  <c r="K477" i="64"/>
  <c r="K478" i="64"/>
  <c r="K479" i="64"/>
  <c r="K480" i="64"/>
  <c r="K481" i="64"/>
  <c r="K482" i="64"/>
  <c r="K483" i="64"/>
  <c r="K484" i="64"/>
  <c r="K485" i="64"/>
  <c r="K486" i="64"/>
  <c r="K487" i="64"/>
  <c r="K488" i="64"/>
  <c r="K489" i="64"/>
  <c r="K490" i="64"/>
  <c r="K491" i="64"/>
  <c r="K492" i="64"/>
  <c r="K493" i="64"/>
  <c r="K494" i="64"/>
  <c r="K495" i="64"/>
  <c r="K496" i="64"/>
  <c r="K497" i="64"/>
  <c r="K498" i="64"/>
  <c r="K499" i="64"/>
  <c r="K500" i="64"/>
  <c r="K501" i="64"/>
  <c r="K502" i="64"/>
  <c r="K503" i="64"/>
  <c r="K504" i="64"/>
  <c r="K505" i="64"/>
  <c r="K506" i="64"/>
  <c r="K507" i="64"/>
  <c r="K508" i="64"/>
  <c r="K509" i="64"/>
  <c r="K510" i="64"/>
  <c r="K511" i="64"/>
  <c r="K512" i="64"/>
  <c r="K513" i="64"/>
  <c r="K514" i="64"/>
  <c r="K515" i="64"/>
  <c r="K516" i="64"/>
  <c r="K517" i="64"/>
  <c r="K518" i="64"/>
  <c r="K519" i="64"/>
  <c r="K520" i="64"/>
  <c r="K521" i="64"/>
  <c r="K522" i="64"/>
  <c r="K523" i="64"/>
  <c r="K524" i="64"/>
  <c r="K525" i="64"/>
  <c r="K526" i="64"/>
  <c r="K527" i="64"/>
  <c r="K528" i="64"/>
  <c r="K529" i="64"/>
  <c r="K530" i="64"/>
  <c r="K531" i="64"/>
  <c r="K532" i="64"/>
  <c r="K533" i="64"/>
  <c r="K534" i="64"/>
  <c r="K535" i="64"/>
  <c r="K536" i="64"/>
  <c r="K537" i="64"/>
  <c r="K538" i="64"/>
  <c r="K539" i="64"/>
  <c r="K540" i="64"/>
  <c r="K541" i="64"/>
  <c r="K542" i="64"/>
  <c r="K543" i="64"/>
  <c r="K544" i="64"/>
  <c r="K545" i="64"/>
  <c r="K546" i="64"/>
  <c r="K547" i="64"/>
  <c r="K548" i="64"/>
  <c r="K549" i="64"/>
  <c r="K550" i="64"/>
  <c r="K551" i="64"/>
  <c r="K552" i="64"/>
  <c r="K553" i="64"/>
  <c r="K554" i="64"/>
  <c r="K555" i="64"/>
  <c r="K556" i="64"/>
  <c r="K557" i="64"/>
  <c r="K558" i="64"/>
  <c r="K559" i="64"/>
  <c r="K560" i="64"/>
  <c r="K561" i="64"/>
  <c r="K562" i="64"/>
  <c r="K563" i="64"/>
  <c r="K564" i="64"/>
  <c r="K565" i="64"/>
  <c r="K566" i="64"/>
  <c r="K567" i="64"/>
  <c r="K568" i="64"/>
  <c r="K569" i="64"/>
  <c r="K570" i="64"/>
  <c r="K571" i="64"/>
  <c r="K25" i="64"/>
  <c r="T30" i="39" l="1"/>
  <c r="U30" i="39"/>
  <c r="U32" i="39"/>
  <c r="W32" i="39" s="1"/>
  <c r="X32" i="39" s="1"/>
  <c r="T32" i="39"/>
  <c r="B32" i="39"/>
  <c r="B32" i="82"/>
  <c r="B31" i="46"/>
  <c r="B31" i="82"/>
  <c r="B30" i="46"/>
  <c r="B30" i="82"/>
  <c r="K741" i="64"/>
  <c r="G20" i="71" s="1"/>
  <c r="I22" i="59"/>
  <c r="I24" i="59"/>
  <c r="O30" i="39"/>
  <c r="R30" i="39" s="1"/>
  <c r="L32" i="39"/>
  <c r="AB31" i="39"/>
  <c r="AC31" i="39" s="1"/>
  <c r="O31" i="39"/>
  <c r="R31" i="39" s="1"/>
  <c r="AD32" i="39"/>
  <c r="AD30" i="39"/>
  <c r="W30" i="39"/>
  <c r="X30" i="39" s="1"/>
  <c r="I18" i="61"/>
  <c r="I16" i="61"/>
  <c r="I17" i="61"/>
  <c r="B31" i="39"/>
  <c r="O32" i="39"/>
  <c r="R32" i="39" s="1"/>
  <c r="AD31" i="39"/>
  <c r="B30" i="39"/>
  <c r="B32" i="46"/>
  <c r="I23" i="59"/>
  <c r="U30" i="46"/>
  <c r="Y30" i="46" s="1"/>
  <c r="U32" i="46"/>
  <c r="Y32" i="46" s="1"/>
  <c r="G30" i="46"/>
  <c r="H30" i="46" s="1"/>
  <c r="K32" i="46"/>
  <c r="L32" i="46" s="1"/>
  <c r="P31" i="46"/>
  <c r="Q31" i="46" s="1"/>
  <c r="G31" i="46"/>
  <c r="H31" i="46" s="1"/>
  <c r="P32" i="46"/>
  <c r="Q32" i="46" s="1"/>
  <c r="I30" i="46"/>
  <c r="K31" i="46"/>
  <c r="M31" i="46" s="1"/>
  <c r="Y31" i="46"/>
  <c r="X31" i="46"/>
  <c r="S30" i="46"/>
  <c r="R30" i="46"/>
  <c r="I31" i="46"/>
  <c r="I32" i="46"/>
  <c r="K30" i="46"/>
  <c r="D9" i="58"/>
  <c r="V32" i="46" l="1"/>
  <c r="W31" i="39"/>
  <c r="X31" i="39" s="1"/>
  <c r="D18" i="26"/>
  <c r="S30" i="39"/>
  <c r="AB30" i="39"/>
  <c r="AC30" i="39" s="1"/>
  <c r="S32" i="39"/>
  <c r="S31" i="39"/>
  <c r="K30" i="39"/>
  <c r="K32" i="39"/>
  <c r="V30" i="46"/>
  <c r="AB32" i="39"/>
  <c r="AC32" i="39" s="1"/>
  <c r="M32" i="46"/>
  <c r="N32" i="46"/>
  <c r="X32" i="46"/>
  <c r="N31" i="46"/>
  <c r="L31" i="46"/>
  <c r="X30" i="46"/>
  <c r="S31" i="46"/>
  <c r="R31" i="46"/>
  <c r="S32" i="46"/>
  <c r="R32" i="46"/>
  <c r="L30" i="46"/>
  <c r="M30" i="46"/>
  <c r="N30" i="46"/>
  <c r="K31" i="39"/>
  <c r="L31" i="39"/>
  <c r="H852" i="64"/>
  <c r="AM34" i="26"/>
  <c r="AK34" i="26"/>
  <c r="AI34" i="26"/>
  <c r="AG34" i="26"/>
  <c r="AE34" i="26"/>
  <c r="AC34" i="26"/>
  <c r="AA34" i="26"/>
  <c r="Y34" i="26"/>
  <c r="W34" i="26"/>
  <c r="U34" i="26"/>
  <c r="S34" i="26"/>
  <c r="Q34" i="26"/>
  <c r="O34" i="26"/>
  <c r="M34" i="26"/>
  <c r="K34" i="26"/>
  <c r="I34" i="26"/>
  <c r="G34" i="26"/>
  <c r="E34" i="26"/>
  <c r="AM16" i="26"/>
  <c r="AK16" i="26"/>
  <c r="AI16" i="26"/>
  <c r="AG16" i="26"/>
  <c r="AE16" i="26"/>
  <c r="AC16" i="26"/>
  <c r="AA16" i="26"/>
  <c r="Y16" i="26"/>
  <c r="W16" i="26"/>
  <c r="U16" i="26"/>
  <c r="S16" i="26"/>
  <c r="Q16" i="26"/>
  <c r="O16" i="26"/>
  <c r="M16" i="26"/>
  <c r="K16" i="26"/>
  <c r="I16" i="26"/>
  <c r="G16" i="26"/>
  <c r="E16" i="26"/>
  <c r="AN18" i="26" l="1"/>
  <c r="H18" i="58"/>
  <c r="J18" i="26"/>
  <c r="AJ18" i="26"/>
  <c r="AB18" i="26"/>
  <c r="T18" i="26"/>
  <c r="L18" i="26"/>
  <c r="X18" i="26"/>
  <c r="P18" i="26"/>
  <c r="AL18" i="26"/>
  <c r="V18" i="26"/>
  <c r="AH18" i="26"/>
  <c r="Z18" i="26"/>
  <c r="R18" i="26"/>
  <c r="AF18" i="26"/>
  <c r="AD18" i="26"/>
  <c r="N18" i="26"/>
  <c r="L30" i="39"/>
  <c r="K853" i="26" l="1"/>
  <c r="K1135" i="26" l="1"/>
  <c r="I846" i="64" l="1"/>
  <c r="K846" i="64" s="1"/>
  <c r="I845" i="64"/>
  <c r="K845" i="64" s="1"/>
  <c r="B8" i="26" l="1"/>
  <c r="I843" i="64" l="1"/>
  <c r="K843" i="64" s="1"/>
  <c r="I841" i="64"/>
  <c r="K841" i="64" s="1"/>
  <c r="I840" i="64"/>
  <c r="I836" i="64"/>
  <c r="I835" i="64"/>
  <c r="I829" i="64"/>
  <c r="I828" i="64"/>
  <c r="I827" i="64"/>
  <c r="I825" i="64"/>
  <c r="I824" i="64"/>
  <c r="I823" i="64"/>
  <c r="I819" i="64"/>
  <c r="I818" i="64"/>
  <c r="I817" i="64"/>
  <c r="I816" i="64"/>
  <c r="I815" i="64"/>
  <c r="I814" i="64"/>
  <c r="I813" i="64"/>
  <c r="I812" i="64"/>
  <c r="I810" i="64"/>
  <c r="F810" i="64"/>
  <c r="I809" i="64"/>
  <c r="F809" i="64"/>
  <c r="I807" i="64"/>
  <c r="I806" i="64"/>
  <c r="I804" i="64"/>
  <c r="I802" i="64"/>
  <c r="I800" i="64"/>
  <c r="I799" i="64"/>
  <c r="I798" i="64"/>
  <c r="I797" i="64"/>
  <c r="I796" i="64"/>
  <c r="I795" i="64"/>
  <c r="I794" i="64"/>
  <c r="I793" i="64"/>
  <c r="I790" i="64"/>
  <c r="I789" i="64"/>
  <c r="I788" i="64"/>
  <c r="I787" i="64"/>
  <c r="I786" i="64"/>
  <c r="I785" i="64"/>
  <c r="I784" i="64"/>
  <c r="I783" i="64"/>
  <c r="I782" i="64"/>
  <c r="I781" i="64"/>
  <c r="I780" i="64"/>
  <c r="I779" i="64"/>
  <c r="I778" i="64"/>
  <c r="I777" i="64"/>
  <c r="I776" i="64"/>
  <c r="I775" i="64"/>
  <c r="I774" i="64"/>
  <c r="I773" i="64"/>
  <c r="I772" i="64"/>
  <c r="I771" i="64"/>
  <c r="I770" i="64"/>
  <c r="I791" i="64"/>
  <c r="I768" i="64"/>
  <c r="I767" i="64"/>
  <c r="I766" i="64"/>
  <c r="I765" i="64"/>
  <c r="I764" i="64"/>
  <c r="I763" i="64"/>
  <c r="I762" i="64"/>
  <c r="I761" i="64"/>
  <c r="I760" i="64"/>
  <c r="I759" i="64"/>
  <c r="I758" i="64"/>
  <c r="I754" i="64"/>
  <c r="I753" i="64"/>
  <c r="I752" i="64"/>
  <c r="I751" i="64"/>
  <c r="I750" i="64"/>
  <c r="I749" i="64"/>
  <c r="I748" i="64"/>
  <c r="I745" i="64"/>
  <c r="I744" i="64"/>
  <c r="I743" i="64"/>
  <c r="K18" i="64"/>
  <c r="I792" i="64" l="1"/>
  <c r="K809" i="64"/>
  <c r="K810" i="64"/>
  <c r="I769" i="64"/>
  <c r="B5" i="63"/>
  <c r="H55" i="63"/>
  <c r="I52" i="63"/>
  <c r="I51" i="63"/>
  <c r="I50" i="63"/>
  <c r="I47" i="63"/>
  <c r="I46" i="63"/>
  <c r="I45" i="63"/>
  <c r="I44" i="63"/>
  <c r="I43" i="63"/>
  <c r="I42" i="63"/>
  <c r="I41" i="63"/>
  <c r="I40" i="63"/>
  <c r="I39" i="63"/>
  <c r="I38" i="63"/>
  <c r="I37" i="63"/>
  <c r="I36" i="63"/>
  <c r="I35" i="63"/>
  <c r="I30" i="63"/>
  <c r="I29" i="63"/>
  <c r="I28" i="63"/>
  <c r="I27" i="63"/>
  <c r="I26" i="63"/>
  <c r="I25" i="63"/>
  <c r="I23" i="63"/>
  <c r="I31" i="63" l="1"/>
  <c r="I53" i="63"/>
  <c r="I48" i="63"/>
  <c r="I54" i="63" l="1"/>
  <c r="K21" i="64" s="1"/>
  <c r="I24" i="16" l="1"/>
  <c r="I55" i="63"/>
  <c r="I56" i="63" s="1"/>
  <c r="G30" i="47"/>
  <c r="A16" i="47"/>
  <c r="A17" i="47" s="1"/>
  <c r="A18" i="47" s="1"/>
  <c r="A19" i="47" s="1"/>
  <c r="A20" i="47" s="1"/>
  <c r="A21" i="47" s="1"/>
  <c r="A22" i="47" s="1"/>
  <c r="A23" i="47" s="1"/>
  <c r="G16" i="47"/>
  <c r="G17" i="47"/>
  <c r="G18" i="47"/>
  <c r="G19" i="47"/>
  <c r="G20" i="47"/>
  <c r="G21" i="47"/>
  <c r="G22" i="47"/>
  <c r="G23" i="47"/>
  <c r="J24" i="16" l="1"/>
  <c r="K24" i="16" s="1"/>
  <c r="G14" i="26"/>
  <c r="I14" i="26" s="1"/>
  <c r="K14" i="26" s="1"/>
  <c r="M14" i="26" s="1"/>
  <c r="O14" i="26" s="1"/>
  <c r="Q14" i="26" s="1"/>
  <c r="S14" i="26" s="1"/>
  <c r="U14" i="26" s="1"/>
  <c r="J28" i="16"/>
  <c r="G116" i="16"/>
  <c r="G115" i="16"/>
  <c r="J115" i="16"/>
  <c r="E128" i="37"/>
  <c r="J33" i="16"/>
  <c r="J34" i="16"/>
  <c r="J81" i="16"/>
  <c r="I78" i="16"/>
  <c r="I77" i="16"/>
  <c r="J69" i="16"/>
  <c r="I67" i="16"/>
  <c r="J59" i="16"/>
  <c r="I56" i="16"/>
  <c r="F265" i="37"/>
  <c r="E265" i="37"/>
  <c r="S265" i="37" s="1"/>
  <c r="F264" i="37"/>
  <c r="E264" i="37"/>
  <c r="F263" i="37"/>
  <c r="E263" i="37"/>
  <c r="G263" i="37" s="1"/>
  <c r="R263" i="37" s="1"/>
  <c r="F262" i="37"/>
  <c r="E262" i="37"/>
  <c r="M262" i="37" s="1"/>
  <c r="I262" i="37" s="1"/>
  <c r="J262" i="37" s="1"/>
  <c r="F261" i="37"/>
  <c r="E261" i="37"/>
  <c r="M261" i="37" s="1"/>
  <c r="I261" i="37" s="1"/>
  <c r="J261" i="37" s="1"/>
  <c r="F260" i="37"/>
  <c r="E260" i="37"/>
  <c r="F259" i="37"/>
  <c r="E259" i="37"/>
  <c r="F258" i="37"/>
  <c r="E258" i="37"/>
  <c r="S258" i="37" s="1"/>
  <c r="F257" i="37"/>
  <c r="E257" i="37"/>
  <c r="F256" i="37"/>
  <c r="E256" i="37"/>
  <c r="G256" i="37" s="1"/>
  <c r="R256" i="37" s="1"/>
  <c r="F255" i="37"/>
  <c r="E255" i="37"/>
  <c r="S255" i="37" s="1"/>
  <c r="F226" i="37"/>
  <c r="E226" i="37"/>
  <c r="S226" i="37" s="1"/>
  <c r="F225" i="37"/>
  <c r="E225" i="37"/>
  <c r="S225" i="37" s="1"/>
  <c r="F224" i="37"/>
  <c r="E224" i="37"/>
  <c r="M224" i="37" s="1"/>
  <c r="I224" i="37" s="1"/>
  <c r="J224" i="37" s="1"/>
  <c r="F223" i="37"/>
  <c r="E223" i="37"/>
  <c r="S223" i="37" s="1"/>
  <c r="F222" i="37"/>
  <c r="E222" i="37"/>
  <c r="S222" i="37" s="1"/>
  <c r="F221" i="37"/>
  <c r="E221" i="37"/>
  <c r="M221" i="37" s="1"/>
  <c r="I221" i="37" s="1"/>
  <c r="J221" i="37" s="1"/>
  <c r="F220" i="37"/>
  <c r="E220" i="37"/>
  <c r="M220" i="37" s="1"/>
  <c r="I220" i="37" s="1"/>
  <c r="J220" i="37" s="1"/>
  <c r="F219" i="37"/>
  <c r="E219" i="37"/>
  <c r="M219" i="37" s="1"/>
  <c r="I219" i="37" s="1"/>
  <c r="J219" i="37" s="1"/>
  <c r="F218" i="37"/>
  <c r="E218" i="37"/>
  <c r="S218" i="37" s="1"/>
  <c r="F217" i="37"/>
  <c r="E217" i="37"/>
  <c r="S217" i="37" s="1"/>
  <c r="F216" i="37"/>
  <c r="E216" i="37"/>
  <c r="S216" i="37" s="1"/>
  <c r="F215" i="37"/>
  <c r="E215" i="37"/>
  <c r="S215" i="37" s="1"/>
  <c r="F214" i="37"/>
  <c r="E214" i="37"/>
  <c r="M214" i="37" s="1"/>
  <c r="I214" i="37" s="1"/>
  <c r="J214" i="37" s="1"/>
  <c r="F185" i="37"/>
  <c r="E185" i="37"/>
  <c r="G185" i="37" s="1"/>
  <c r="F184" i="37"/>
  <c r="E184" i="37"/>
  <c r="S184" i="37" s="1"/>
  <c r="F183" i="37"/>
  <c r="E183" i="37"/>
  <c r="S183" i="37" s="1"/>
  <c r="F182" i="37"/>
  <c r="E182" i="37"/>
  <c r="F181" i="37"/>
  <c r="E181" i="37"/>
  <c r="M181" i="37" s="1"/>
  <c r="I181" i="37" s="1"/>
  <c r="J181" i="37" s="1"/>
  <c r="F180" i="37"/>
  <c r="E180" i="37"/>
  <c r="G180" i="37" s="1"/>
  <c r="F179" i="37"/>
  <c r="E179" i="37"/>
  <c r="F178" i="37"/>
  <c r="E178" i="37"/>
  <c r="F177" i="37"/>
  <c r="E177" i="37"/>
  <c r="F176" i="37"/>
  <c r="E176" i="37"/>
  <c r="F175" i="37"/>
  <c r="E175" i="37"/>
  <c r="F174" i="37"/>
  <c r="E174" i="37"/>
  <c r="F173" i="37"/>
  <c r="E173" i="37"/>
  <c r="F172" i="37"/>
  <c r="E172" i="37"/>
  <c r="G172" i="37" s="1"/>
  <c r="R172" i="37" s="1"/>
  <c r="F171" i="37"/>
  <c r="E171" i="37"/>
  <c r="M171" i="37" s="1"/>
  <c r="I171" i="37" s="1"/>
  <c r="J171" i="37" s="1"/>
  <c r="F143" i="37"/>
  <c r="E143" i="37"/>
  <c r="M143" i="37" s="1"/>
  <c r="I143" i="37" s="1"/>
  <c r="J143" i="37" s="1"/>
  <c r="F142" i="37"/>
  <c r="E142" i="37"/>
  <c r="F141" i="37"/>
  <c r="E141" i="37"/>
  <c r="S141" i="37" s="1"/>
  <c r="F140" i="37"/>
  <c r="E140" i="37"/>
  <c r="M140" i="37" s="1"/>
  <c r="I140" i="37" s="1"/>
  <c r="J140" i="37" s="1"/>
  <c r="F139" i="37"/>
  <c r="E139" i="37"/>
  <c r="F138" i="37"/>
  <c r="E138" i="37"/>
  <c r="S138" i="37" s="1"/>
  <c r="F137" i="37"/>
  <c r="E137" i="37"/>
  <c r="F136" i="37"/>
  <c r="E136" i="37"/>
  <c r="F135" i="37"/>
  <c r="E135" i="37"/>
  <c r="F134" i="37"/>
  <c r="E134" i="37"/>
  <c r="F133" i="37"/>
  <c r="E133" i="37"/>
  <c r="F132" i="37"/>
  <c r="E132" i="37"/>
  <c r="F131" i="37"/>
  <c r="E131" i="37"/>
  <c r="F130" i="37"/>
  <c r="E130" i="37"/>
  <c r="F129" i="37"/>
  <c r="E129" i="37"/>
  <c r="F128" i="37"/>
  <c r="K259" i="37" l="1"/>
  <c r="L259" i="37" s="1"/>
  <c r="K264" i="37"/>
  <c r="L264" i="37" s="1"/>
  <c r="S134" i="37"/>
  <c r="S179" i="37"/>
  <c r="G133" i="37"/>
  <c r="R133" i="37" s="1"/>
  <c r="G129" i="37"/>
  <c r="R129" i="37" s="1"/>
  <c r="M174" i="37"/>
  <c r="I174" i="37" s="1"/>
  <c r="J174" i="37" s="1"/>
  <c r="K260" i="37"/>
  <c r="L260" i="37" s="1"/>
  <c r="S128" i="37"/>
  <c r="X337" i="37"/>
  <c r="X324" i="37"/>
  <c r="X336" i="37"/>
  <c r="X323" i="37"/>
  <c r="X347" i="37"/>
  <c r="X335" i="37"/>
  <c r="X322" i="37"/>
  <c r="X346" i="37"/>
  <c r="X334" i="37"/>
  <c r="X321" i="37"/>
  <c r="X345" i="37"/>
  <c r="X333" i="37"/>
  <c r="X344" i="37"/>
  <c r="X332" i="37"/>
  <c r="X343" i="37"/>
  <c r="X331" i="37"/>
  <c r="X330" i="37"/>
  <c r="X341" i="37"/>
  <c r="X329" i="37"/>
  <c r="X340" i="37"/>
  <c r="X328" i="37"/>
  <c r="X338" i="37"/>
  <c r="X325" i="37"/>
  <c r="X342" i="37"/>
  <c r="X339" i="37"/>
  <c r="X326" i="37"/>
  <c r="M176" i="37"/>
  <c r="I176" i="37" s="1"/>
  <c r="J176" i="37" s="1"/>
  <c r="W14" i="26"/>
  <c r="Y14" i="26" s="1"/>
  <c r="AA14" i="26" s="1"/>
  <c r="AC14" i="26" s="1"/>
  <c r="AE14" i="26" s="1"/>
  <c r="AG14" i="26" s="1"/>
  <c r="AI14" i="26" s="1"/>
  <c r="AK14" i="26" s="1"/>
  <c r="AM14" i="26" s="1"/>
  <c r="G265" i="37"/>
  <c r="R265" i="37" s="1"/>
  <c r="K265" i="37"/>
  <c r="L265" i="37" s="1"/>
  <c r="K257" i="37"/>
  <c r="L257" i="37" s="1"/>
  <c r="G260" i="37"/>
  <c r="R260" i="37" s="1"/>
  <c r="M260" i="37"/>
  <c r="I260" i="37" s="1"/>
  <c r="J260" i="37" s="1"/>
  <c r="S260" i="37"/>
  <c r="K115" i="16"/>
  <c r="M264" i="37"/>
  <c r="I264" i="37" s="1"/>
  <c r="J264" i="37" s="1"/>
  <c r="M259" i="37"/>
  <c r="I259" i="37" s="1"/>
  <c r="J259" i="37" s="1"/>
  <c r="S264" i="37"/>
  <c r="S259" i="37"/>
  <c r="M265" i="37"/>
  <c r="I265" i="37" s="1"/>
  <c r="J265" i="37" s="1"/>
  <c r="K255" i="37"/>
  <c r="L255" i="37" s="1"/>
  <c r="M255" i="37"/>
  <c r="I255" i="37" s="1"/>
  <c r="J255" i="37" s="1"/>
  <c r="S263" i="37"/>
  <c r="G255" i="37"/>
  <c r="R255" i="37" s="1"/>
  <c r="G261" i="37"/>
  <c r="R261" i="37" s="1"/>
  <c r="H256" i="37"/>
  <c r="K256" i="37"/>
  <c r="L256" i="37" s="1"/>
  <c r="M257" i="37"/>
  <c r="I257" i="37" s="1"/>
  <c r="J257" i="37" s="1"/>
  <c r="S261" i="37"/>
  <c r="K258" i="37"/>
  <c r="L258" i="37" s="1"/>
  <c r="G259" i="37"/>
  <c r="R259" i="37" s="1"/>
  <c r="K263" i="37"/>
  <c r="L263" i="37" s="1"/>
  <c r="G264" i="37"/>
  <c r="R264" i="37" s="1"/>
  <c r="G262" i="37"/>
  <c r="R262" i="37" s="1"/>
  <c r="K262" i="37"/>
  <c r="L262" i="37" s="1"/>
  <c r="H263" i="37"/>
  <c r="S257" i="37"/>
  <c r="M258" i="37"/>
  <c r="I258" i="37" s="1"/>
  <c r="J258" i="37" s="1"/>
  <c r="S262" i="37"/>
  <c r="M263" i="37"/>
  <c r="I263" i="37" s="1"/>
  <c r="J263" i="37" s="1"/>
  <c r="G258" i="37"/>
  <c r="R258" i="37" s="1"/>
  <c r="G257" i="37"/>
  <c r="R257" i="37" s="1"/>
  <c r="K261" i="37"/>
  <c r="L261" i="37" s="1"/>
  <c r="M256" i="37"/>
  <c r="I256" i="37" s="1"/>
  <c r="J256" i="37" s="1"/>
  <c r="S256" i="37"/>
  <c r="K215" i="37"/>
  <c r="L215" i="37" s="1"/>
  <c r="K225" i="37"/>
  <c r="L225" i="37" s="1"/>
  <c r="G214" i="37"/>
  <c r="S220" i="37"/>
  <c r="G216" i="37"/>
  <c r="H216" i="37" s="1"/>
  <c r="G219" i="37"/>
  <c r="G226" i="37"/>
  <c r="R226" i="37" s="1"/>
  <c r="M216" i="37"/>
  <c r="I216" i="37" s="1"/>
  <c r="J216" i="37" s="1"/>
  <c r="S219" i="37"/>
  <c r="M226" i="37"/>
  <c r="I226" i="37" s="1"/>
  <c r="J226" i="37" s="1"/>
  <c r="G224" i="37"/>
  <c r="S221" i="37"/>
  <c r="K216" i="37"/>
  <c r="L216" i="37" s="1"/>
  <c r="G221" i="37"/>
  <c r="H221" i="37" s="1"/>
  <c r="O221" i="37" s="1"/>
  <c r="K220" i="37"/>
  <c r="L220" i="37" s="1"/>
  <c r="M215" i="37"/>
  <c r="I215" i="37" s="1"/>
  <c r="J215" i="37" s="1"/>
  <c r="M225" i="37"/>
  <c r="I225" i="37" s="1"/>
  <c r="J225" i="37" s="1"/>
  <c r="K221" i="37"/>
  <c r="L221" i="37" s="1"/>
  <c r="S214" i="37"/>
  <c r="S224" i="37"/>
  <c r="M217" i="37"/>
  <c r="I217" i="37" s="1"/>
  <c r="J217" i="37" s="1"/>
  <c r="M222" i="37"/>
  <c r="I222" i="37" s="1"/>
  <c r="J222" i="37" s="1"/>
  <c r="G217" i="37"/>
  <c r="R217" i="37" s="1"/>
  <c r="G222" i="37"/>
  <c r="R222" i="37" s="1"/>
  <c r="K226" i="37"/>
  <c r="L226" i="37" s="1"/>
  <c r="K217" i="37"/>
  <c r="L217" i="37" s="1"/>
  <c r="G218" i="37"/>
  <c r="R218" i="37" s="1"/>
  <c r="K222" i="37"/>
  <c r="L222" i="37" s="1"/>
  <c r="G223" i="37"/>
  <c r="R223" i="37" s="1"/>
  <c r="K218" i="37"/>
  <c r="L218" i="37" s="1"/>
  <c r="K223" i="37"/>
  <c r="L223" i="37" s="1"/>
  <c r="M218" i="37"/>
  <c r="I218" i="37" s="1"/>
  <c r="J218" i="37" s="1"/>
  <c r="M223" i="37"/>
  <c r="I223" i="37" s="1"/>
  <c r="J223" i="37" s="1"/>
  <c r="K214" i="37"/>
  <c r="L214" i="37" s="1"/>
  <c r="G215" i="37"/>
  <c r="R215" i="37" s="1"/>
  <c r="K219" i="37"/>
  <c r="L219" i="37" s="1"/>
  <c r="G220" i="37"/>
  <c r="R220" i="37" s="1"/>
  <c r="K224" i="37"/>
  <c r="L224" i="37" s="1"/>
  <c r="G225" i="37"/>
  <c r="R225" i="37" s="1"/>
  <c r="S180" i="37"/>
  <c r="M180" i="37"/>
  <c r="I180" i="37" s="1"/>
  <c r="J180" i="37" s="1"/>
  <c r="K131" i="37"/>
  <c r="L131" i="37" s="1"/>
  <c r="K136" i="37"/>
  <c r="L136" i="37" s="1"/>
  <c r="K173" i="37"/>
  <c r="L173" i="37" s="1"/>
  <c r="K178" i="37"/>
  <c r="L178" i="37" s="1"/>
  <c r="K175" i="37"/>
  <c r="L175" i="37" s="1"/>
  <c r="K180" i="37"/>
  <c r="L180" i="37" s="1"/>
  <c r="K185" i="37"/>
  <c r="L185" i="37" s="1"/>
  <c r="M185" i="37"/>
  <c r="I185" i="37" s="1"/>
  <c r="J185" i="37" s="1"/>
  <c r="S185" i="37"/>
  <c r="K174" i="37"/>
  <c r="L174" i="37" s="1"/>
  <c r="S174" i="37"/>
  <c r="M175" i="37"/>
  <c r="I175" i="37" s="1"/>
  <c r="J175" i="37" s="1"/>
  <c r="S175" i="37"/>
  <c r="G174" i="37"/>
  <c r="R174" i="37" s="1"/>
  <c r="H185" i="37"/>
  <c r="R185" i="37"/>
  <c r="H180" i="37"/>
  <c r="R180" i="37"/>
  <c r="K179" i="37"/>
  <c r="L179" i="37" s="1"/>
  <c r="G179" i="37"/>
  <c r="R179" i="37" s="1"/>
  <c r="M179" i="37"/>
  <c r="I179" i="37" s="1"/>
  <c r="J179" i="37" s="1"/>
  <c r="G175" i="37"/>
  <c r="S178" i="37"/>
  <c r="K184" i="37"/>
  <c r="L184" i="37" s="1"/>
  <c r="G184" i="37"/>
  <c r="R184" i="37" s="1"/>
  <c r="M184" i="37"/>
  <c r="I184" i="37" s="1"/>
  <c r="J184" i="37" s="1"/>
  <c r="S173" i="37"/>
  <c r="K183" i="37"/>
  <c r="L183" i="37" s="1"/>
  <c r="G181" i="37"/>
  <c r="R181" i="37" s="1"/>
  <c r="K176" i="37"/>
  <c r="L176" i="37" s="1"/>
  <c r="K172" i="37"/>
  <c r="L172" i="37" s="1"/>
  <c r="G173" i="37"/>
  <c r="R173" i="37" s="1"/>
  <c r="K177" i="37"/>
  <c r="L177" i="37" s="1"/>
  <c r="G178" i="37"/>
  <c r="R178" i="37" s="1"/>
  <c r="K182" i="37"/>
  <c r="L182" i="37" s="1"/>
  <c r="G183" i="37"/>
  <c r="R183" i="37" s="1"/>
  <c r="S171" i="37"/>
  <c r="M172" i="37"/>
  <c r="I172" i="37" s="1"/>
  <c r="J172" i="37" s="1"/>
  <c r="S176" i="37"/>
  <c r="M177" i="37"/>
  <c r="I177" i="37" s="1"/>
  <c r="J177" i="37" s="1"/>
  <c r="S181" i="37"/>
  <c r="M182" i="37"/>
  <c r="I182" i="37" s="1"/>
  <c r="J182" i="37" s="1"/>
  <c r="G171" i="37"/>
  <c r="R171" i="37" s="1"/>
  <c r="K171" i="37"/>
  <c r="L171" i="37" s="1"/>
  <c r="G177" i="37"/>
  <c r="R177" i="37" s="1"/>
  <c r="H172" i="37"/>
  <c r="S172" i="37"/>
  <c r="M173" i="37"/>
  <c r="I173" i="37" s="1"/>
  <c r="J173" i="37" s="1"/>
  <c r="S177" i="37"/>
  <c r="M178" i="37"/>
  <c r="I178" i="37" s="1"/>
  <c r="J178" i="37" s="1"/>
  <c r="S182" i="37"/>
  <c r="M183" i="37"/>
  <c r="I183" i="37" s="1"/>
  <c r="J183" i="37" s="1"/>
  <c r="G176" i="37"/>
  <c r="R176" i="37" s="1"/>
  <c r="K181" i="37"/>
  <c r="L181" i="37" s="1"/>
  <c r="G182" i="37"/>
  <c r="R182" i="37" s="1"/>
  <c r="K132" i="37"/>
  <c r="L132" i="37" s="1"/>
  <c r="K137" i="37"/>
  <c r="L137" i="37" s="1"/>
  <c r="K142" i="37"/>
  <c r="L142" i="37" s="1"/>
  <c r="S133" i="37"/>
  <c r="M133" i="37"/>
  <c r="I133" i="37" s="1"/>
  <c r="J133" i="37" s="1"/>
  <c r="K139" i="37"/>
  <c r="L139" i="37" s="1"/>
  <c r="K133" i="37"/>
  <c r="L133" i="37" s="1"/>
  <c r="S143" i="37"/>
  <c r="S136" i="37"/>
  <c r="G138" i="37"/>
  <c r="R138" i="37" s="1"/>
  <c r="K138" i="37"/>
  <c r="L138" i="37" s="1"/>
  <c r="M137" i="37"/>
  <c r="I137" i="37" s="1"/>
  <c r="J137" i="37" s="1"/>
  <c r="G143" i="37"/>
  <c r="R143" i="37" s="1"/>
  <c r="K143" i="37"/>
  <c r="L143" i="37" s="1"/>
  <c r="M142" i="37"/>
  <c r="I142" i="37" s="1"/>
  <c r="J142" i="37" s="1"/>
  <c r="S142" i="37"/>
  <c r="M132" i="37"/>
  <c r="I132" i="37" s="1"/>
  <c r="J132" i="37" s="1"/>
  <c r="S132" i="37"/>
  <c r="G128" i="37"/>
  <c r="R128" i="37" s="1"/>
  <c r="M138" i="37"/>
  <c r="I138" i="37" s="1"/>
  <c r="J138" i="37" s="1"/>
  <c r="K128" i="37"/>
  <c r="L128" i="37" s="1"/>
  <c r="S131" i="37"/>
  <c r="M128" i="37"/>
  <c r="I128" i="37" s="1"/>
  <c r="J128" i="37" s="1"/>
  <c r="S137" i="37"/>
  <c r="G134" i="37"/>
  <c r="R134" i="37" s="1"/>
  <c r="K129" i="37"/>
  <c r="L129" i="37" s="1"/>
  <c r="G140" i="37"/>
  <c r="R140" i="37" s="1"/>
  <c r="M129" i="37"/>
  <c r="I129" i="37" s="1"/>
  <c r="J129" i="37" s="1"/>
  <c r="M134" i="37"/>
  <c r="I134" i="37" s="1"/>
  <c r="J134" i="37" s="1"/>
  <c r="M139" i="37"/>
  <c r="I139" i="37" s="1"/>
  <c r="J139" i="37" s="1"/>
  <c r="S129" i="37"/>
  <c r="M135" i="37"/>
  <c r="I135" i="37" s="1"/>
  <c r="J135" i="37" s="1"/>
  <c r="K141" i="37"/>
  <c r="L141" i="37" s="1"/>
  <c r="G142" i="37"/>
  <c r="R142" i="37" s="1"/>
  <c r="S130" i="37"/>
  <c r="M131" i="37"/>
  <c r="I131" i="37" s="1"/>
  <c r="J131" i="37" s="1"/>
  <c r="S135" i="37"/>
  <c r="M136" i="37"/>
  <c r="I136" i="37" s="1"/>
  <c r="J136" i="37" s="1"/>
  <c r="S140" i="37"/>
  <c r="M141" i="37"/>
  <c r="I141" i="37" s="1"/>
  <c r="J141" i="37" s="1"/>
  <c r="G139" i="37"/>
  <c r="R139" i="37" s="1"/>
  <c r="G130" i="37"/>
  <c r="R130" i="37" s="1"/>
  <c r="K134" i="37"/>
  <c r="L134" i="37" s="1"/>
  <c r="G131" i="37"/>
  <c r="R131" i="37" s="1"/>
  <c r="G136" i="37"/>
  <c r="R136" i="37" s="1"/>
  <c r="S139" i="37"/>
  <c r="G137" i="37"/>
  <c r="R137" i="37" s="1"/>
  <c r="K130" i="37"/>
  <c r="L130" i="37" s="1"/>
  <c r="K135" i="37"/>
  <c r="L135" i="37" s="1"/>
  <c r="K140" i="37"/>
  <c r="L140" i="37" s="1"/>
  <c r="G141" i="37"/>
  <c r="R141" i="37" s="1"/>
  <c r="M130" i="37"/>
  <c r="I130" i="37" s="1"/>
  <c r="J130" i="37" s="1"/>
  <c r="G132" i="37"/>
  <c r="R132" i="37" s="1"/>
  <c r="G135" i="37"/>
  <c r="R135" i="37" s="1"/>
  <c r="G41" i="59"/>
  <c r="F41" i="59"/>
  <c r="C49" i="82" s="1"/>
  <c r="D49" i="82" s="1"/>
  <c r="E41" i="59"/>
  <c r="D41" i="59"/>
  <c r="C41" i="59"/>
  <c r="B41" i="59"/>
  <c r="G40" i="59"/>
  <c r="F40" i="59"/>
  <c r="C48" i="82" s="1"/>
  <c r="D48" i="82" s="1"/>
  <c r="E40" i="59"/>
  <c r="D40" i="59"/>
  <c r="C40" i="59"/>
  <c r="B40" i="59"/>
  <c r="G39" i="59"/>
  <c r="F39" i="59"/>
  <c r="C47" i="82" s="1"/>
  <c r="D47" i="82" s="1"/>
  <c r="E39" i="59"/>
  <c r="D39" i="59"/>
  <c r="C39" i="59"/>
  <c r="B39" i="59"/>
  <c r="G38" i="59"/>
  <c r="F38" i="59"/>
  <c r="C46" i="82" s="1"/>
  <c r="D46" i="82" s="1"/>
  <c r="E38" i="59"/>
  <c r="D38" i="59"/>
  <c r="C38" i="59"/>
  <c r="B38" i="59"/>
  <c r="G37" i="59"/>
  <c r="F37" i="59"/>
  <c r="C45" i="82" s="1"/>
  <c r="D45" i="82" s="1"/>
  <c r="E37" i="59"/>
  <c r="D37" i="59"/>
  <c r="C37" i="59"/>
  <c r="B37" i="59"/>
  <c r="G36" i="59"/>
  <c r="F36" i="59"/>
  <c r="C44" i="82" s="1"/>
  <c r="D44" i="82" s="1"/>
  <c r="E36" i="59"/>
  <c r="D36" i="59"/>
  <c r="C36" i="59"/>
  <c r="B36" i="59"/>
  <c r="G35" i="59"/>
  <c r="F35" i="59"/>
  <c r="C43" i="82" s="1"/>
  <c r="D43" i="82" s="1"/>
  <c r="E35" i="59"/>
  <c r="D35" i="59"/>
  <c r="C35" i="59"/>
  <c r="B35" i="59"/>
  <c r="G34" i="59"/>
  <c r="F34" i="59"/>
  <c r="C42" i="82" s="1"/>
  <c r="D42" i="82" s="1"/>
  <c r="E34" i="59"/>
  <c r="D34" i="59"/>
  <c r="C34" i="59"/>
  <c r="B34" i="59"/>
  <c r="G33" i="59"/>
  <c r="F33" i="59"/>
  <c r="C41" i="82" s="1"/>
  <c r="D41" i="82" s="1"/>
  <c r="E33" i="59"/>
  <c r="D33" i="59"/>
  <c r="C33" i="59"/>
  <c r="B33" i="59"/>
  <c r="G32" i="59"/>
  <c r="F32" i="59"/>
  <c r="C40" i="82" s="1"/>
  <c r="D40" i="82" s="1"/>
  <c r="E32" i="59"/>
  <c r="D32" i="59"/>
  <c r="C32" i="59"/>
  <c r="B32" i="59"/>
  <c r="G31" i="59"/>
  <c r="C39" i="82"/>
  <c r="E31" i="59"/>
  <c r="D31" i="59"/>
  <c r="C31" i="59"/>
  <c r="B31" i="59"/>
  <c r="G30" i="59"/>
  <c r="F30" i="59"/>
  <c r="C38" i="82" s="1"/>
  <c r="D38" i="82" s="1"/>
  <c r="E30" i="59"/>
  <c r="D30" i="59"/>
  <c r="C30" i="59"/>
  <c r="B30" i="59"/>
  <c r="G29" i="59"/>
  <c r="F29" i="59"/>
  <c r="C37" i="82" s="1"/>
  <c r="D37" i="82" s="1"/>
  <c r="E29" i="59"/>
  <c r="D29" i="59"/>
  <c r="C29" i="59"/>
  <c r="B29" i="59"/>
  <c r="G28" i="59"/>
  <c r="F28" i="59"/>
  <c r="C36" i="82" s="1"/>
  <c r="D36" i="82" s="1"/>
  <c r="E28" i="59"/>
  <c r="D28" i="59"/>
  <c r="C28" i="59"/>
  <c r="B28" i="59"/>
  <c r="G27" i="59"/>
  <c r="F27" i="59"/>
  <c r="C35" i="82" s="1"/>
  <c r="D35" i="82" s="1"/>
  <c r="E27" i="59"/>
  <c r="D27" i="59"/>
  <c r="C27" i="59"/>
  <c r="B27" i="59"/>
  <c r="G26" i="59"/>
  <c r="F26" i="59"/>
  <c r="C34" i="82" s="1"/>
  <c r="D34" i="82" s="1"/>
  <c r="E26" i="59"/>
  <c r="D26" i="59"/>
  <c r="C26" i="59"/>
  <c r="B26" i="59"/>
  <c r="G25" i="59"/>
  <c r="F25" i="59"/>
  <c r="C33" i="82" s="1"/>
  <c r="D33" i="82" s="1"/>
  <c r="E25" i="59"/>
  <c r="D25" i="59"/>
  <c r="C25" i="59"/>
  <c r="B25" i="59"/>
  <c r="G21" i="59"/>
  <c r="F21" i="59"/>
  <c r="E21" i="59"/>
  <c r="D21" i="59"/>
  <c r="C21" i="59"/>
  <c r="B21" i="59"/>
  <c r="G20" i="59"/>
  <c r="F20" i="59"/>
  <c r="E20" i="59"/>
  <c r="D20" i="59"/>
  <c r="C20" i="59"/>
  <c r="B20" i="59"/>
  <c r="G19" i="59"/>
  <c r="F19" i="59"/>
  <c r="C27" i="82" s="1"/>
  <c r="D27" i="82" s="1"/>
  <c r="E19" i="59"/>
  <c r="D19" i="59"/>
  <c r="C19" i="59"/>
  <c r="B19" i="59"/>
  <c r="G18" i="59"/>
  <c r="F18" i="59"/>
  <c r="C26" i="82" s="1"/>
  <c r="D26" i="82" s="1"/>
  <c r="E18" i="59"/>
  <c r="D18" i="59"/>
  <c r="C18" i="59"/>
  <c r="B18" i="59"/>
  <c r="G17" i="59"/>
  <c r="F17" i="59"/>
  <c r="C25" i="82" s="1"/>
  <c r="D25" i="82" s="1"/>
  <c r="E17" i="59"/>
  <c r="D17" i="59"/>
  <c r="C17" i="59"/>
  <c r="B17" i="59"/>
  <c r="G16" i="59"/>
  <c r="F16" i="59"/>
  <c r="C24" i="82" s="1"/>
  <c r="D24" i="82" s="1"/>
  <c r="E16" i="59"/>
  <c r="D16" i="59"/>
  <c r="C16" i="59"/>
  <c r="B16" i="59"/>
  <c r="G15" i="59"/>
  <c r="F15" i="59"/>
  <c r="C23" i="82" s="1"/>
  <c r="D23" i="82" s="1"/>
  <c r="E15" i="59"/>
  <c r="D15" i="59"/>
  <c r="C15" i="59"/>
  <c r="B15" i="59"/>
  <c r="G14" i="59"/>
  <c r="F14" i="59"/>
  <c r="C22" i="82" s="1"/>
  <c r="D22" i="82" s="1"/>
  <c r="E14" i="59"/>
  <c r="D14" i="59"/>
  <c r="C14" i="59"/>
  <c r="B14" i="59"/>
  <c r="G13" i="59"/>
  <c r="F13" i="59"/>
  <c r="C21" i="82" s="1"/>
  <c r="D21" i="82" s="1"/>
  <c r="E13" i="59"/>
  <c r="D13" i="59"/>
  <c r="C13" i="59"/>
  <c r="B13" i="59"/>
  <c r="G12" i="59"/>
  <c r="F12" i="59"/>
  <c r="E12" i="59"/>
  <c r="D12" i="59"/>
  <c r="B12" i="59"/>
  <c r="B20" i="84" s="1"/>
  <c r="A12" i="59"/>
  <c r="A20" i="84" s="1"/>
  <c r="Q36" i="61"/>
  <c r="P36" i="61"/>
  <c r="O36" i="61"/>
  <c r="N36" i="61"/>
  <c r="M36" i="61"/>
  <c r="L36" i="61"/>
  <c r="K36" i="61"/>
  <c r="J36" i="61"/>
  <c r="H41" i="59"/>
  <c r="H40" i="59"/>
  <c r="H39" i="59"/>
  <c r="H38" i="59"/>
  <c r="H37" i="59"/>
  <c r="H36" i="59"/>
  <c r="H35" i="59"/>
  <c r="I28" i="61"/>
  <c r="I27" i="61"/>
  <c r="H32" i="59"/>
  <c r="I25" i="61"/>
  <c r="I24" i="61"/>
  <c r="H29" i="59"/>
  <c r="H28" i="59"/>
  <c r="H27" i="59"/>
  <c r="H26" i="59"/>
  <c r="H25" i="59"/>
  <c r="H21" i="59"/>
  <c r="H20" i="59"/>
  <c r="I13" i="61"/>
  <c r="I12" i="61"/>
  <c r="H17" i="59"/>
  <c r="I10" i="61"/>
  <c r="I9" i="61"/>
  <c r="H14" i="59"/>
  <c r="H13" i="59"/>
  <c r="H12" i="59"/>
  <c r="F20" i="39" s="1"/>
  <c r="F36" i="61"/>
  <c r="A7" i="61"/>
  <c r="A8" i="61" s="1"/>
  <c r="A9" i="61" s="1"/>
  <c r="A10" i="61" s="1"/>
  <c r="A11" i="61" s="1"/>
  <c r="A12" i="61" s="1"/>
  <c r="A13" i="61" s="1"/>
  <c r="A14" i="61" s="1"/>
  <c r="A15" i="61" s="1"/>
  <c r="A19" i="61" s="1"/>
  <c r="A20" i="61" s="1"/>
  <c r="A21" i="61" s="1"/>
  <c r="A22" i="61" s="1"/>
  <c r="A23" i="61" s="1"/>
  <c r="A24" i="61" s="1"/>
  <c r="A25" i="61" s="1"/>
  <c r="A26" i="61" s="1"/>
  <c r="A27" i="61" s="1"/>
  <c r="A28" i="61" s="1"/>
  <c r="A29" i="61" s="1"/>
  <c r="A30" i="61" s="1"/>
  <c r="A31" i="61" s="1"/>
  <c r="A32" i="61" s="1"/>
  <c r="A33" i="61" s="1"/>
  <c r="A34" i="61" s="1"/>
  <c r="A35" i="61" s="1"/>
  <c r="A46" i="37" s="1"/>
  <c r="C20" i="82" l="1"/>
  <c r="D20" i="82" s="1"/>
  <c r="C20" i="39"/>
  <c r="B28" i="37"/>
  <c r="B74" i="37" s="1"/>
  <c r="B28" i="82"/>
  <c r="B38" i="37"/>
  <c r="B214" i="37" s="1"/>
  <c r="B41" i="82"/>
  <c r="B29" i="37"/>
  <c r="B330" i="37" s="1"/>
  <c r="B29" i="82"/>
  <c r="B39" i="37"/>
  <c r="B256" i="37" s="1"/>
  <c r="B42" i="82"/>
  <c r="B26" i="37"/>
  <c r="B115" i="37" s="1"/>
  <c r="B26" i="82"/>
  <c r="B33" i="37"/>
  <c r="B285" i="37" s="1"/>
  <c r="B36" i="82"/>
  <c r="B43" i="37"/>
  <c r="B344" i="37" s="1"/>
  <c r="B46" i="82"/>
  <c r="A20" i="37"/>
  <c r="A109" i="37" s="1"/>
  <c r="A20" i="82"/>
  <c r="B30" i="37"/>
  <c r="B247" i="37" s="1"/>
  <c r="B33" i="82"/>
  <c r="B24" i="37"/>
  <c r="B325" i="37" s="1"/>
  <c r="B24" i="82"/>
  <c r="B34" i="37"/>
  <c r="B80" i="37" s="1"/>
  <c r="B37" i="82"/>
  <c r="B44" i="37"/>
  <c r="B133" i="37" s="1"/>
  <c r="B47" i="82"/>
  <c r="B35" i="37"/>
  <c r="B168" i="37" s="1"/>
  <c r="B38" i="82"/>
  <c r="B45" i="37"/>
  <c r="B91" i="37" s="1"/>
  <c r="B48" i="82"/>
  <c r="B22" i="37"/>
  <c r="B274" i="37" s="1"/>
  <c r="B22" i="82"/>
  <c r="B32" i="37"/>
  <c r="B284" i="37" s="1"/>
  <c r="B35" i="82"/>
  <c r="B42" i="37"/>
  <c r="B218" i="37" s="1"/>
  <c r="B45" i="82"/>
  <c r="B36" i="37"/>
  <c r="B337" i="37" s="1"/>
  <c r="B39" i="82"/>
  <c r="B46" i="37"/>
  <c r="B347" i="37" s="1"/>
  <c r="B49" i="82"/>
  <c r="B40" i="37"/>
  <c r="B129" i="37" s="1"/>
  <c r="B43" i="82"/>
  <c r="B20" i="37"/>
  <c r="B272" i="37" s="1"/>
  <c r="B20" i="82"/>
  <c r="B27" i="37"/>
  <c r="B73" i="37" s="1"/>
  <c r="B27" i="82"/>
  <c r="B37" i="37"/>
  <c r="B213" i="37" s="1"/>
  <c r="B40" i="82"/>
  <c r="H133" i="37"/>
  <c r="B25" i="37"/>
  <c r="B201" i="37" s="1"/>
  <c r="B25" i="82"/>
  <c r="B23" i="37"/>
  <c r="B275" i="37" s="1"/>
  <c r="B23" i="82"/>
  <c r="B21" i="37"/>
  <c r="B273" i="37" s="1"/>
  <c r="B21" i="82"/>
  <c r="B31" i="37"/>
  <c r="B283" i="37" s="1"/>
  <c r="B34" i="82"/>
  <c r="B41" i="37"/>
  <c r="B258" i="37" s="1"/>
  <c r="B44" i="82"/>
  <c r="H128" i="37"/>
  <c r="D39" i="82"/>
  <c r="D126" i="82" s="1"/>
  <c r="F840" i="64" s="1"/>
  <c r="C126" i="82"/>
  <c r="I35" i="61"/>
  <c r="I19" i="61"/>
  <c r="I8" i="61"/>
  <c r="I31" i="61"/>
  <c r="A14" i="59"/>
  <c r="I23" i="61"/>
  <c r="H260" i="37"/>
  <c r="N260" i="37" s="1"/>
  <c r="I33" i="61"/>
  <c r="I22" i="61"/>
  <c r="I7" i="61"/>
  <c r="B154" i="37"/>
  <c r="B199" i="37"/>
  <c r="B334" i="37"/>
  <c r="I6" i="61"/>
  <c r="I32" i="61"/>
  <c r="I21" i="61"/>
  <c r="H16" i="59"/>
  <c r="H19" i="59"/>
  <c r="H34" i="59"/>
  <c r="B336" i="37"/>
  <c r="A17" i="59"/>
  <c r="H31" i="59"/>
  <c r="B280" i="37"/>
  <c r="I34" i="61"/>
  <c r="B164" i="37"/>
  <c r="B156" i="37"/>
  <c r="B66" i="37"/>
  <c r="A347" i="37"/>
  <c r="A135" i="37"/>
  <c r="A92" i="37"/>
  <c r="A263" i="37"/>
  <c r="A298" i="37"/>
  <c r="A179" i="37"/>
  <c r="A222" i="37"/>
  <c r="A20" i="59"/>
  <c r="A31" i="37"/>
  <c r="A34" i="37"/>
  <c r="A37" i="37"/>
  <c r="A40" i="37"/>
  <c r="A43" i="37"/>
  <c r="B118" i="37"/>
  <c r="B134" i="37"/>
  <c r="B124" i="37"/>
  <c r="B169" i="37"/>
  <c r="B176" i="37"/>
  <c r="B177" i="37"/>
  <c r="B204" i="37"/>
  <c r="B237" i="37"/>
  <c r="B250" i="37"/>
  <c r="I20" i="61"/>
  <c r="B89" i="37"/>
  <c r="B295" i="37"/>
  <c r="A153" i="37"/>
  <c r="B249" i="37"/>
  <c r="B79" i="37"/>
  <c r="I30" i="61"/>
  <c r="I15" i="61"/>
  <c r="H15" i="59"/>
  <c r="H18" i="59"/>
  <c r="H30" i="59"/>
  <c r="H33" i="59"/>
  <c r="B196" i="37"/>
  <c r="B209" i="37"/>
  <c r="B77" i="37"/>
  <c r="B287" i="37"/>
  <c r="B78" i="37"/>
  <c r="B240" i="37"/>
  <c r="I29" i="61"/>
  <c r="I14" i="61"/>
  <c r="A13" i="59"/>
  <c r="A16" i="59"/>
  <c r="A19" i="59"/>
  <c r="A30" i="37"/>
  <c r="A33" i="37"/>
  <c r="A36" i="37"/>
  <c r="A39" i="37"/>
  <c r="A42" i="37"/>
  <c r="A45" i="37"/>
  <c r="H129" i="37"/>
  <c r="N129" i="37" s="1"/>
  <c r="B132" i="37"/>
  <c r="B117" i="37"/>
  <c r="B109" i="37"/>
  <c r="B155" i="37"/>
  <c r="B261" i="37"/>
  <c r="B238" i="37"/>
  <c r="B252" i="37"/>
  <c r="B331" i="37"/>
  <c r="B324" i="37"/>
  <c r="B122" i="37"/>
  <c r="B212" i="37"/>
  <c r="B221" i="37"/>
  <c r="A272" i="37"/>
  <c r="B322" i="37"/>
  <c r="B69" i="37"/>
  <c r="B112" i="37"/>
  <c r="B219" i="37"/>
  <c r="B67" i="37"/>
  <c r="B340" i="37"/>
  <c r="B293" i="37"/>
  <c r="I26" i="61"/>
  <c r="I11" i="61"/>
  <c r="B162" i="37"/>
  <c r="B211" i="37"/>
  <c r="B220" i="37"/>
  <c r="B207" i="37"/>
  <c r="H257" i="37"/>
  <c r="N257" i="37" s="1"/>
  <c r="B345" i="37"/>
  <c r="A321" i="37"/>
  <c r="A15" i="59"/>
  <c r="A18" i="59"/>
  <c r="A21" i="59"/>
  <c r="A32" i="37"/>
  <c r="A35" i="37"/>
  <c r="A38" i="37"/>
  <c r="A41" i="37"/>
  <c r="A44" i="37"/>
  <c r="A66" i="37"/>
  <c r="B116" i="37"/>
  <c r="B153" i="37"/>
  <c r="B161" i="37"/>
  <c r="B197" i="37"/>
  <c r="B253" i="37"/>
  <c r="B329" i="37"/>
  <c r="B245" i="37"/>
  <c r="B90" i="37"/>
  <c r="B296" i="37"/>
  <c r="B208" i="37"/>
  <c r="B328" i="37"/>
  <c r="B110" i="37"/>
  <c r="A196" i="37"/>
  <c r="B281" i="37"/>
  <c r="B321" i="37"/>
  <c r="H265" i="37"/>
  <c r="N265" i="37" s="1"/>
  <c r="H255" i="37"/>
  <c r="N255" i="37" s="1"/>
  <c r="N185" i="37"/>
  <c r="Q185" i="37" s="1"/>
  <c r="B127" i="37"/>
  <c r="B84" i="37"/>
  <c r="B290" i="37"/>
  <c r="B339" i="37"/>
  <c r="B255" i="37"/>
  <c r="B71" i="37"/>
  <c r="H261" i="37"/>
  <c r="O261" i="37" s="1"/>
  <c r="H259" i="37"/>
  <c r="N259" i="37" s="1"/>
  <c r="O257" i="37"/>
  <c r="H258" i="37"/>
  <c r="O263" i="37"/>
  <c r="N263" i="37"/>
  <c r="O256" i="37"/>
  <c r="N256" i="37"/>
  <c r="H262" i="37"/>
  <c r="H264" i="37"/>
  <c r="H215" i="37"/>
  <c r="O215" i="37" s="1"/>
  <c r="H218" i="37"/>
  <c r="N218" i="37" s="1"/>
  <c r="N221" i="37"/>
  <c r="H222" i="37"/>
  <c r="O222" i="37" s="1"/>
  <c r="H134" i="37"/>
  <c r="O134" i="37" s="1"/>
  <c r="R216" i="37"/>
  <c r="H217" i="37"/>
  <c r="N217" i="37" s="1"/>
  <c r="H220" i="37"/>
  <c r="O220" i="37" s="1"/>
  <c r="H225" i="37"/>
  <c r="O225" i="37" s="1"/>
  <c r="H224" i="37"/>
  <c r="R224" i="37"/>
  <c r="O216" i="37"/>
  <c r="N216" i="37"/>
  <c r="H219" i="37"/>
  <c r="R219" i="37"/>
  <c r="H226" i="37"/>
  <c r="R221" i="37"/>
  <c r="H183" i="37"/>
  <c r="O183" i="37" s="1"/>
  <c r="H214" i="37"/>
  <c r="R214" i="37"/>
  <c r="H223" i="37"/>
  <c r="H179" i="37"/>
  <c r="O179" i="37" s="1"/>
  <c r="N180" i="37"/>
  <c r="O180" i="37"/>
  <c r="O185" i="37"/>
  <c r="H184" i="37"/>
  <c r="N184" i="37" s="1"/>
  <c r="H176" i="37"/>
  <c r="O176" i="37" s="1"/>
  <c r="H178" i="37"/>
  <c r="O178" i="37" s="1"/>
  <c r="H174" i="37"/>
  <c r="O174" i="37" s="1"/>
  <c r="H175" i="37"/>
  <c r="R175" i="37"/>
  <c r="H181" i="37"/>
  <c r="N181" i="37" s="1"/>
  <c r="H182" i="37"/>
  <c r="H173" i="37"/>
  <c r="H177" i="37"/>
  <c r="H171" i="37"/>
  <c r="O172" i="37"/>
  <c r="N172" i="37"/>
  <c r="H135" i="37"/>
  <c r="O135" i="37" s="1"/>
  <c r="H143" i="37"/>
  <c r="O143" i="37" s="1"/>
  <c r="N133" i="37"/>
  <c r="H139" i="37"/>
  <c r="N139" i="37" s="1"/>
  <c r="H137" i="37"/>
  <c r="O137" i="37" s="1"/>
  <c r="H136" i="37"/>
  <c r="O136" i="37" s="1"/>
  <c r="H140" i="37"/>
  <c r="N140" i="37" s="1"/>
  <c r="H130" i="37"/>
  <c r="N130" i="37" s="1"/>
  <c r="O133" i="37"/>
  <c r="H142" i="37"/>
  <c r="O142" i="37" s="1"/>
  <c r="H138" i="37"/>
  <c r="H132" i="37"/>
  <c r="O132" i="37" s="1"/>
  <c r="H141" i="37"/>
  <c r="H131" i="37"/>
  <c r="B210" i="37" l="1"/>
  <c r="B241" i="37"/>
  <c r="B121" i="37"/>
  <c r="B88" i="37"/>
  <c r="B251" i="37"/>
  <c r="B259" i="37"/>
  <c r="B174" i="37"/>
  <c r="B243" i="37"/>
  <c r="B294" i="37"/>
  <c r="N215" i="37"/>
  <c r="B170" i="37"/>
  <c r="B128" i="37"/>
  <c r="B72" i="37"/>
  <c r="B165" i="37"/>
  <c r="B159" i="37"/>
  <c r="B333" i="37"/>
  <c r="B286" i="37"/>
  <c r="B203" i="37"/>
  <c r="B126" i="37"/>
  <c r="B335" i="37"/>
  <c r="B343" i="37"/>
  <c r="B160" i="37"/>
  <c r="B167" i="37"/>
  <c r="B244" i="37"/>
  <c r="B123" i="37"/>
  <c r="A26" i="37"/>
  <c r="A26" i="82"/>
  <c r="A23" i="37"/>
  <c r="A23" i="82"/>
  <c r="B276" i="37"/>
  <c r="B70" i="37"/>
  <c r="B113" i="37"/>
  <c r="B92" i="37"/>
  <c r="B163" i="37"/>
  <c r="B158" i="37"/>
  <c r="B82" i="37"/>
  <c r="B85" i="37"/>
  <c r="B76" i="37"/>
  <c r="B297" i="37"/>
  <c r="B119" i="37"/>
  <c r="B341" i="37"/>
  <c r="B239" i="37"/>
  <c r="B114" i="37"/>
  <c r="B292" i="37"/>
  <c r="B206" i="37"/>
  <c r="B288" i="37"/>
  <c r="B298" i="37"/>
  <c r="B346" i="37"/>
  <c r="B257" i="37"/>
  <c r="B332" i="37"/>
  <c r="B242" i="37"/>
  <c r="B263" i="37"/>
  <c r="B278" i="37"/>
  <c r="B86" i="37"/>
  <c r="B277" i="37"/>
  <c r="B198" i="37"/>
  <c r="B175" i="37"/>
  <c r="B260" i="37"/>
  <c r="B338" i="37"/>
  <c r="B120" i="37"/>
  <c r="B179" i="37"/>
  <c r="B326" i="37"/>
  <c r="B200" i="37"/>
  <c r="B279" i="37"/>
  <c r="B83" i="37"/>
  <c r="B254" i="37"/>
  <c r="A25" i="37"/>
  <c r="A71" i="37" s="1"/>
  <c r="A25" i="82"/>
  <c r="B111" i="37"/>
  <c r="A27" i="37"/>
  <c r="A328" i="37" s="1"/>
  <c r="A27" i="82"/>
  <c r="A28" i="37"/>
  <c r="A74" i="37" s="1"/>
  <c r="A28" i="82"/>
  <c r="B202" i="37"/>
  <c r="A24" i="37"/>
  <c r="A70" i="37" s="1"/>
  <c r="A24" i="82"/>
  <c r="O260" i="37"/>
  <c r="A21" i="37"/>
  <c r="A110" i="37" s="1"/>
  <c r="A21" i="82"/>
  <c r="B68" i="37"/>
  <c r="B323" i="37"/>
  <c r="B342" i="37"/>
  <c r="B217" i="37"/>
  <c r="A22" i="37"/>
  <c r="A68" i="37" s="1"/>
  <c r="A22" i="82"/>
  <c r="B87" i="37"/>
  <c r="B178" i="37"/>
  <c r="B205" i="37"/>
  <c r="B248" i="37"/>
  <c r="B262" i="37"/>
  <c r="B125" i="37"/>
  <c r="B246" i="37"/>
  <c r="B131" i="37"/>
  <c r="B291" i="37"/>
  <c r="B222" i="37"/>
  <c r="A237" i="37"/>
  <c r="B75" i="37"/>
  <c r="B135" i="37"/>
  <c r="B282" i="37"/>
  <c r="B172" i="37"/>
  <c r="B215" i="37"/>
  <c r="B157" i="37"/>
  <c r="B171" i="37"/>
  <c r="B327" i="37"/>
  <c r="A29" i="37"/>
  <c r="A118" i="37" s="1"/>
  <c r="A29" i="82"/>
  <c r="B130" i="37"/>
  <c r="B81" i="37"/>
  <c r="B173" i="37"/>
  <c r="B289" i="37"/>
  <c r="B216" i="37"/>
  <c r="B166" i="37"/>
  <c r="O255" i="37"/>
  <c r="A114" i="37"/>
  <c r="A326" i="37"/>
  <c r="A277" i="37"/>
  <c r="P185" i="37"/>
  <c r="I36" i="61"/>
  <c r="A242" i="37"/>
  <c r="A158" i="37"/>
  <c r="A201" i="37"/>
  <c r="A117" i="37"/>
  <c r="A280" i="37"/>
  <c r="A113" i="37"/>
  <c r="A157" i="37"/>
  <c r="A276" i="37"/>
  <c r="A241" i="37"/>
  <c r="A325" i="37"/>
  <c r="A200" i="37"/>
  <c r="A322" i="37"/>
  <c r="A238" i="37"/>
  <c r="A275" i="37"/>
  <c r="A69" i="37"/>
  <c r="A324" i="37"/>
  <c r="A240" i="37"/>
  <c r="A156" i="37"/>
  <c r="A199" i="37"/>
  <c r="A112" i="37"/>
  <c r="A87" i="37"/>
  <c r="A342" i="37"/>
  <c r="A217" i="37"/>
  <c r="A293" i="37"/>
  <c r="A130" i="37"/>
  <c r="A258" i="37"/>
  <c r="A174" i="37"/>
  <c r="A91" i="37"/>
  <c r="A297" i="37"/>
  <c r="A178" i="37"/>
  <c r="A346" i="37"/>
  <c r="A134" i="37"/>
  <c r="A262" i="37"/>
  <c r="A221" i="37"/>
  <c r="O265" i="37"/>
  <c r="A255" i="37"/>
  <c r="A339" i="37"/>
  <c r="A84" i="37"/>
  <c r="A171" i="37"/>
  <c r="A290" i="37"/>
  <c r="A127" i="37"/>
  <c r="A214" i="37"/>
  <c r="A88" i="37"/>
  <c r="A259" i="37"/>
  <c r="A343" i="37"/>
  <c r="A294" i="37"/>
  <c r="A175" i="37"/>
  <c r="A218" i="37"/>
  <c r="A131" i="37"/>
  <c r="A89" i="37"/>
  <c r="A260" i="37"/>
  <c r="A295" i="37"/>
  <c r="A176" i="37"/>
  <c r="A344" i="37"/>
  <c r="A219" i="37"/>
  <c r="A132" i="37"/>
  <c r="A90" i="37"/>
  <c r="A296" i="37"/>
  <c r="A220" i="37"/>
  <c r="A177" i="37"/>
  <c r="A345" i="37"/>
  <c r="A261" i="37"/>
  <c r="A133" i="37"/>
  <c r="A336" i="37"/>
  <c r="A168" i="37"/>
  <c r="A124" i="37"/>
  <c r="A81" i="37"/>
  <c r="A211" i="37"/>
  <c r="A252" i="37"/>
  <c r="A287" i="37"/>
  <c r="A256" i="37"/>
  <c r="A340" i="37"/>
  <c r="A85" i="37"/>
  <c r="A291" i="37"/>
  <c r="A172" i="37"/>
  <c r="A128" i="37"/>
  <c r="A215" i="37"/>
  <c r="A86" i="37"/>
  <c r="A257" i="37"/>
  <c r="A341" i="37"/>
  <c r="A292" i="37"/>
  <c r="A216" i="37"/>
  <c r="A173" i="37"/>
  <c r="A129" i="37"/>
  <c r="A284" i="37"/>
  <c r="A208" i="37"/>
  <c r="A121" i="37"/>
  <c r="A165" i="37"/>
  <c r="A78" i="37"/>
  <c r="A249" i="37"/>
  <c r="A333" i="37"/>
  <c r="A82" i="37"/>
  <c r="A125" i="37"/>
  <c r="A253" i="37"/>
  <c r="A337" i="37"/>
  <c r="A288" i="37"/>
  <c r="A169" i="37"/>
  <c r="A212" i="37"/>
  <c r="A338" i="37"/>
  <c r="A289" i="37"/>
  <c r="A126" i="37"/>
  <c r="A170" i="37"/>
  <c r="A213" i="37"/>
  <c r="A254" i="37"/>
  <c r="A83" i="37"/>
  <c r="O129" i="37"/>
  <c r="A285" i="37"/>
  <c r="A209" i="37"/>
  <c r="A79" i="37"/>
  <c r="A122" i="37"/>
  <c r="A334" i="37"/>
  <c r="A250" i="37"/>
  <c r="A166" i="37"/>
  <c r="A80" i="37"/>
  <c r="A335" i="37"/>
  <c r="A123" i="37"/>
  <c r="A251" i="37"/>
  <c r="A286" i="37"/>
  <c r="A167" i="37"/>
  <c r="A210" i="37"/>
  <c r="A72" i="37"/>
  <c r="A327" i="37"/>
  <c r="A243" i="37"/>
  <c r="A159" i="37"/>
  <c r="A202" i="37"/>
  <c r="A115" i="37"/>
  <c r="A278" i="37"/>
  <c r="A247" i="37"/>
  <c r="A163" i="37"/>
  <c r="A119" i="37"/>
  <c r="A76" i="37"/>
  <c r="A331" i="37"/>
  <c r="A282" i="37"/>
  <c r="A206" i="37"/>
  <c r="A283" i="37"/>
  <c r="A207" i="37"/>
  <c r="A120" i="37"/>
  <c r="A248" i="37"/>
  <c r="A164" i="37"/>
  <c r="A332" i="37"/>
  <c r="A77" i="37"/>
  <c r="N134" i="37"/>
  <c r="Q134" i="37" s="1"/>
  <c r="O259" i="37"/>
  <c r="Q172" i="37"/>
  <c r="P172" i="37"/>
  <c r="N261" i="37"/>
  <c r="P184" i="37"/>
  <c r="Q184" i="37"/>
  <c r="Q181" i="37"/>
  <c r="P181" i="37"/>
  <c r="Q180" i="37"/>
  <c r="P180" i="37"/>
  <c r="O217" i="37"/>
  <c r="N222" i="37"/>
  <c r="P140" i="37"/>
  <c r="Q140" i="37"/>
  <c r="Q129" i="37"/>
  <c r="P129" i="37"/>
  <c r="P130" i="37"/>
  <c r="Q130" i="37"/>
  <c r="P139" i="37"/>
  <c r="Q139" i="37"/>
  <c r="P133" i="37"/>
  <c r="Q133" i="37"/>
  <c r="O258" i="37"/>
  <c r="N258" i="37"/>
  <c r="N264" i="37"/>
  <c r="O264" i="37"/>
  <c r="N262" i="37"/>
  <c r="O262" i="37"/>
  <c r="N225" i="37"/>
  <c r="O218" i="37"/>
  <c r="N220" i="37"/>
  <c r="N183" i="37"/>
  <c r="N179" i="37"/>
  <c r="N214" i="37"/>
  <c r="O214" i="37"/>
  <c r="N226" i="37"/>
  <c r="O226" i="37"/>
  <c r="N174" i="37"/>
  <c r="N219" i="37"/>
  <c r="O219" i="37"/>
  <c r="O224" i="37"/>
  <c r="N224" i="37"/>
  <c r="O223" i="37"/>
  <c r="N223" i="37"/>
  <c r="O184" i="37"/>
  <c r="N178" i="37"/>
  <c r="O181" i="37"/>
  <c r="N176" i="37"/>
  <c r="N136" i="37"/>
  <c r="N175" i="37"/>
  <c r="O175" i="37"/>
  <c r="O171" i="37"/>
  <c r="N171" i="37"/>
  <c r="O177" i="37"/>
  <c r="N177" i="37"/>
  <c r="O173" i="37"/>
  <c r="N173" i="37"/>
  <c r="O182" i="37"/>
  <c r="N182" i="37"/>
  <c r="N135" i="37"/>
  <c r="N143" i="37"/>
  <c r="N137" i="37"/>
  <c r="O139" i="37"/>
  <c r="N132" i="37"/>
  <c r="N142" i="37"/>
  <c r="O130" i="37"/>
  <c r="O140" i="37"/>
  <c r="N128" i="37"/>
  <c r="O128" i="37"/>
  <c r="O138" i="37"/>
  <c r="N138" i="37"/>
  <c r="O141" i="37"/>
  <c r="N141" i="37"/>
  <c r="O131" i="37"/>
  <c r="N131" i="37"/>
  <c r="F77" i="39"/>
  <c r="C77" i="39"/>
  <c r="B77" i="39"/>
  <c r="A77" i="39"/>
  <c r="F76" i="39"/>
  <c r="C76" i="39"/>
  <c r="B76" i="39"/>
  <c r="A76" i="39"/>
  <c r="F75" i="39"/>
  <c r="C75" i="39"/>
  <c r="B75" i="39"/>
  <c r="A75" i="39"/>
  <c r="F74" i="39"/>
  <c r="C74" i="39"/>
  <c r="B74" i="39"/>
  <c r="A74" i="39"/>
  <c r="F73" i="39"/>
  <c r="C73" i="39"/>
  <c r="B73" i="39"/>
  <c r="A73" i="39"/>
  <c r="F72" i="39"/>
  <c r="C72" i="39"/>
  <c r="B72" i="39"/>
  <c r="A72" i="39"/>
  <c r="F71" i="39"/>
  <c r="C71" i="39"/>
  <c r="B71" i="39"/>
  <c r="A71" i="39"/>
  <c r="F70" i="39"/>
  <c r="C70" i="39"/>
  <c r="B70" i="39"/>
  <c r="A70" i="39"/>
  <c r="F69" i="39"/>
  <c r="C69" i="39"/>
  <c r="B69" i="39"/>
  <c r="A69" i="39"/>
  <c r="F68" i="39"/>
  <c r="C68" i="39"/>
  <c r="B68" i="39"/>
  <c r="A68" i="39"/>
  <c r="F67" i="39"/>
  <c r="C67" i="39"/>
  <c r="B67" i="39"/>
  <c r="A67" i="39"/>
  <c r="F66" i="39"/>
  <c r="C66" i="39"/>
  <c r="B66" i="39"/>
  <c r="A66" i="39"/>
  <c r="F65" i="39"/>
  <c r="C65" i="39"/>
  <c r="B65" i="39"/>
  <c r="A65" i="39"/>
  <c r="F64" i="39"/>
  <c r="C64" i="39"/>
  <c r="B64" i="39"/>
  <c r="A64" i="39"/>
  <c r="F63" i="39"/>
  <c r="C63" i="39"/>
  <c r="B63" i="39"/>
  <c r="A63" i="39"/>
  <c r="F62" i="39"/>
  <c r="C62" i="39"/>
  <c r="B62" i="39"/>
  <c r="A62" i="39"/>
  <c r="F61" i="39"/>
  <c r="C61" i="39"/>
  <c r="B61" i="39"/>
  <c r="A61" i="39"/>
  <c r="F60" i="39"/>
  <c r="C60" i="39"/>
  <c r="B60" i="39"/>
  <c r="A60" i="39"/>
  <c r="F59" i="39"/>
  <c r="C59" i="39"/>
  <c r="B59" i="39"/>
  <c r="A59" i="39"/>
  <c r="F58" i="39"/>
  <c r="C58" i="39"/>
  <c r="B58" i="39"/>
  <c r="A58" i="39"/>
  <c r="F57" i="39"/>
  <c r="C57" i="39"/>
  <c r="B57" i="39"/>
  <c r="A57" i="39"/>
  <c r="AD124" i="39"/>
  <c r="AB124" i="39"/>
  <c r="AC124" i="39" s="1"/>
  <c r="W124" i="39"/>
  <c r="X124" i="39" s="1"/>
  <c r="T124" i="39"/>
  <c r="Q124" i="39"/>
  <c r="O124" i="39" s="1"/>
  <c r="P124" i="39"/>
  <c r="AD123" i="39"/>
  <c r="AB123" i="39"/>
  <c r="AC123" i="39" s="1"/>
  <c r="W123" i="39"/>
  <c r="T123" i="39"/>
  <c r="Q123" i="39"/>
  <c r="O123" i="39" s="1"/>
  <c r="P123" i="39"/>
  <c r="AD122" i="39"/>
  <c r="AB122" i="39"/>
  <c r="AC122" i="39" s="1"/>
  <c r="W122" i="39"/>
  <c r="X122" i="39" s="1"/>
  <c r="T122" i="39"/>
  <c r="Q122" i="39"/>
  <c r="O122" i="39" s="1"/>
  <c r="P122" i="39"/>
  <c r="J122" i="39"/>
  <c r="AD121" i="39"/>
  <c r="AB121" i="39"/>
  <c r="AC121" i="39" s="1"/>
  <c r="W121" i="39"/>
  <c r="X121" i="39" s="1"/>
  <c r="T121" i="39"/>
  <c r="Q121" i="39"/>
  <c r="O121" i="39" s="1"/>
  <c r="P121" i="39"/>
  <c r="AD120" i="39"/>
  <c r="AB120" i="39"/>
  <c r="AC120" i="39" s="1"/>
  <c r="W120" i="39"/>
  <c r="X120" i="39" s="1"/>
  <c r="T120" i="39"/>
  <c r="Q120" i="39"/>
  <c r="O120" i="39" s="1"/>
  <c r="P120" i="39"/>
  <c r="AD119" i="39"/>
  <c r="AB119" i="39"/>
  <c r="AC119" i="39" s="1"/>
  <c r="W119" i="39"/>
  <c r="T119" i="39"/>
  <c r="Q119" i="39"/>
  <c r="O119" i="39" s="1"/>
  <c r="P119" i="39"/>
  <c r="AD118" i="39"/>
  <c r="AB118" i="39"/>
  <c r="AC118" i="39" s="1"/>
  <c r="W118" i="39"/>
  <c r="X118" i="39" s="1"/>
  <c r="T118" i="39"/>
  <c r="Q118" i="39"/>
  <c r="O118" i="39" s="1"/>
  <c r="P118" i="39"/>
  <c r="J118" i="39"/>
  <c r="AD117" i="39"/>
  <c r="AB117" i="39"/>
  <c r="AC117" i="39" s="1"/>
  <c r="W117" i="39"/>
  <c r="X117" i="39" s="1"/>
  <c r="T117" i="39"/>
  <c r="Q117" i="39"/>
  <c r="O117" i="39" s="1"/>
  <c r="P117" i="39"/>
  <c r="AD116" i="39"/>
  <c r="AB116" i="39"/>
  <c r="AC116" i="39" s="1"/>
  <c r="W116" i="39"/>
  <c r="X116" i="39" s="1"/>
  <c r="T116" i="39"/>
  <c r="Q116" i="39"/>
  <c r="O116" i="39" s="1"/>
  <c r="P116" i="39"/>
  <c r="AD115" i="39"/>
  <c r="AB115" i="39"/>
  <c r="AC115" i="39" s="1"/>
  <c r="W115" i="39"/>
  <c r="X115" i="39" s="1"/>
  <c r="T115" i="39"/>
  <c r="Q115" i="39"/>
  <c r="O115" i="39" s="1"/>
  <c r="P115" i="39"/>
  <c r="AD114" i="39"/>
  <c r="AB114" i="39"/>
  <c r="AC114" i="39" s="1"/>
  <c r="W114" i="39"/>
  <c r="X114" i="39" s="1"/>
  <c r="T114" i="39"/>
  <c r="Q114" i="39"/>
  <c r="O114" i="39" s="1"/>
  <c r="P114" i="39"/>
  <c r="J114" i="39"/>
  <c r="AD113" i="39"/>
  <c r="AB113" i="39"/>
  <c r="AC113" i="39" s="1"/>
  <c r="W113" i="39"/>
  <c r="X113" i="39" s="1"/>
  <c r="T113" i="39"/>
  <c r="Q113" i="39"/>
  <c r="O113" i="39" s="1"/>
  <c r="P113" i="39"/>
  <c r="AD112" i="39"/>
  <c r="AB112" i="39"/>
  <c r="AC112" i="39" s="1"/>
  <c r="W112" i="39"/>
  <c r="X112" i="39" s="1"/>
  <c r="T112" i="39"/>
  <c r="Q112" i="39"/>
  <c r="O112" i="39" s="1"/>
  <c r="P112" i="39"/>
  <c r="AD111" i="39"/>
  <c r="AB111" i="39"/>
  <c r="AC111" i="39" s="1"/>
  <c r="W111" i="39"/>
  <c r="X111" i="39" s="1"/>
  <c r="T111" i="39"/>
  <c r="Q111" i="39"/>
  <c r="O111" i="39" s="1"/>
  <c r="P111" i="39"/>
  <c r="AD110" i="39"/>
  <c r="AB110" i="39"/>
  <c r="AC110" i="39" s="1"/>
  <c r="W110" i="39"/>
  <c r="T110" i="39"/>
  <c r="Q110" i="39"/>
  <c r="O110" i="39" s="1"/>
  <c r="P110" i="39"/>
  <c r="J110" i="39"/>
  <c r="AD109" i="39"/>
  <c r="AB109" i="39"/>
  <c r="AC109" i="39" s="1"/>
  <c r="W109" i="39"/>
  <c r="X109" i="39" s="1"/>
  <c r="T109" i="39"/>
  <c r="Q109" i="39"/>
  <c r="O109" i="39" s="1"/>
  <c r="P109" i="39"/>
  <c r="AD108" i="39"/>
  <c r="AB108" i="39"/>
  <c r="AC108" i="39" s="1"/>
  <c r="W108" i="39"/>
  <c r="X108" i="39" s="1"/>
  <c r="T108" i="39"/>
  <c r="Q108" i="39"/>
  <c r="O108" i="39" s="1"/>
  <c r="P108" i="39"/>
  <c r="AD107" i="39"/>
  <c r="AB107" i="39"/>
  <c r="AC107" i="39" s="1"/>
  <c r="W107" i="39"/>
  <c r="X107" i="39" s="1"/>
  <c r="T107" i="39"/>
  <c r="Q107" i="39"/>
  <c r="O107" i="39" s="1"/>
  <c r="P107" i="39"/>
  <c r="AD106" i="39"/>
  <c r="AB106" i="39"/>
  <c r="AC106" i="39" s="1"/>
  <c r="W106" i="39"/>
  <c r="X106" i="39" s="1"/>
  <c r="T106" i="39"/>
  <c r="Q106" i="39"/>
  <c r="O106" i="39" s="1"/>
  <c r="P106" i="39"/>
  <c r="J106" i="39"/>
  <c r="AD105" i="39"/>
  <c r="AB105" i="39"/>
  <c r="AC105" i="39" s="1"/>
  <c r="W105" i="39"/>
  <c r="X105" i="39" s="1"/>
  <c r="T105" i="39"/>
  <c r="Q105" i="39"/>
  <c r="O105" i="39" s="1"/>
  <c r="P105" i="39"/>
  <c r="AD104" i="39"/>
  <c r="AB104" i="39"/>
  <c r="AC104" i="39" s="1"/>
  <c r="W104" i="39"/>
  <c r="X104" i="39" s="1"/>
  <c r="T104" i="39"/>
  <c r="Q104" i="39"/>
  <c r="O104" i="39" s="1"/>
  <c r="P104" i="39"/>
  <c r="AD103" i="39"/>
  <c r="AB103" i="39"/>
  <c r="AC103" i="39" s="1"/>
  <c r="W103" i="39"/>
  <c r="X103" i="39" s="1"/>
  <c r="T103" i="39"/>
  <c r="Q103" i="39"/>
  <c r="O103" i="39" s="1"/>
  <c r="P103" i="39"/>
  <c r="AD102" i="39"/>
  <c r="AB102" i="39"/>
  <c r="AC102" i="39" s="1"/>
  <c r="W102" i="39"/>
  <c r="X102" i="39" s="1"/>
  <c r="T102" i="39"/>
  <c r="Q102" i="39"/>
  <c r="O102" i="39" s="1"/>
  <c r="P102" i="39"/>
  <c r="J102" i="39"/>
  <c r="AD101" i="39"/>
  <c r="AB101" i="39"/>
  <c r="AC101" i="39" s="1"/>
  <c r="W101" i="39"/>
  <c r="X101" i="39" s="1"/>
  <c r="T101" i="39"/>
  <c r="Q101" i="39"/>
  <c r="O101" i="39" s="1"/>
  <c r="P101" i="39"/>
  <c r="AD100" i="39"/>
  <c r="AB100" i="39"/>
  <c r="AC100" i="39" s="1"/>
  <c r="W100" i="39"/>
  <c r="X100" i="39" s="1"/>
  <c r="T100" i="39"/>
  <c r="Q100" i="39"/>
  <c r="O100" i="39" s="1"/>
  <c r="P100" i="39"/>
  <c r="J100" i="39"/>
  <c r="AD99" i="39"/>
  <c r="AB99" i="39"/>
  <c r="AC99" i="39" s="1"/>
  <c r="W99" i="39"/>
  <c r="T99" i="39"/>
  <c r="Q99" i="39"/>
  <c r="O99" i="39" s="1"/>
  <c r="P99" i="39"/>
  <c r="AD98" i="39"/>
  <c r="AB98" i="39"/>
  <c r="AC98" i="39" s="1"/>
  <c r="T98" i="39"/>
  <c r="Q98" i="39"/>
  <c r="O98" i="39" s="1"/>
  <c r="P98" i="39"/>
  <c r="J98" i="39"/>
  <c r="AD97" i="39"/>
  <c r="AB97" i="39"/>
  <c r="AC97" i="39" s="1"/>
  <c r="W97" i="39"/>
  <c r="X97" i="39" s="1"/>
  <c r="T97" i="39"/>
  <c r="Q97" i="39"/>
  <c r="O97" i="39" s="1"/>
  <c r="P97" i="39"/>
  <c r="AD96" i="39"/>
  <c r="AB96" i="39"/>
  <c r="AC96" i="39" s="1"/>
  <c r="W96" i="39"/>
  <c r="X96" i="39" s="1"/>
  <c r="T96" i="39"/>
  <c r="Q96" i="39"/>
  <c r="O96" i="39" s="1"/>
  <c r="P96" i="39"/>
  <c r="AD95" i="39"/>
  <c r="AB95" i="39"/>
  <c r="AC95" i="39" s="1"/>
  <c r="W95" i="39"/>
  <c r="T95" i="39"/>
  <c r="Q95" i="39"/>
  <c r="O95" i="39" s="1"/>
  <c r="P95" i="39"/>
  <c r="AD94" i="39"/>
  <c r="AB94" i="39"/>
  <c r="AC94" i="39" s="1"/>
  <c r="W94" i="39"/>
  <c r="X94" i="39" s="1"/>
  <c r="T94" i="39"/>
  <c r="Q94" i="39"/>
  <c r="O94" i="39" s="1"/>
  <c r="P94" i="39"/>
  <c r="J94" i="39"/>
  <c r="AD93" i="39"/>
  <c r="AB93" i="39"/>
  <c r="AC93" i="39" s="1"/>
  <c r="W93" i="39"/>
  <c r="X93" i="39" s="1"/>
  <c r="T93" i="39"/>
  <c r="Q93" i="39"/>
  <c r="O93" i="39" s="1"/>
  <c r="P93" i="39"/>
  <c r="AD92" i="39"/>
  <c r="AB92" i="39"/>
  <c r="AC92" i="39" s="1"/>
  <c r="W92" i="39"/>
  <c r="X92" i="39" s="1"/>
  <c r="T92" i="39"/>
  <c r="Q92" i="39"/>
  <c r="O92" i="39" s="1"/>
  <c r="P92" i="39"/>
  <c r="AD91" i="39"/>
  <c r="AB91" i="39"/>
  <c r="AC91" i="39" s="1"/>
  <c r="W91" i="39"/>
  <c r="X91" i="39" s="1"/>
  <c r="T91" i="39"/>
  <c r="Q91" i="39"/>
  <c r="O91" i="39" s="1"/>
  <c r="P91" i="39"/>
  <c r="AD90" i="39"/>
  <c r="AB90" i="39"/>
  <c r="AC90" i="39" s="1"/>
  <c r="W90" i="39"/>
  <c r="X90" i="39" s="1"/>
  <c r="T90" i="39"/>
  <c r="Q90" i="39"/>
  <c r="O90" i="39" s="1"/>
  <c r="P90" i="39"/>
  <c r="J90" i="39"/>
  <c r="AD89" i="39"/>
  <c r="AB89" i="39"/>
  <c r="AC89" i="39" s="1"/>
  <c r="W89" i="39"/>
  <c r="X89" i="39" s="1"/>
  <c r="T89" i="39"/>
  <c r="Q89" i="39"/>
  <c r="O89" i="39" s="1"/>
  <c r="P89" i="39"/>
  <c r="AD88" i="39"/>
  <c r="AB88" i="39"/>
  <c r="AC88" i="39" s="1"/>
  <c r="W88" i="39"/>
  <c r="X88" i="39" s="1"/>
  <c r="T88" i="39"/>
  <c r="Q88" i="39"/>
  <c r="O88" i="39" s="1"/>
  <c r="P88" i="39"/>
  <c r="AD87" i="39"/>
  <c r="AB87" i="39"/>
  <c r="AC87" i="39" s="1"/>
  <c r="W87" i="39"/>
  <c r="T87" i="39"/>
  <c r="Q87" i="39"/>
  <c r="O87" i="39" s="1"/>
  <c r="P87" i="39"/>
  <c r="AD86" i="39"/>
  <c r="AB86" i="39"/>
  <c r="AC86" i="39" s="1"/>
  <c r="W86" i="39"/>
  <c r="X86" i="39" s="1"/>
  <c r="T86" i="39"/>
  <c r="Q86" i="39"/>
  <c r="O86" i="39" s="1"/>
  <c r="P86" i="39"/>
  <c r="J86" i="39"/>
  <c r="AD85" i="39"/>
  <c r="AB85" i="39"/>
  <c r="AC85" i="39" s="1"/>
  <c r="W85" i="39"/>
  <c r="X85" i="39" s="1"/>
  <c r="T85" i="39"/>
  <c r="Q85" i="39"/>
  <c r="O85" i="39" s="1"/>
  <c r="P85" i="39"/>
  <c r="AD84" i="39"/>
  <c r="AB84" i="39"/>
  <c r="AC84" i="39" s="1"/>
  <c r="W84" i="39"/>
  <c r="X84" i="39" s="1"/>
  <c r="T84" i="39"/>
  <c r="Q84" i="39"/>
  <c r="O84" i="39" s="1"/>
  <c r="P84" i="39"/>
  <c r="AD83" i="39"/>
  <c r="AB83" i="39"/>
  <c r="AC83" i="39" s="1"/>
  <c r="W83" i="39"/>
  <c r="X83" i="39" s="1"/>
  <c r="T83" i="39"/>
  <c r="Q83" i="39"/>
  <c r="O83" i="39" s="1"/>
  <c r="P83" i="39"/>
  <c r="AD82" i="39"/>
  <c r="AB82" i="39"/>
  <c r="AC82" i="39" s="1"/>
  <c r="W82" i="39"/>
  <c r="X82" i="39" s="1"/>
  <c r="T82" i="39"/>
  <c r="Q82" i="39"/>
  <c r="O82" i="39" s="1"/>
  <c r="P82" i="39"/>
  <c r="J82" i="39"/>
  <c r="AD81" i="39"/>
  <c r="AB81" i="39"/>
  <c r="AC81" i="39" s="1"/>
  <c r="W81" i="39"/>
  <c r="X81" i="39" s="1"/>
  <c r="T81" i="39"/>
  <c r="Q81" i="39"/>
  <c r="O81" i="39" s="1"/>
  <c r="P81" i="39"/>
  <c r="AD80" i="39"/>
  <c r="AB80" i="39"/>
  <c r="AC80" i="39" s="1"/>
  <c r="W80" i="39"/>
  <c r="X80" i="39" s="1"/>
  <c r="T80" i="39"/>
  <c r="Q80" i="39"/>
  <c r="O80" i="39" s="1"/>
  <c r="P80" i="39"/>
  <c r="AD79" i="39"/>
  <c r="AB79" i="39"/>
  <c r="AC79" i="39" s="1"/>
  <c r="W79" i="39"/>
  <c r="X79" i="39" s="1"/>
  <c r="T79" i="39"/>
  <c r="Q79" i="39"/>
  <c r="O79" i="39" s="1"/>
  <c r="P79" i="39"/>
  <c r="J79" i="39"/>
  <c r="AD78" i="39"/>
  <c r="AB78" i="39"/>
  <c r="AC78" i="39" s="1"/>
  <c r="W78" i="39"/>
  <c r="T78" i="39"/>
  <c r="Q78" i="39"/>
  <c r="O78" i="39" s="1"/>
  <c r="P78" i="39"/>
  <c r="AB77" i="39"/>
  <c r="AC77" i="39" s="1"/>
  <c r="AB76" i="39"/>
  <c r="AC76" i="39" s="1"/>
  <c r="AB75" i="39"/>
  <c r="AC75" i="39" s="1"/>
  <c r="AB74" i="39"/>
  <c r="AC74" i="39" s="1"/>
  <c r="AB73" i="39"/>
  <c r="AC73" i="39" s="1"/>
  <c r="AB72" i="39"/>
  <c r="AC72" i="39" s="1"/>
  <c r="AB71" i="39"/>
  <c r="AC71" i="39" s="1"/>
  <c r="AB70" i="39"/>
  <c r="AC70" i="39" s="1"/>
  <c r="AB69" i="39"/>
  <c r="AC69" i="39" s="1"/>
  <c r="AB68" i="39"/>
  <c r="AC68" i="39" s="1"/>
  <c r="AB67" i="39"/>
  <c r="AC67" i="39" s="1"/>
  <c r="AB66" i="39"/>
  <c r="AC66" i="39" s="1"/>
  <c r="AB65" i="39"/>
  <c r="AC65" i="39" s="1"/>
  <c r="AB64" i="39"/>
  <c r="AC64" i="39" s="1"/>
  <c r="AB63" i="39"/>
  <c r="AC63" i="39" s="1"/>
  <c r="AB62" i="39"/>
  <c r="AC62" i="39" s="1"/>
  <c r="AB61" i="39"/>
  <c r="AC61" i="39" s="1"/>
  <c r="AB60" i="39"/>
  <c r="AC60" i="39" s="1"/>
  <c r="F56" i="39"/>
  <c r="C56" i="39"/>
  <c r="B56" i="39"/>
  <c r="A56" i="39"/>
  <c r="F55" i="39"/>
  <c r="C55" i="39"/>
  <c r="B55" i="39"/>
  <c r="A55" i="39"/>
  <c r="F54" i="39"/>
  <c r="C54" i="39"/>
  <c r="B54" i="39"/>
  <c r="A54" i="39"/>
  <c r="F53" i="39"/>
  <c r="C53" i="39"/>
  <c r="B53" i="39"/>
  <c r="A53" i="39"/>
  <c r="F52" i="39"/>
  <c r="C52" i="39"/>
  <c r="B52" i="39"/>
  <c r="A52" i="39"/>
  <c r="F51" i="39"/>
  <c r="C51" i="39"/>
  <c r="B51" i="39"/>
  <c r="A51" i="39"/>
  <c r="F50" i="39"/>
  <c r="C50" i="39"/>
  <c r="B50" i="39"/>
  <c r="A50" i="39"/>
  <c r="F49" i="39"/>
  <c r="C49" i="39"/>
  <c r="B49" i="39"/>
  <c r="A49" i="39"/>
  <c r="F48" i="39"/>
  <c r="C48" i="39"/>
  <c r="B48" i="39"/>
  <c r="A48" i="39"/>
  <c r="F47" i="39"/>
  <c r="C47" i="39"/>
  <c r="B47" i="39"/>
  <c r="A47" i="39"/>
  <c r="F46" i="39"/>
  <c r="C46" i="39"/>
  <c r="B46" i="39"/>
  <c r="A46" i="39"/>
  <c r="F45" i="39"/>
  <c r="C45" i="39"/>
  <c r="B45" i="39"/>
  <c r="A45" i="39"/>
  <c r="F44" i="39"/>
  <c r="C44" i="39"/>
  <c r="B44" i="39"/>
  <c r="A44" i="39"/>
  <c r="F43" i="39"/>
  <c r="C43" i="39"/>
  <c r="B43" i="39"/>
  <c r="A43" i="39"/>
  <c r="C42" i="39"/>
  <c r="B42" i="39"/>
  <c r="A42" i="39"/>
  <c r="F41" i="39"/>
  <c r="C41" i="39"/>
  <c r="B41" i="39"/>
  <c r="A41" i="39"/>
  <c r="F40" i="39"/>
  <c r="C40" i="39"/>
  <c r="B40" i="39"/>
  <c r="A40" i="39"/>
  <c r="F39" i="39"/>
  <c r="C39" i="39"/>
  <c r="B39" i="39"/>
  <c r="A39" i="39"/>
  <c r="F38" i="39"/>
  <c r="C38" i="39"/>
  <c r="B38" i="39"/>
  <c r="A38" i="39"/>
  <c r="F37" i="39"/>
  <c r="C37" i="39"/>
  <c r="B37" i="39"/>
  <c r="F36" i="39"/>
  <c r="C36" i="39"/>
  <c r="B36" i="39"/>
  <c r="A36" i="39"/>
  <c r="F35" i="39"/>
  <c r="C35" i="39"/>
  <c r="B35" i="39"/>
  <c r="A35" i="39"/>
  <c r="F34" i="39"/>
  <c r="C34" i="39"/>
  <c r="B34" i="39"/>
  <c r="A34" i="39"/>
  <c r="F33" i="39"/>
  <c r="C33" i="39"/>
  <c r="B33" i="39"/>
  <c r="A33" i="39"/>
  <c r="B29" i="39"/>
  <c r="A29" i="39"/>
  <c r="B28" i="39"/>
  <c r="A28" i="39"/>
  <c r="F27" i="39"/>
  <c r="C27" i="39"/>
  <c r="B27" i="39"/>
  <c r="A27" i="39"/>
  <c r="F26" i="39"/>
  <c r="C26" i="39"/>
  <c r="B26" i="39"/>
  <c r="A26" i="39"/>
  <c r="F25" i="39"/>
  <c r="C25" i="39"/>
  <c r="B25" i="39"/>
  <c r="A25" i="39"/>
  <c r="F24" i="39"/>
  <c r="C24" i="39"/>
  <c r="B24" i="39"/>
  <c r="A24" i="39"/>
  <c r="F23" i="39"/>
  <c r="C23" i="39"/>
  <c r="B23" i="39"/>
  <c r="A23" i="39"/>
  <c r="F22" i="39"/>
  <c r="C22" i="39"/>
  <c r="B22" i="39"/>
  <c r="A22" i="39"/>
  <c r="F21" i="39"/>
  <c r="C21" i="39"/>
  <c r="B21" i="39"/>
  <c r="A21" i="39"/>
  <c r="B20" i="39"/>
  <c r="A20" i="39"/>
  <c r="J77" i="46"/>
  <c r="J76" i="46"/>
  <c r="J75" i="46"/>
  <c r="J74" i="46"/>
  <c r="J73" i="46"/>
  <c r="J72" i="46"/>
  <c r="J71" i="46"/>
  <c r="J70" i="46"/>
  <c r="J69" i="46"/>
  <c r="J68" i="46"/>
  <c r="J67" i="46"/>
  <c r="J66" i="46"/>
  <c r="J65" i="46"/>
  <c r="J64" i="46"/>
  <c r="J63" i="46"/>
  <c r="J62" i="46"/>
  <c r="J61" i="46"/>
  <c r="J60" i="46"/>
  <c r="J59" i="46"/>
  <c r="J58" i="46"/>
  <c r="J57" i="46"/>
  <c r="J56" i="46"/>
  <c r="J55" i="46"/>
  <c r="J54" i="46"/>
  <c r="J53" i="46"/>
  <c r="J52" i="46"/>
  <c r="J51" i="46"/>
  <c r="J50" i="46"/>
  <c r="J49" i="46"/>
  <c r="J48" i="46"/>
  <c r="J47" i="46"/>
  <c r="J46" i="46"/>
  <c r="J45" i="46"/>
  <c r="J44" i="46"/>
  <c r="J43" i="46"/>
  <c r="J42" i="46"/>
  <c r="J41" i="46"/>
  <c r="J40" i="46"/>
  <c r="J39" i="46"/>
  <c r="J38" i="46"/>
  <c r="J37" i="46"/>
  <c r="J36" i="46"/>
  <c r="J35" i="46"/>
  <c r="J34" i="46"/>
  <c r="J33" i="46"/>
  <c r="J29" i="46"/>
  <c r="J28" i="46"/>
  <c r="J27" i="46"/>
  <c r="J26" i="46"/>
  <c r="J25" i="46"/>
  <c r="J24" i="46"/>
  <c r="J23" i="46"/>
  <c r="J22" i="46"/>
  <c r="J21" i="46"/>
  <c r="J20" i="46"/>
  <c r="E82" i="46"/>
  <c r="E81" i="46"/>
  <c r="I81" i="46" s="1"/>
  <c r="J92" i="46"/>
  <c r="E92" i="46"/>
  <c r="J91" i="46"/>
  <c r="E91" i="46"/>
  <c r="P91" i="46" s="1"/>
  <c r="J90" i="46"/>
  <c r="E90" i="46"/>
  <c r="I90" i="46" s="1"/>
  <c r="J89" i="46"/>
  <c r="E89" i="46"/>
  <c r="J88" i="46"/>
  <c r="E88" i="46"/>
  <c r="J87" i="46"/>
  <c r="E87" i="46"/>
  <c r="P87" i="46" s="1"/>
  <c r="J86" i="46"/>
  <c r="E86" i="46"/>
  <c r="I86" i="46" s="1"/>
  <c r="J85" i="46"/>
  <c r="E85" i="46"/>
  <c r="J84" i="46"/>
  <c r="E84" i="46"/>
  <c r="J83" i="46"/>
  <c r="E83" i="46"/>
  <c r="P83" i="46" s="1"/>
  <c r="J82" i="46"/>
  <c r="J81" i="46"/>
  <c r="J80" i="46"/>
  <c r="E80" i="46"/>
  <c r="J79" i="46"/>
  <c r="E79" i="46"/>
  <c r="P79" i="46" s="1"/>
  <c r="J78" i="46"/>
  <c r="E78" i="46"/>
  <c r="I78" i="46" s="1"/>
  <c r="D77" i="46"/>
  <c r="C77" i="46"/>
  <c r="B77" i="46"/>
  <c r="A77" i="46"/>
  <c r="D76" i="46"/>
  <c r="C76" i="46"/>
  <c r="B76" i="46"/>
  <c r="A76" i="46"/>
  <c r="D75" i="46"/>
  <c r="C75" i="46"/>
  <c r="B75" i="46"/>
  <c r="A75" i="46"/>
  <c r="D74" i="46"/>
  <c r="C74" i="46"/>
  <c r="B74" i="46"/>
  <c r="A74" i="46"/>
  <c r="D73" i="46"/>
  <c r="C73" i="46"/>
  <c r="B73" i="46"/>
  <c r="A73" i="46"/>
  <c r="D72" i="46"/>
  <c r="C72" i="46"/>
  <c r="B72" i="46"/>
  <c r="A72" i="46"/>
  <c r="D71" i="46"/>
  <c r="C71" i="46"/>
  <c r="B71" i="46"/>
  <c r="A71" i="46"/>
  <c r="D70" i="46"/>
  <c r="C70" i="46"/>
  <c r="B70" i="46"/>
  <c r="A70" i="46"/>
  <c r="D69" i="46"/>
  <c r="C69" i="46"/>
  <c r="B69" i="46"/>
  <c r="A69" i="46"/>
  <c r="D68" i="46"/>
  <c r="C68" i="46"/>
  <c r="B68" i="46"/>
  <c r="A68" i="46"/>
  <c r="D67" i="46"/>
  <c r="C67" i="46"/>
  <c r="B67" i="46"/>
  <c r="A67" i="46"/>
  <c r="D66" i="46"/>
  <c r="C66" i="46"/>
  <c r="B66" i="46"/>
  <c r="A66" i="46"/>
  <c r="D65" i="46"/>
  <c r="C65" i="46"/>
  <c r="B65" i="46"/>
  <c r="A65" i="46"/>
  <c r="D64" i="46"/>
  <c r="C64" i="46"/>
  <c r="B64" i="46"/>
  <c r="A64" i="46"/>
  <c r="D63" i="46"/>
  <c r="C63" i="46"/>
  <c r="B63" i="46"/>
  <c r="A63" i="46"/>
  <c r="D62" i="46"/>
  <c r="C62" i="46"/>
  <c r="B62" i="46"/>
  <c r="A62" i="46"/>
  <c r="D61" i="46"/>
  <c r="C61" i="46"/>
  <c r="B61" i="46"/>
  <c r="A61" i="46"/>
  <c r="D60" i="46"/>
  <c r="C60" i="46"/>
  <c r="B60" i="46"/>
  <c r="A60" i="46"/>
  <c r="D59" i="46"/>
  <c r="C59" i="46"/>
  <c r="B59" i="46"/>
  <c r="A59" i="46"/>
  <c r="D58" i="46"/>
  <c r="C58" i="46"/>
  <c r="B58" i="46"/>
  <c r="A58" i="46"/>
  <c r="D57" i="46"/>
  <c r="C57" i="46"/>
  <c r="B57" i="46"/>
  <c r="A57" i="46"/>
  <c r="D56" i="46"/>
  <c r="C56" i="46"/>
  <c r="B56" i="46"/>
  <c r="A56" i="46"/>
  <c r="D55" i="46"/>
  <c r="C55" i="46"/>
  <c r="B55" i="46"/>
  <c r="A55" i="46"/>
  <c r="D54" i="46"/>
  <c r="C54" i="46"/>
  <c r="B54" i="46"/>
  <c r="A54" i="46"/>
  <c r="D53" i="46"/>
  <c r="C53" i="46"/>
  <c r="B53" i="46"/>
  <c r="A53" i="46"/>
  <c r="D52" i="46"/>
  <c r="C52" i="46"/>
  <c r="B52" i="46"/>
  <c r="A52" i="46"/>
  <c r="D51" i="46"/>
  <c r="C51" i="46"/>
  <c r="B51" i="46"/>
  <c r="A51" i="46"/>
  <c r="D50" i="46"/>
  <c r="C50" i="46"/>
  <c r="B50" i="46"/>
  <c r="A50" i="46"/>
  <c r="D49" i="46"/>
  <c r="C49" i="46"/>
  <c r="B49" i="46"/>
  <c r="A49" i="46"/>
  <c r="D48" i="46"/>
  <c r="C48" i="46"/>
  <c r="B48" i="46"/>
  <c r="A48" i="46"/>
  <c r="D47" i="46"/>
  <c r="C47" i="46"/>
  <c r="B47" i="46"/>
  <c r="A47" i="46"/>
  <c r="D46" i="46"/>
  <c r="C46" i="46"/>
  <c r="B46" i="46"/>
  <c r="A46" i="46"/>
  <c r="D45" i="46"/>
  <c r="C45" i="46"/>
  <c r="B45" i="46"/>
  <c r="A45" i="46"/>
  <c r="D44" i="46"/>
  <c r="C44" i="46"/>
  <c r="B44" i="46"/>
  <c r="A44" i="46"/>
  <c r="D43" i="46"/>
  <c r="C43" i="46"/>
  <c r="B43" i="46"/>
  <c r="A43" i="46"/>
  <c r="D42" i="46"/>
  <c r="C42" i="46"/>
  <c r="B42" i="46"/>
  <c r="A42" i="46"/>
  <c r="D41" i="46"/>
  <c r="C41" i="46"/>
  <c r="B41" i="46"/>
  <c r="A41" i="46"/>
  <c r="D40" i="46"/>
  <c r="C40" i="46"/>
  <c r="B40" i="46"/>
  <c r="A40" i="46"/>
  <c r="D39" i="46"/>
  <c r="C39" i="46"/>
  <c r="B39" i="46"/>
  <c r="A39" i="46"/>
  <c r="D38" i="46"/>
  <c r="C38" i="46"/>
  <c r="B38" i="46"/>
  <c r="A38" i="46"/>
  <c r="D37" i="46"/>
  <c r="C37" i="46"/>
  <c r="B37" i="46"/>
  <c r="A37" i="46"/>
  <c r="D36" i="46"/>
  <c r="C36" i="46"/>
  <c r="B36" i="46"/>
  <c r="A36" i="46"/>
  <c r="D35" i="46"/>
  <c r="C35" i="46"/>
  <c r="B35" i="46"/>
  <c r="A35" i="46"/>
  <c r="D34" i="46"/>
  <c r="C34" i="46"/>
  <c r="B34" i="46"/>
  <c r="A34" i="46"/>
  <c r="D33" i="46"/>
  <c r="C33" i="46"/>
  <c r="B33" i="46"/>
  <c r="A33" i="46"/>
  <c r="B29" i="46"/>
  <c r="A29" i="46"/>
  <c r="B28" i="46"/>
  <c r="A28" i="46"/>
  <c r="D27" i="46"/>
  <c r="C27" i="46"/>
  <c r="B27" i="46"/>
  <c r="A27" i="46"/>
  <c r="D26" i="46"/>
  <c r="C26" i="46"/>
  <c r="B26" i="46"/>
  <c r="A26" i="46"/>
  <c r="D25" i="46"/>
  <c r="C25" i="46"/>
  <c r="B25" i="46"/>
  <c r="A25" i="46"/>
  <c r="D24" i="46"/>
  <c r="C24" i="46"/>
  <c r="B24" i="46"/>
  <c r="A24" i="46"/>
  <c r="D23" i="46"/>
  <c r="C23" i="46"/>
  <c r="B23" i="46"/>
  <c r="A23" i="46"/>
  <c r="D22" i="46"/>
  <c r="C22" i="46"/>
  <c r="B22" i="46"/>
  <c r="A22" i="46"/>
  <c r="D21" i="46"/>
  <c r="C21" i="46"/>
  <c r="B21" i="46"/>
  <c r="A21" i="46"/>
  <c r="D20" i="46"/>
  <c r="C20" i="46"/>
  <c r="B20" i="46"/>
  <c r="A20" i="46"/>
  <c r="C12" i="59"/>
  <c r="J111" i="16"/>
  <c r="A154" i="37" l="1"/>
  <c r="A203" i="37"/>
  <c r="A116" i="37"/>
  <c r="A244" i="37"/>
  <c r="A279" i="37"/>
  <c r="A160" i="37"/>
  <c r="A273" i="37"/>
  <c r="A67" i="37"/>
  <c r="J40" i="39"/>
  <c r="J43" i="39"/>
  <c r="J46" i="39"/>
  <c r="J47" i="39"/>
  <c r="C126" i="39"/>
  <c r="J21" i="39"/>
  <c r="J22" i="39"/>
  <c r="U52" i="39"/>
  <c r="U53" i="39"/>
  <c r="U54" i="39"/>
  <c r="U57" i="39"/>
  <c r="U58" i="39"/>
  <c r="U59" i="39"/>
  <c r="U60" i="39"/>
  <c r="U61" i="39"/>
  <c r="W61" i="39" s="1"/>
  <c r="X61" i="39" s="1"/>
  <c r="U62" i="39"/>
  <c r="W62" i="39" s="1"/>
  <c r="X62" i="39" s="1"/>
  <c r="U63" i="39"/>
  <c r="U64" i="39"/>
  <c r="U67" i="39"/>
  <c r="U68" i="39"/>
  <c r="W68" i="39" s="1"/>
  <c r="X68" i="39" s="1"/>
  <c r="U69" i="39"/>
  <c r="U70" i="39"/>
  <c r="U71" i="39"/>
  <c r="U72" i="39"/>
  <c r="W72" i="39" s="1"/>
  <c r="X72" i="39" s="1"/>
  <c r="U73" i="39"/>
  <c r="U74" i="39"/>
  <c r="U77" i="39"/>
  <c r="W77" i="39" s="1"/>
  <c r="X77" i="39" s="1"/>
  <c r="M51" i="39"/>
  <c r="I51" i="39" s="1"/>
  <c r="U51" i="39"/>
  <c r="M56" i="39"/>
  <c r="I56" i="39" s="1"/>
  <c r="U56" i="39"/>
  <c r="M66" i="39"/>
  <c r="I66" i="39" s="1"/>
  <c r="J66" i="39" s="1"/>
  <c r="U66" i="39"/>
  <c r="M75" i="39"/>
  <c r="I75" i="39" s="1"/>
  <c r="U75" i="39"/>
  <c r="M76" i="39"/>
  <c r="I76" i="39" s="1"/>
  <c r="U76" i="39"/>
  <c r="W76" i="39" s="1"/>
  <c r="X76" i="39" s="1"/>
  <c r="M50" i="39"/>
  <c r="I50" i="39" s="1"/>
  <c r="U50" i="39"/>
  <c r="M55" i="39"/>
  <c r="I55" i="39" s="1"/>
  <c r="U55" i="39"/>
  <c r="M65" i="39"/>
  <c r="I65" i="39" s="1"/>
  <c r="U65" i="39"/>
  <c r="W65" i="39" s="1"/>
  <c r="X65" i="39" s="1"/>
  <c r="T20" i="39"/>
  <c r="U20" i="39"/>
  <c r="U37" i="39"/>
  <c r="T37" i="39"/>
  <c r="T39" i="39"/>
  <c r="U39" i="39"/>
  <c r="U41" i="39"/>
  <c r="T41" i="39"/>
  <c r="T43" i="39"/>
  <c r="U43" i="39"/>
  <c r="U44" i="39"/>
  <c r="T44" i="39"/>
  <c r="U45" i="39"/>
  <c r="T45" i="39"/>
  <c r="U46" i="39"/>
  <c r="T46" i="39"/>
  <c r="U47" i="39"/>
  <c r="T47" i="39"/>
  <c r="U49" i="39"/>
  <c r="T49" i="39"/>
  <c r="U21" i="39"/>
  <c r="T21" i="39"/>
  <c r="T22" i="39"/>
  <c r="U22" i="39"/>
  <c r="U23" i="39"/>
  <c r="T23" i="39"/>
  <c r="U24" i="39"/>
  <c r="T24" i="39"/>
  <c r="U25" i="39"/>
  <c r="T25" i="39"/>
  <c r="T26" i="39"/>
  <c r="U26" i="39"/>
  <c r="U27" i="39"/>
  <c r="T27" i="39"/>
  <c r="U33" i="39"/>
  <c r="T33" i="39"/>
  <c r="U34" i="39"/>
  <c r="T34" i="39"/>
  <c r="U35" i="39"/>
  <c r="T35" i="39"/>
  <c r="U36" i="39"/>
  <c r="T36" i="39"/>
  <c r="T38" i="39"/>
  <c r="U38" i="39"/>
  <c r="U40" i="39"/>
  <c r="T40" i="39"/>
  <c r="T42" i="39"/>
  <c r="U42" i="39"/>
  <c r="U48" i="39"/>
  <c r="T48" i="39"/>
  <c r="J24" i="39"/>
  <c r="J27" i="39"/>
  <c r="J36" i="39"/>
  <c r="J23" i="39"/>
  <c r="J26" i="39"/>
  <c r="J34" i="39"/>
  <c r="J35" i="39"/>
  <c r="J25" i="39"/>
  <c r="J33" i="39"/>
  <c r="J37" i="39"/>
  <c r="J38" i="39"/>
  <c r="J39" i="39"/>
  <c r="J41" i="39"/>
  <c r="J42" i="39"/>
  <c r="J44" i="39"/>
  <c r="J45" i="39"/>
  <c r="J48" i="39"/>
  <c r="J49" i="39"/>
  <c r="A281" i="37"/>
  <c r="A330" i="37"/>
  <c r="A162" i="37"/>
  <c r="A204" i="37"/>
  <c r="A329" i="37"/>
  <c r="A75" i="37"/>
  <c r="A73" i="37"/>
  <c r="A245" i="37"/>
  <c r="A198" i="37"/>
  <c r="A111" i="37"/>
  <c r="A323" i="37"/>
  <c r="A205" i="37"/>
  <c r="A246" i="37"/>
  <c r="A161" i="37"/>
  <c r="A197" i="37"/>
  <c r="A274" i="37"/>
  <c r="H274" i="37" s="1"/>
  <c r="L274" i="37" s="1"/>
  <c r="A155" i="37"/>
  <c r="A239" i="37"/>
  <c r="R103" i="39"/>
  <c r="P134" i="37"/>
  <c r="Q57" i="39"/>
  <c r="M57" i="39"/>
  <c r="I57" i="39" s="1"/>
  <c r="Q58" i="39"/>
  <c r="M58" i="39"/>
  <c r="I58" i="39" s="1"/>
  <c r="P59" i="39"/>
  <c r="M59" i="39"/>
  <c r="I59" i="39" s="1"/>
  <c r="Q60" i="39"/>
  <c r="O60" i="39" s="1"/>
  <c r="M60" i="39"/>
  <c r="Q61" i="39"/>
  <c r="O61" i="39" s="1"/>
  <c r="M61" i="39"/>
  <c r="I61" i="39" s="1"/>
  <c r="M62" i="39"/>
  <c r="Q63" i="39"/>
  <c r="O63" i="39" s="1"/>
  <c r="M63" i="39"/>
  <c r="P64" i="39"/>
  <c r="M64" i="39"/>
  <c r="Q67" i="39"/>
  <c r="O67" i="39" s="1"/>
  <c r="M67" i="39"/>
  <c r="I67" i="39" s="1"/>
  <c r="P68" i="39"/>
  <c r="M68" i="39"/>
  <c r="Q69" i="39"/>
  <c r="O69" i="39" s="1"/>
  <c r="M69" i="39"/>
  <c r="I69" i="39" s="1"/>
  <c r="J69" i="39" s="1"/>
  <c r="M70" i="39"/>
  <c r="Q71" i="39"/>
  <c r="O71" i="39" s="1"/>
  <c r="M71" i="39"/>
  <c r="Q72" i="39"/>
  <c r="O72" i="39" s="1"/>
  <c r="M72" i="39"/>
  <c r="I72" i="39" s="1"/>
  <c r="J72" i="39" s="1"/>
  <c r="Q73" i="39"/>
  <c r="O73" i="39" s="1"/>
  <c r="M73" i="39"/>
  <c r="P74" i="39"/>
  <c r="M74" i="39"/>
  <c r="I74" i="39" s="1"/>
  <c r="Q77" i="39"/>
  <c r="O77" i="39" s="1"/>
  <c r="M77" i="39"/>
  <c r="I77" i="39" s="1"/>
  <c r="J77" i="39" s="1"/>
  <c r="Q52" i="39"/>
  <c r="O52" i="39" s="1"/>
  <c r="M52" i="39"/>
  <c r="I52" i="39" s="1"/>
  <c r="Q53" i="39"/>
  <c r="O53" i="39" s="1"/>
  <c r="M53" i="39"/>
  <c r="P54" i="39"/>
  <c r="M54" i="39"/>
  <c r="I54" i="39" s="1"/>
  <c r="E48" i="46"/>
  <c r="I48" i="46" s="1"/>
  <c r="E20" i="46"/>
  <c r="E21" i="46"/>
  <c r="E23" i="46"/>
  <c r="P23" i="46" s="1"/>
  <c r="E24" i="46"/>
  <c r="G24" i="46" s="1"/>
  <c r="H24" i="46" s="1"/>
  <c r="E25" i="46"/>
  <c r="G25" i="46" s="1"/>
  <c r="H25" i="46" s="1"/>
  <c r="E26" i="46"/>
  <c r="U26" i="46" s="1"/>
  <c r="E28" i="46"/>
  <c r="G28" i="46" s="1"/>
  <c r="H28" i="46" s="1"/>
  <c r="E33" i="46"/>
  <c r="G33" i="46" s="1"/>
  <c r="H33" i="46" s="1"/>
  <c r="E34" i="46"/>
  <c r="P34" i="46" s="1"/>
  <c r="E36" i="46"/>
  <c r="G36" i="46" s="1"/>
  <c r="H36" i="46" s="1"/>
  <c r="E38" i="46"/>
  <c r="I38" i="46" s="1"/>
  <c r="E39" i="46"/>
  <c r="G39" i="46" s="1"/>
  <c r="H39" i="46" s="1"/>
  <c r="E40" i="46"/>
  <c r="U40" i="46" s="1"/>
  <c r="E41" i="46"/>
  <c r="P41" i="46" s="1"/>
  <c r="E42" i="46"/>
  <c r="P42" i="46" s="1"/>
  <c r="E43" i="46"/>
  <c r="U43" i="46" s="1"/>
  <c r="E44" i="46"/>
  <c r="P44" i="46" s="1"/>
  <c r="E45" i="46"/>
  <c r="I45" i="46" s="1"/>
  <c r="E46" i="46"/>
  <c r="P46" i="46" s="1"/>
  <c r="E47" i="46"/>
  <c r="U47" i="46" s="1"/>
  <c r="E49" i="46"/>
  <c r="P49" i="46" s="1"/>
  <c r="Q49" i="46" s="1"/>
  <c r="E52" i="46"/>
  <c r="I52" i="46" s="1"/>
  <c r="E54" i="46"/>
  <c r="G54" i="46" s="1"/>
  <c r="H54" i="46" s="1"/>
  <c r="E57" i="46"/>
  <c r="E59" i="46"/>
  <c r="K59" i="46" s="1"/>
  <c r="E62" i="46"/>
  <c r="E66" i="46"/>
  <c r="U66" i="46" s="1"/>
  <c r="E67" i="46"/>
  <c r="E68" i="46"/>
  <c r="I68" i="46" s="1"/>
  <c r="E69" i="46"/>
  <c r="U69" i="46" s="1"/>
  <c r="Y69" i="46" s="1"/>
  <c r="E72" i="46"/>
  <c r="K72" i="46" s="1"/>
  <c r="N72" i="46" s="1"/>
  <c r="E74" i="46"/>
  <c r="U74" i="46" s="1"/>
  <c r="Y74" i="46" s="1"/>
  <c r="E76" i="46"/>
  <c r="E77" i="46"/>
  <c r="G77" i="46" s="1"/>
  <c r="H77" i="46" s="1"/>
  <c r="AD20" i="39"/>
  <c r="AD21" i="39"/>
  <c r="O22" i="39"/>
  <c r="AD22" i="39"/>
  <c r="O23" i="39"/>
  <c r="R23" i="39" s="1"/>
  <c r="AD23" i="39"/>
  <c r="AD24" i="39"/>
  <c r="AD25" i="39"/>
  <c r="O26" i="39"/>
  <c r="R26" i="39" s="1"/>
  <c r="AD26" i="39"/>
  <c r="AD27" i="39"/>
  <c r="AD28" i="39"/>
  <c r="O29" i="39"/>
  <c r="R29" i="39" s="1"/>
  <c r="AD29" i="39"/>
  <c r="O33" i="39"/>
  <c r="R33" i="39" s="1"/>
  <c r="AD33" i="39"/>
  <c r="AD34" i="39"/>
  <c r="AD35" i="39"/>
  <c r="AD36" i="39"/>
  <c r="AD37" i="39"/>
  <c r="O38" i="39"/>
  <c r="R38" i="39" s="1"/>
  <c r="AD38" i="39"/>
  <c r="AD39" i="39"/>
  <c r="O40" i="39"/>
  <c r="AD40" i="39"/>
  <c r="O41" i="39"/>
  <c r="R41" i="39" s="1"/>
  <c r="AD41" i="39"/>
  <c r="O42" i="39"/>
  <c r="R42" i="39" s="1"/>
  <c r="AD42" i="39"/>
  <c r="O43" i="39"/>
  <c r="AD43" i="39"/>
  <c r="AD44" i="39"/>
  <c r="O45" i="39"/>
  <c r="R45" i="39" s="1"/>
  <c r="AD45" i="39"/>
  <c r="AD46" i="39"/>
  <c r="AD47" i="39"/>
  <c r="AD48" i="39"/>
  <c r="AD49" i="39"/>
  <c r="T55" i="39"/>
  <c r="K86" i="46"/>
  <c r="M86" i="46" s="1"/>
  <c r="K90" i="46"/>
  <c r="L90" i="46" s="1"/>
  <c r="R111" i="39"/>
  <c r="U90" i="46"/>
  <c r="X90" i="46" s="1"/>
  <c r="E56" i="46"/>
  <c r="U56" i="46" s="1"/>
  <c r="T50" i="39"/>
  <c r="R80" i="39"/>
  <c r="E35" i="46"/>
  <c r="P35" i="46" s="1"/>
  <c r="R35" i="46" s="1"/>
  <c r="E27" i="46"/>
  <c r="E29" i="46"/>
  <c r="P29" i="46" s="1"/>
  <c r="E37" i="46"/>
  <c r="E22" i="46"/>
  <c r="U22" i="46" s="1"/>
  <c r="E64" i="46"/>
  <c r="P64" i="46" s="1"/>
  <c r="AD75" i="39"/>
  <c r="E51" i="46"/>
  <c r="I51" i="46" s="1"/>
  <c r="E71" i="46"/>
  <c r="U71" i="46" s="1"/>
  <c r="E53" i="46"/>
  <c r="U53" i="46" s="1"/>
  <c r="E58" i="46"/>
  <c r="U58" i="46" s="1"/>
  <c r="Y58" i="46" s="1"/>
  <c r="E63" i="46"/>
  <c r="I63" i="46" s="1"/>
  <c r="E73" i="46"/>
  <c r="I73" i="46" s="1"/>
  <c r="E50" i="46"/>
  <c r="I50" i="46" s="1"/>
  <c r="E55" i="46"/>
  <c r="P55" i="46" s="1"/>
  <c r="E60" i="46"/>
  <c r="I60" i="46" s="1"/>
  <c r="E65" i="46"/>
  <c r="G65" i="46" s="1"/>
  <c r="H65" i="46" s="1"/>
  <c r="E70" i="46"/>
  <c r="G70" i="46" s="1"/>
  <c r="E75" i="46"/>
  <c r="I75" i="46" s="1"/>
  <c r="E61" i="46"/>
  <c r="I61" i="46" s="1"/>
  <c r="T51" i="39"/>
  <c r="T56" i="39"/>
  <c r="P177" i="37"/>
  <c r="Q177" i="37"/>
  <c r="P174" i="37"/>
  <c r="Q174" i="37"/>
  <c r="Q179" i="37"/>
  <c r="P179" i="37"/>
  <c r="P173" i="37"/>
  <c r="Q173" i="37"/>
  <c r="Q175" i="37"/>
  <c r="P175" i="37"/>
  <c r="P176" i="37"/>
  <c r="Q176" i="37"/>
  <c r="P171" i="37"/>
  <c r="Q171" i="37"/>
  <c r="P178" i="37"/>
  <c r="Q178" i="37"/>
  <c r="O39" i="39"/>
  <c r="R39" i="39" s="1"/>
  <c r="R95" i="39"/>
  <c r="L100" i="39"/>
  <c r="K100" i="39"/>
  <c r="K114" i="39"/>
  <c r="L114" i="39"/>
  <c r="K79" i="39"/>
  <c r="L79" i="39"/>
  <c r="K122" i="39"/>
  <c r="L122" i="39"/>
  <c r="K82" i="39"/>
  <c r="L82" i="39"/>
  <c r="L90" i="39"/>
  <c r="K90" i="39"/>
  <c r="K106" i="39"/>
  <c r="L106" i="39"/>
  <c r="K118" i="39"/>
  <c r="L118" i="39"/>
  <c r="K86" i="39"/>
  <c r="L86" i="39"/>
  <c r="K98" i="39"/>
  <c r="L98" i="39"/>
  <c r="K94" i="39"/>
  <c r="L94" i="39"/>
  <c r="L110" i="39"/>
  <c r="K110" i="39"/>
  <c r="K102" i="39"/>
  <c r="L102" i="39"/>
  <c r="K87" i="46"/>
  <c r="M87" i="46" s="1"/>
  <c r="K92" i="46"/>
  <c r="N92" i="46" s="1"/>
  <c r="U87" i="46"/>
  <c r="X87" i="46" s="1"/>
  <c r="P86" i="46"/>
  <c r="R86" i="46" s="1"/>
  <c r="U86" i="46"/>
  <c r="X86" i="46" s="1"/>
  <c r="K88" i="46"/>
  <c r="N88" i="46" s="1"/>
  <c r="K91" i="46"/>
  <c r="M91" i="46" s="1"/>
  <c r="K89" i="46"/>
  <c r="L89" i="46" s="1"/>
  <c r="U91" i="46"/>
  <c r="Y91" i="46" s="1"/>
  <c r="P90" i="46"/>
  <c r="R90" i="46" s="1"/>
  <c r="AD66" i="39"/>
  <c r="Q55" i="39"/>
  <c r="O55" i="39" s="1"/>
  <c r="P55" i="39"/>
  <c r="P57" i="39"/>
  <c r="O35" i="39"/>
  <c r="R35" i="39" s="1"/>
  <c r="T58" i="39"/>
  <c r="R84" i="39"/>
  <c r="T66" i="39"/>
  <c r="T76" i="39"/>
  <c r="R91" i="39"/>
  <c r="R120" i="39"/>
  <c r="R83" i="39"/>
  <c r="P61" i="39"/>
  <c r="P66" i="39"/>
  <c r="R105" i="39"/>
  <c r="T57" i="39"/>
  <c r="O34" i="39"/>
  <c r="R34" i="39" s="1"/>
  <c r="AD71" i="39"/>
  <c r="R108" i="39"/>
  <c r="Q64" i="39"/>
  <c r="O64" i="39" s="1"/>
  <c r="W75" i="39"/>
  <c r="X75" i="39" s="1"/>
  <c r="Q66" i="39"/>
  <c r="O66" i="39" s="1"/>
  <c r="T59" i="39"/>
  <c r="AD76" i="39"/>
  <c r="W66" i="39"/>
  <c r="X66" i="39" s="1"/>
  <c r="O44" i="39"/>
  <c r="R44" i="39" s="1"/>
  <c r="P67" i="39"/>
  <c r="T60" i="39"/>
  <c r="W71" i="39"/>
  <c r="X71" i="39" s="1"/>
  <c r="T61" i="39"/>
  <c r="P71" i="39"/>
  <c r="T64" i="39"/>
  <c r="Q74" i="39"/>
  <c r="O74" i="39" s="1"/>
  <c r="W67" i="39"/>
  <c r="X67" i="39" s="1"/>
  <c r="P75" i="39"/>
  <c r="T71" i="39"/>
  <c r="P76" i="39"/>
  <c r="O49" i="39"/>
  <c r="R49" i="39" s="1"/>
  <c r="Q76" i="39"/>
  <c r="O76" i="39" s="1"/>
  <c r="P65" i="39"/>
  <c r="Q65" i="39"/>
  <c r="O65" i="39" s="1"/>
  <c r="T65" i="39"/>
  <c r="T62" i="39"/>
  <c r="AD77" i="39"/>
  <c r="R92" i="39"/>
  <c r="Q75" i="39"/>
  <c r="O75" i="39" s="1"/>
  <c r="J75" i="39"/>
  <c r="R107" i="39"/>
  <c r="O25" i="39"/>
  <c r="R25" i="39" s="1"/>
  <c r="P50" i="39"/>
  <c r="P77" i="39"/>
  <c r="O48" i="39"/>
  <c r="R48" i="39" s="1"/>
  <c r="Q54" i="39"/>
  <c r="O54" i="39" s="1"/>
  <c r="P183" i="37"/>
  <c r="Q183" i="37"/>
  <c r="P182" i="37"/>
  <c r="Q182" i="37"/>
  <c r="Q142" i="37"/>
  <c r="P142" i="37"/>
  <c r="Q132" i="37"/>
  <c r="P132" i="37"/>
  <c r="Q137" i="37"/>
  <c r="P137" i="37"/>
  <c r="P143" i="37"/>
  <c r="Q143" i="37"/>
  <c r="Q141" i="37"/>
  <c r="P141" i="37"/>
  <c r="Q128" i="37"/>
  <c r="P128" i="37"/>
  <c r="Q135" i="37"/>
  <c r="P135" i="37"/>
  <c r="P138" i="37"/>
  <c r="Q138" i="37"/>
  <c r="P136" i="37"/>
  <c r="Q136" i="37"/>
  <c r="Q131" i="37"/>
  <c r="P131" i="37"/>
  <c r="O36" i="39"/>
  <c r="R36" i="39" s="1"/>
  <c r="P60" i="39"/>
  <c r="P70" i="39"/>
  <c r="T69" i="39"/>
  <c r="O27" i="39"/>
  <c r="R27" i="39" s="1"/>
  <c r="Q50" i="39"/>
  <c r="O50" i="39" s="1"/>
  <c r="Q70" i="39"/>
  <c r="O70" i="39" s="1"/>
  <c r="T70" i="39"/>
  <c r="T63" i="39"/>
  <c r="O37" i="39"/>
  <c r="R37" i="39" s="1"/>
  <c r="P58" i="39"/>
  <c r="W69" i="39"/>
  <c r="X69" i="39" s="1"/>
  <c r="Q68" i="39"/>
  <c r="O68" i="39" s="1"/>
  <c r="P69" i="39"/>
  <c r="T68" i="39"/>
  <c r="O28" i="39"/>
  <c r="R28" i="39" s="1"/>
  <c r="Q51" i="39"/>
  <c r="O51" i="39" s="1"/>
  <c r="T52" i="39"/>
  <c r="T72" i="39"/>
  <c r="P52" i="39"/>
  <c r="P62" i="39"/>
  <c r="P72" i="39"/>
  <c r="T53" i="39"/>
  <c r="T73" i="39"/>
  <c r="O46" i="39"/>
  <c r="Q56" i="39"/>
  <c r="O56" i="39" s="1"/>
  <c r="O47" i="39"/>
  <c r="W64" i="39"/>
  <c r="X64" i="39" s="1"/>
  <c r="T67" i="39"/>
  <c r="Q59" i="39"/>
  <c r="P51" i="39"/>
  <c r="Q62" i="39"/>
  <c r="O62" i="39" s="1"/>
  <c r="T54" i="39"/>
  <c r="T74" i="39"/>
  <c r="O24" i="39"/>
  <c r="R24" i="39" s="1"/>
  <c r="AD64" i="39"/>
  <c r="P53" i="39"/>
  <c r="P63" i="39"/>
  <c r="P73" i="39"/>
  <c r="T75" i="39"/>
  <c r="P56" i="39"/>
  <c r="T77" i="39"/>
  <c r="R87" i="39"/>
  <c r="J83" i="39"/>
  <c r="R114" i="39"/>
  <c r="R124" i="39"/>
  <c r="J95" i="39"/>
  <c r="R96" i="39"/>
  <c r="R99" i="39"/>
  <c r="AD72" i="39"/>
  <c r="AD74" i="39"/>
  <c r="W74" i="39"/>
  <c r="X74" i="39" s="1"/>
  <c r="AD70" i="39"/>
  <c r="J67" i="39"/>
  <c r="AD67" i="39"/>
  <c r="AD62" i="39"/>
  <c r="AD61" i="39"/>
  <c r="AD65" i="39"/>
  <c r="AD60" i="39"/>
  <c r="AD68" i="39"/>
  <c r="W63" i="39"/>
  <c r="X63" i="39" s="1"/>
  <c r="W60" i="39"/>
  <c r="X60" i="39" s="1"/>
  <c r="AD63" i="39"/>
  <c r="W73" i="39"/>
  <c r="X73" i="39" s="1"/>
  <c r="W70" i="39"/>
  <c r="X70" i="39" s="1"/>
  <c r="AD69" i="39"/>
  <c r="AD73" i="39"/>
  <c r="R116" i="39"/>
  <c r="J116" i="39"/>
  <c r="R93" i="39"/>
  <c r="J88" i="39"/>
  <c r="R88" i="39"/>
  <c r="R81" i="39"/>
  <c r="R121" i="39"/>
  <c r="R100" i="39"/>
  <c r="W98" i="39"/>
  <c r="X98" i="39" s="1"/>
  <c r="X110" i="39"/>
  <c r="X119" i="39"/>
  <c r="J109" i="39"/>
  <c r="J97" i="39"/>
  <c r="J85" i="39"/>
  <c r="R102" i="39"/>
  <c r="J104" i="39"/>
  <c r="R90" i="39"/>
  <c r="J111" i="39"/>
  <c r="X123" i="39"/>
  <c r="J80" i="39"/>
  <c r="J92" i="39"/>
  <c r="J99" i="39"/>
  <c r="J120" i="39"/>
  <c r="J87" i="39"/>
  <c r="X95" i="39"/>
  <c r="R109" i="39"/>
  <c r="R118" i="39"/>
  <c r="R97" i="39"/>
  <c r="J113" i="39"/>
  <c r="R85" i="39"/>
  <c r="J101" i="39"/>
  <c r="R104" i="39"/>
  <c r="J89" i="39"/>
  <c r="R106" i="39"/>
  <c r="R115" i="39"/>
  <c r="J115" i="39"/>
  <c r="J124" i="39"/>
  <c r="J108" i="39"/>
  <c r="R82" i="39"/>
  <c r="R94" i="39"/>
  <c r="J96" i="39"/>
  <c r="J103" i="39"/>
  <c r="J117" i="39"/>
  <c r="J84" i="39"/>
  <c r="J91" i="39"/>
  <c r="X99" i="39"/>
  <c r="R113" i="39"/>
  <c r="X87" i="39"/>
  <c r="R101" i="39"/>
  <c r="R119" i="39"/>
  <c r="J119" i="39"/>
  <c r="R89" i="39"/>
  <c r="J105" i="39"/>
  <c r="J121" i="39"/>
  <c r="J81" i="39"/>
  <c r="J93" i="39"/>
  <c r="R110" i="39"/>
  <c r="R112" i="39"/>
  <c r="R117" i="39"/>
  <c r="R98" i="39"/>
  <c r="J107" i="39"/>
  <c r="J112" i="39"/>
  <c r="J123" i="39"/>
  <c r="R123" i="39"/>
  <c r="R122" i="39"/>
  <c r="R86" i="39"/>
  <c r="J78" i="39"/>
  <c r="R78" i="39"/>
  <c r="X78" i="39"/>
  <c r="R79" i="39"/>
  <c r="I82" i="46"/>
  <c r="U82" i="46"/>
  <c r="X82" i="46" s="1"/>
  <c r="K82" i="46"/>
  <c r="N82" i="46" s="1"/>
  <c r="P82" i="46"/>
  <c r="K78" i="46"/>
  <c r="L78" i="46" s="1"/>
  <c r="P78" i="46"/>
  <c r="K79" i="46"/>
  <c r="N79" i="46" s="1"/>
  <c r="K80" i="46"/>
  <c r="N80" i="46" s="1"/>
  <c r="K83" i="46"/>
  <c r="N83" i="46" s="1"/>
  <c r="K84" i="46"/>
  <c r="N84" i="46" s="1"/>
  <c r="K81" i="46"/>
  <c r="M81" i="46" s="1"/>
  <c r="K85" i="46"/>
  <c r="L85" i="46" s="1"/>
  <c r="U78" i="46"/>
  <c r="Y78" i="46" s="1"/>
  <c r="U79" i="46"/>
  <c r="X79" i="46" s="1"/>
  <c r="U83" i="46"/>
  <c r="Y83" i="46" s="1"/>
  <c r="Q79" i="46"/>
  <c r="R79" i="46"/>
  <c r="R83" i="46"/>
  <c r="Q83" i="46"/>
  <c r="R87" i="46"/>
  <c r="Q87" i="46"/>
  <c r="R91" i="46"/>
  <c r="Q91" i="46"/>
  <c r="I91" i="46"/>
  <c r="P92" i="46"/>
  <c r="G81" i="46"/>
  <c r="H81" i="46" s="1"/>
  <c r="G92" i="46"/>
  <c r="H92" i="46" s="1"/>
  <c r="I80" i="46"/>
  <c r="P81" i="46"/>
  <c r="P85" i="46"/>
  <c r="G79" i="46"/>
  <c r="U81" i="46"/>
  <c r="I87" i="46"/>
  <c r="P84" i="46"/>
  <c r="G78" i="46"/>
  <c r="G82" i="46"/>
  <c r="G86" i="46"/>
  <c r="G90" i="46"/>
  <c r="G89" i="46"/>
  <c r="H89" i="46" s="1"/>
  <c r="G84" i="46"/>
  <c r="H84" i="46" s="1"/>
  <c r="I84" i="46"/>
  <c r="I92" i="46"/>
  <c r="P89" i="46"/>
  <c r="G87" i="46"/>
  <c r="G91" i="46"/>
  <c r="I83" i="46"/>
  <c r="U85" i="46"/>
  <c r="U89" i="46"/>
  <c r="P80" i="46"/>
  <c r="P88" i="46"/>
  <c r="U80" i="46"/>
  <c r="U84" i="46"/>
  <c r="U88" i="46"/>
  <c r="U92" i="46"/>
  <c r="G85" i="46"/>
  <c r="H85" i="46" s="1"/>
  <c r="I85" i="46"/>
  <c r="I89" i="46"/>
  <c r="G80" i="46"/>
  <c r="H80" i="46" s="1"/>
  <c r="G88" i="46"/>
  <c r="H88" i="46" s="1"/>
  <c r="I88" i="46"/>
  <c r="G83" i="46"/>
  <c r="I79" i="46"/>
  <c r="G57" i="46"/>
  <c r="H57" i="46" s="1"/>
  <c r="P62" i="46"/>
  <c r="R62" i="46" s="1"/>
  <c r="P67" i="46"/>
  <c r="I74" i="46"/>
  <c r="I57" i="46"/>
  <c r="G74" i="46"/>
  <c r="J47" i="16"/>
  <c r="J48" i="16"/>
  <c r="I45" i="16"/>
  <c r="L139" i="16"/>
  <c r="L140" i="16" s="1"/>
  <c r="L141" i="16" s="1"/>
  <c r="L133" i="16"/>
  <c r="L134" i="16" s="1"/>
  <c r="L129" i="16"/>
  <c r="L130" i="16" s="1"/>
  <c r="L132" i="16" s="1"/>
  <c r="I41" i="59"/>
  <c r="I40" i="59"/>
  <c r="I39" i="59"/>
  <c r="I38" i="59"/>
  <c r="I37" i="59"/>
  <c r="I36" i="59"/>
  <c r="I35" i="59"/>
  <c r="I34" i="59"/>
  <c r="I33" i="59"/>
  <c r="I32" i="59"/>
  <c r="I31" i="59"/>
  <c r="I30" i="59"/>
  <c r="I29" i="59"/>
  <c r="I28" i="59"/>
  <c r="I27" i="59"/>
  <c r="I26" i="59"/>
  <c r="I25" i="59"/>
  <c r="I21" i="59"/>
  <c r="I20" i="59"/>
  <c r="I19" i="59"/>
  <c r="I18" i="59"/>
  <c r="I17" i="59"/>
  <c r="I16" i="59"/>
  <c r="I15" i="59"/>
  <c r="I14" i="59"/>
  <c r="I13" i="59"/>
  <c r="F84" i="59"/>
  <c r="A10" i="59"/>
  <c r="P17" i="46"/>
  <c r="U17" i="46" s="1"/>
  <c r="U20" i="46" s="1"/>
  <c r="X20" i="46" s="1"/>
  <c r="K17" i="46"/>
  <c r="F19" i="56"/>
  <c r="F24" i="56" s="1"/>
  <c r="F20" i="56"/>
  <c r="F25" i="56" s="1"/>
  <c r="F23" i="56"/>
  <c r="G23" i="56" s="1"/>
  <c r="F30" i="56"/>
  <c r="F34" i="56" s="1"/>
  <c r="G42" i="56"/>
  <c r="G28" i="56"/>
  <c r="H28" i="56" s="1"/>
  <c r="G27" i="56"/>
  <c r="G21" i="56"/>
  <c r="G18" i="56"/>
  <c r="G17" i="56"/>
  <c r="G15" i="56"/>
  <c r="G14" i="56"/>
  <c r="G13" i="56"/>
  <c r="G9" i="56"/>
  <c r="G8" i="56"/>
  <c r="G7" i="56"/>
  <c r="G5" i="56"/>
  <c r="E23" i="56"/>
  <c r="H549" i="57"/>
  <c r="H550" i="57" s="1"/>
  <c r="L545" i="57" s="1"/>
  <c r="E42" i="56" s="1"/>
  <c r="H540" i="57"/>
  <c r="H537" i="57"/>
  <c r="G512" i="57"/>
  <c r="G513" i="57" s="1"/>
  <c r="L507" i="57" s="1"/>
  <c r="E39" i="56" s="1"/>
  <c r="G504" i="57"/>
  <c r="E504" i="57"/>
  <c r="E501" i="57"/>
  <c r="H501" i="57" s="1"/>
  <c r="H464" i="57"/>
  <c r="H461" i="57"/>
  <c r="G452" i="57"/>
  <c r="G453" i="57" s="1"/>
  <c r="L447" i="57" s="1"/>
  <c r="E35" i="56" s="1"/>
  <c r="E443" i="57"/>
  <c r="H443" i="57" s="1"/>
  <c r="E440" i="57"/>
  <c r="H440" i="57" s="1"/>
  <c r="H408" i="57"/>
  <c r="H405" i="57"/>
  <c r="G396" i="57"/>
  <c r="G397" i="57" s="1"/>
  <c r="L392" i="57" s="1"/>
  <c r="E31" i="56" s="1"/>
  <c r="F388" i="57"/>
  <c r="H388" i="57" s="1"/>
  <c r="F385" i="57"/>
  <c r="H385" i="57" s="1"/>
  <c r="G374" i="57"/>
  <c r="L347" i="57" s="1"/>
  <c r="E27" i="56" s="1"/>
  <c r="H342" i="57"/>
  <c r="H343" i="57" s="1"/>
  <c r="L314" i="57" s="1"/>
  <c r="E25" i="56" s="1"/>
  <c r="E24" i="56" s="1"/>
  <c r="H308" i="57"/>
  <c r="H309" i="57" s="1"/>
  <c r="L303" i="57" s="1"/>
  <c r="E21" i="56" s="1"/>
  <c r="H300" i="57"/>
  <c r="H299" i="57"/>
  <c r="H298" i="57"/>
  <c r="H297" i="57"/>
  <c r="H296" i="57"/>
  <c r="H295" i="57"/>
  <c r="H294" i="57"/>
  <c r="H293" i="57"/>
  <c r="H292" i="57"/>
  <c r="H291" i="57"/>
  <c r="H290" i="57"/>
  <c r="H289" i="57"/>
  <c r="H288" i="57"/>
  <c r="H287" i="57"/>
  <c r="H286" i="57"/>
  <c r="H285" i="57"/>
  <c r="H284" i="57"/>
  <c r="H283" i="57"/>
  <c r="H282" i="57"/>
  <c r="H281" i="57"/>
  <c r="G273" i="57"/>
  <c r="G274" i="57" s="1"/>
  <c r="L269" i="57" s="1"/>
  <c r="E19" i="56" s="1"/>
  <c r="H266" i="57"/>
  <c r="H265" i="57"/>
  <c r="H264" i="57"/>
  <c r="H263" i="57"/>
  <c r="H262" i="57"/>
  <c r="H261" i="57"/>
  <c r="H260" i="57"/>
  <c r="H259" i="57"/>
  <c r="H258" i="57"/>
  <c r="H257" i="57"/>
  <c r="H256" i="57"/>
  <c r="H255" i="57"/>
  <c r="H254" i="57"/>
  <c r="H253" i="57"/>
  <c r="H252" i="57"/>
  <c r="H251" i="57"/>
  <c r="H250" i="57"/>
  <c r="H249" i="57"/>
  <c r="H248" i="57"/>
  <c r="H247" i="57"/>
  <c r="G214" i="57"/>
  <c r="G215" i="57" s="1"/>
  <c r="L192" i="57" s="1"/>
  <c r="E17" i="56" s="1"/>
  <c r="H186" i="57"/>
  <c r="H185" i="57"/>
  <c r="H180" i="57"/>
  <c r="H179" i="57"/>
  <c r="G170" i="57"/>
  <c r="G171" i="57" s="1"/>
  <c r="L166" i="57" s="1"/>
  <c r="E162" i="57"/>
  <c r="H162" i="57" s="1"/>
  <c r="E161" i="57"/>
  <c r="H161" i="57" s="1"/>
  <c r="E156" i="57"/>
  <c r="H156" i="57" s="1"/>
  <c r="E155" i="57"/>
  <c r="H155" i="57" s="1"/>
  <c r="G123" i="57"/>
  <c r="G124" i="57" s="1"/>
  <c r="L119" i="57" s="1"/>
  <c r="H114" i="57"/>
  <c r="H113" i="57"/>
  <c r="H112" i="57"/>
  <c r="G104" i="57"/>
  <c r="G105" i="57" s="1"/>
  <c r="L100" i="57" s="1"/>
  <c r="E8" i="56" s="1"/>
  <c r="E96" i="57"/>
  <c r="H96" i="57" s="1"/>
  <c r="H93" i="57"/>
  <c r="E87" i="57"/>
  <c r="H87" i="57" s="1"/>
  <c r="H84" i="57"/>
  <c r="E78" i="57"/>
  <c r="H78" i="57" s="1"/>
  <c r="H75" i="57"/>
  <c r="G40" i="57"/>
  <c r="L9" i="57" s="1"/>
  <c r="E5" i="56" s="1"/>
  <c r="K42" i="56"/>
  <c r="K41" i="56"/>
  <c r="K40" i="56"/>
  <c r="K39" i="56"/>
  <c r="K38" i="56"/>
  <c r="K37" i="56"/>
  <c r="K36" i="56"/>
  <c r="K35" i="56"/>
  <c r="K34" i="56"/>
  <c r="K33" i="56"/>
  <c r="K32" i="56"/>
  <c r="K31" i="56"/>
  <c r="K30" i="56"/>
  <c r="K29" i="56"/>
  <c r="K28" i="56"/>
  <c r="K27" i="56"/>
  <c r="K26" i="56"/>
  <c r="K25" i="56"/>
  <c r="K24" i="56"/>
  <c r="K23" i="56"/>
  <c r="K22" i="56"/>
  <c r="K21" i="56"/>
  <c r="K20" i="56"/>
  <c r="K19" i="56"/>
  <c r="K18" i="56"/>
  <c r="K17" i="56"/>
  <c r="K16" i="56"/>
  <c r="K15" i="56"/>
  <c r="K14" i="56"/>
  <c r="K13" i="56"/>
  <c r="K12" i="56"/>
  <c r="K11" i="56"/>
  <c r="K10" i="56"/>
  <c r="H10" i="56"/>
  <c r="K9" i="56"/>
  <c r="K8" i="56"/>
  <c r="K7" i="56"/>
  <c r="K6" i="56"/>
  <c r="K5" i="56"/>
  <c r="O20" i="39"/>
  <c r="R20" i="39" s="1"/>
  <c r="AA319" i="37"/>
  <c r="N360" i="37"/>
  <c r="J341" i="37"/>
  <c r="J342" i="37"/>
  <c r="J343" i="37"/>
  <c r="J344" i="37"/>
  <c r="J345" i="37"/>
  <c r="J346" i="37"/>
  <c r="J347" i="37"/>
  <c r="J348" i="37"/>
  <c r="J349" i="37"/>
  <c r="J350" i="37"/>
  <c r="J351" i="37"/>
  <c r="J352" i="37"/>
  <c r="J353" i="37"/>
  <c r="J354" i="37"/>
  <c r="J355" i="37"/>
  <c r="J356" i="37"/>
  <c r="J357" i="37"/>
  <c r="J358" i="37"/>
  <c r="I356" i="37"/>
  <c r="M356" i="37" s="1"/>
  <c r="S356" i="37" s="1"/>
  <c r="I357" i="37"/>
  <c r="M357" i="37" s="1"/>
  <c r="S357" i="37" s="1"/>
  <c r="I358" i="37"/>
  <c r="M358" i="37" s="1"/>
  <c r="S358" i="37" s="1"/>
  <c r="I355" i="37"/>
  <c r="M355" i="37" s="1"/>
  <c r="S355" i="37" s="1"/>
  <c r="I352" i="37"/>
  <c r="M352" i="37" s="1"/>
  <c r="S352" i="37" s="1"/>
  <c r="I353" i="37"/>
  <c r="M353" i="37" s="1"/>
  <c r="S353" i="37" s="1"/>
  <c r="I354" i="37"/>
  <c r="M354" i="37" s="1"/>
  <c r="S354" i="37" s="1"/>
  <c r="I346" i="37"/>
  <c r="M346" i="37" s="1"/>
  <c r="S346" i="37" s="1"/>
  <c r="I347" i="37"/>
  <c r="M347" i="37" s="1"/>
  <c r="S347" i="37" s="1"/>
  <c r="I348" i="37"/>
  <c r="M348" i="37" s="1"/>
  <c r="S348" i="37" s="1"/>
  <c r="I349" i="37"/>
  <c r="M349" i="37" s="1"/>
  <c r="S349" i="37" s="1"/>
  <c r="I350" i="37"/>
  <c r="M350" i="37" s="1"/>
  <c r="S350" i="37" s="1"/>
  <c r="I351" i="37"/>
  <c r="M351" i="37" s="1"/>
  <c r="S351" i="37" s="1"/>
  <c r="I341" i="37"/>
  <c r="M341" i="37" s="1"/>
  <c r="S341" i="37" s="1"/>
  <c r="I342" i="37"/>
  <c r="M342" i="37" s="1"/>
  <c r="S342" i="37" s="1"/>
  <c r="I343" i="37"/>
  <c r="M343" i="37" s="1"/>
  <c r="S343" i="37" s="1"/>
  <c r="I344" i="37"/>
  <c r="M344" i="37" s="1"/>
  <c r="S344" i="37" s="1"/>
  <c r="I345" i="37"/>
  <c r="M345" i="37" s="1"/>
  <c r="S345" i="37" s="1"/>
  <c r="H275" i="37"/>
  <c r="L275" i="37" s="1"/>
  <c r="H276" i="37"/>
  <c r="L276" i="37" s="1"/>
  <c r="H277" i="37"/>
  <c r="L277" i="37" s="1"/>
  <c r="H278" i="37"/>
  <c r="L278" i="37" s="1"/>
  <c r="H329" i="37"/>
  <c r="L329" i="37" s="1"/>
  <c r="R329" i="37" s="1"/>
  <c r="H281" i="37"/>
  <c r="L281" i="37" s="1"/>
  <c r="H283" i="37"/>
  <c r="L283" i="37" s="1"/>
  <c r="H284" i="37"/>
  <c r="L284" i="37" s="1"/>
  <c r="H285" i="37"/>
  <c r="L285" i="37" s="1"/>
  <c r="H336" i="37"/>
  <c r="L336" i="37" s="1"/>
  <c r="R336" i="37" s="1"/>
  <c r="H288" i="37"/>
  <c r="L288" i="37" s="1"/>
  <c r="H338" i="37"/>
  <c r="L338" i="37" s="1"/>
  <c r="R338" i="37" s="1"/>
  <c r="H339" i="37"/>
  <c r="L339" i="37" s="1"/>
  <c r="R339" i="37" s="1"/>
  <c r="H294" i="37"/>
  <c r="L294" i="37" s="1"/>
  <c r="H296" i="37"/>
  <c r="L296" i="37" s="1"/>
  <c r="H348" i="37"/>
  <c r="L348" i="37" s="1"/>
  <c r="R348" i="37" s="1"/>
  <c r="H349" i="37"/>
  <c r="L349" i="37" s="1"/>
  <c r="R349" i="37" s="1"/>
  <c r="H350" i="37"/>
  <c r="L350" i="37" s="1"/>
  <c r="R350" i="37" s="1"/>
  <c r="H302" i="37"/>
  <c r="L302" i="37" s="1"/>
  <c r="H303" i="37"/>
  <c r="L303" i="37" s="1"/>
  <c r="H304" i="37"/>
  <c r="L304" i="37" s="1"/>
  <c r="H355" i="37"/>
  <c r="L355" i="37" s="1"/>
  <c r="R355" i="37" s="1"/>
  <c r="H307" i="37"/>
  <c r="L307" i="37" s="1"/>
  <c r="H358" i="37"/>
  <c r="L358" i="37" s="1"/>
  <c r="R358" i="37" s="1"/>
  <c r="C290" i="37"/>
  <c r="J290" i="37" s="1"/>
  <c r="J291" i="37"/>
  <c r="C292" i="37"/>
  <c r="J292" i="37" s="1"/>
  <c r="J293" i="37"/>
  <c r="J294" i="37"/>
  <c r="T343" i="37"/>
  <c r="C295" i="37"/>
  <c r="J295" i="37" s="1"/>
  <c r="T344" i="37" s="1"/>
  <c r="C296" i="37"/>
  <c r="J296" i="37" s="1"/>
  <c r="C297" i="37"/>
  <c r="J297" i="37" s="1"/>
  <c r="C298" i="37"/>
  <c r="C299" i="37"/>
  <c r="J299" i="37" s="1"/>
  <c r="C300" i="37"/>
  <c r="J300" i="37" s="1"/>
  <c r="C301" i="37"/>
  <c r="J301" i="37" s="1"/>
  <c r="C302" i="37"/>
  <c r="J302" i="37" s="1"/>
  <c r="C303" i="37"/>
  <c r="C304" i="37"/>
  <c r="C305" i="37"/>
  <c r="J305" i="37" s="1"/>
  <c r="C306" i="37"/>
  <c r="J306" i="37" s="1"/>
  <c r="C307" i="37"/>
  <c r="J307" i="37" s="1"/>
  <c r="C308" i="37"/>
  <c r="J308" i="37" s="1"/>
  <c r="T357" i="37" s="1"/>
  <c r="C309" i="37"/>
  <c r="E40" i="37"/>
  <c r="F40" i="37"/>
  <c r="G40" i="37"/>
  <c r="E41" i="37"/>
  <c r="F41" i="37"/>
  <c r="G41" i="37"/>
  <c r="E42" i="37"/>
  <c r="F42" i="37"/>
  <c r="G42" i="37"/>
  <c r="E43" i="37"/>
  <c r="F43" i="37"/>
  <c r="G43" i="37"/>
  <c r="E44" i="37"/>
  <c r="F44" i="37"/>
  <c r="G44" i="37"/>
  <c r="E45" i="37"/>
  <c r="F45" i="37"/>
  <c r="G45" i="37"/>
  <c r="E46" i="37"/>
  <c r="F46" i="37"/>
  <c r="G46" i="37"/>
  <c r="E47" i="37"/>
  <c r="F47" i="37"/>
  <c r="G47" i="37"/>
  <c r="E48" i="37"/>
  <c r="F48" i="37"/>
  <c r="G48" i="37"/>
  <c r="E49" i="37"/>
  <c r="F49" i="37"/>
  <c r="G49" i="37"/>
  <c r="E50" i="37"/>
  <c r="F50" i="37"/>
  <c r="G50" i="37"/>
  <c r="E51" i="37"/>
  <c r="F51" i="37"/>
  <c r="G51" i="37"/>
  <c r="E52" i="37"/>
  <c r="F52" i="37"/>
  <c r="G52" i="37"/>
  <c r="E53" i="37"/>
  <c r="F53" i="37"/>
  <c r="G53" i="37"/>
  <c r="E54" i="37"/>
  <c r="F54" i="37"/>
  <c r="G54" i="37"/>
  <c r="E55" i="37"/>
  <c r="F55" i="37"/>
  <c r="G55" i="37"/>
  <c r="E56" i="37"/>
  <c r="F56" i="37"/>
  <c r="G56" i="37"/>
  <c r="E57" i="37"/>
  <c r="F57" i="37"/>
  <c r="G57" i="37"/>
  <c r="I292" i="37"/>
  <c r="M292" i="37" s="1"/>
  <c r="I293" i="37"/>
  <c r="M293" i="37" s="1"/>
  <c r="I294" i="37"/>
  <c r="M294" i="37" s="1"/>
  <c r="I295" i="37"/>
  <c r="M295" i="37" s="1"/>
  <c r="I296" i="37"/>
  <c r="M296" i="37" s="1"/>
  <c r="I297" i="37"/>
  <c r="M297" i="37" s="1"/>
  <c r="I298" i="37"/>
  <c r="M298" i="37" s="1"/>
  <c r="I299" i="37"/>
  <c r="M299" i="37" s="1"/>
  <c r="I300" i="37"/>
  <c r="M300" i="37" s="1"/>
  <c r="I301" i="37"/>
  <c r="M301" i="37" s="1"/>
  <c r="I302" i="37"/>
  <c r="M302" i="37" s="1"/>
  <c r="I303" i="37"/>
  <c r="M303" i="37" s="1"/>
  <c r="I304" i="37"/>
  <c r="M304" i="37" s="1"/>
  <c r="I305" i="37"/>
  <c r="M305" i="37" s="1"/>
  <c r="I306" i="37"/>
  <c r="M306" i="37" s="1"/>
  <c r="I307" i="37"/>
  <c r="M307" i="37" s="1"/>
  <c r="I308" i="37"/>
  <c r="M308" i="37" s="1"/>
  <c r="I309" i="37"/>
  <c r="M309" i="37" s="1"/>
  <c r="G50" i="54"/>
  <c r="G49" i="54"/>
  <c r="G48" i="54"/>
  <c r="G47" i="54"/>
  <c r="G46" i="54"/>
  <c r="G45" i="54"/>
  <c r="G44" i="54"/>
  <c r="G43" i="54"/>
  <c r="G42" i="54"/>
  <c r="G41" i="54"/>
  <c r="G40" i="54"/>
  <c r="G39" i="54"/>
  <c r="G38" i="54"/>
  <c r="G37" i="54"/>
  <c r="G36" i="54"/>
  <c r="G35" i="54"/>
  <c r="G34" i="54"/>
  <c r="G33" i="54"/>
  <c r="A33" i="54"/>
  <c r="A34" i="54" s="1"/>
  <c r="A35" i="54" s="1"/>
  <c r="A36" i="54" s="1"/>
  <c r="A37" i="54" s="1"/>
  <c r="A38" i="54" s="1"/>
  <c r="A39" i="54" s="1"/>
  <c r="A40" i="54" s="1"/>
  <c r="A41" i="54" s="1"/>
  <c r="A42" i="54" s="1"/>
  <c r="A43" i="54" s="1"/>
  <c r="A44" i="54" s="1"/>
  <c r="A45" i="54" s="1"/>
  <c r="A46" i="54" s="1"/>
  <c r="A47" i="54" s="1"/>
  <c r="A48" i="54" s="1"/>
  <c r="G32" i="54"/>
  <c r="G29" i="54"/>
  <c r="G28" i="54"/>
  <c r="G27" i="54"/>
  <c r="G26" i="54"/>
  <c r="G25" i="54"/>
  <c r="G24" i="54"/>
  <c r="G23" i="54"/>
  <c r="G22" i="54"/>
  <c r="G21" i="54"/>
  <c r="G20" i="54"/>
  <c r="G19" i="54"/>
  <c r="G18" i="54"/>
  <c r="G15" i="54"/>
  <c r="G14" i="54"/>
  <c r="C10" i="54"/>
  <c r="G46" i="53"/>
  <c r="G45" i="53"/>
  <c r="G44" i="53"/>
  <c r="G43" i="53"/>
  <c r="G42" i="53"/>
  <c r="G41" i="53"/>
  <c r="G40" i="53"/>
  <c r="G39" i="53"/>
  <c r="G38" i="53"/>
  <c r="G37" i="53"/>
  <c r="E36" i="53"/>
  <c r="G36" i="53" s="1"/>
  <c r="E35" i="53"/>
  <c r="G35" i="53" s="1"/>
  <c r="E34" i="53"/>
  <c r="G34" i="53" s="1"/>
  <c r="E33" i="53"/>
  <c r="G33" i="53" s="1"/>
  <c r="A33" i="53"/>
  <c r="A34" i="53" s="1"/>
  <c r="A35" i="53" s="1"/>
  <c r="A36" i="53" s="1"/>
  <c r="A37" i="53" s="1"/>
  <c r="A38" i="53" s="1"/>
  <c r="G32" i="53"/>
  <c r="G29" i="53"/>
  <c r="G28" i="53"/>
  <c r="G27" i="53"/>
  <c r="G26" i="53"/>
  <c r="G25" i="53"/>
  <c r="G24" i="53"/>
  <c r="G23" i="53"/>
  <c r="G22" i="53"/>
  <c r="G21" i="53"/>
  <c r="G20" i="53"/>
  <c r="G19" i="53"/>
  <c r="G18" i="53"/>
  <c r="E15" i="53"/>
  <c r="G15" i="53" s="1"/>
  <c r="G14" i="53"/>
  <c r="C10" i="53"/>
  <c r="X270" i="37"/>
  <c r="E94" i="46"/>
  <c r="G94" i="46" s="1"/>
  <c r="H94" i="46" s="1"/>
  <c r="E93" i="46"/>
  <c r="P93" i="46" s="1"/>
  <c r="W97" i="46"/>
  <c r="P125" i="39"/>
  <c r="I322" i="37"/>
  <c r="M322" i="37" s="1"/>
  <c r="S322" i="37" s="1"/>
  <c r="I323" i="37"/>
  <c r="M323" i="37" s="1"/>
  <c r="S323" i="37" s="1"/>
  <c r="I324" i="37"/>
  <c r="M324" i="37" s="1"/>
  <c r="S324" i="37" s="1"/>
  <c r="I325" i="37"/>
  <c r="M325" i="37" s="1"/>
  <c r="S325" i="37" s="1"/>
  <c r="I326" i="37"/>
  <c r="M326" i="37" s="1"/>
  <c r="S326" i="37" s="1"/>
  <c r="I327" i="37"/>
  <c r="M327" i="37" s="1"/>
  <c r="S327" i="37" s="1"/>
  <c r="I328" i="37"/>
  <c r="M328" i="37" s="1"/>
  <c r="S328" i="37" s="1"/>
  <c r="I329" i="37"/>
  <c r="M329" i="37" s="1"/>
  <c r="S329" i="37" s="1"/>
  <c r="I330" i="37"/>
  <c r="M330" i="37" s="1"/>
  <c r="S330" i="37" s="1"/>
  <c r="I331" i="37"/>
  <c r="M331" i="37" s="1"/>
  <c r="S331" i="37" s="1"/>
  <c r="I332" i="37"/>
  <c r="M332" i="37" s="1"/>
  <c r="S332" i="37" s="1"/>
  <c r="I333" i="37"/>
  <c r="M333" i="37" s="1"/>
  <c r="S333" i="37" s="1"/>
  <c r="I334" i="37"/>
  <c r="M334" i="37" s="1"/>
  <c r="S334" i="37" s="1"/>
  <c r="I335" i="37"/>
  <c r="M335" i="37" s="1"/>
  <c r="S335" i="37" s="1"/>
  <c r="I336" i="37"/>
  <c r="M336" i="37" s="1"/>
  <c r="S336" i="37" s="1"/>
  <c r="I337" i="37"/>
  <c r="M337" i="37" s="1"/>
  <c r="S337" i="37" s="1"/>
  <c r="I338" i="37"/>
  <c r="M338" i="37" s="1"/>
  <c r="S338" i="37" s="1"/>
  <c r="I339" i="37"/>
  <c r="M339" i="37" s="1"/>
  <c r="S339" i="37" s="1"/>
  <c r="I340" i="37"/>
  <c r="M340" i="37" s="1"/>
  <c r="S340" i="37" s="1"/>
  <c r="I273" i="37"/>
  <c r="M273" i="37" s="1"/>
  <c r="I274" i="37"/>
  <c r="M274" i="37" s="1"/>
  <c r="I275" i="37"/>
  <c r="M275" i="37" s="1"/>
  <c r="I276" i="37"/>
  <c r="M276" i="37" s="1"/>
  <c r="I277" i="37"/>
  <c r="M277" i="37" s="1"/>
  <c r="I278" i="37"/>
  <c r="M278" i="37" s="1"/>
  <c r="I279" i="37"/>
  <c r="M279" i="37" s="1"/>
  <c r="I280" i="37"/>
  <c r="M280" i="37" s="1"/>
  <c r="I281" i="37"/>
  <c r="M281" i="37" s="1"/>
  <c r="I282" i="37"/>
  <c r="M282" i="37" s="1"/>
  <c r="I283" i="37"/>
  <c r="M283" i="37" s="1"/>
  <c r="I284" i="37"/>
  <c r="M284" i="37" s="1"/>
  <c r="I285" i="37"/>
  <c r="M285" i="37" s="1"/>
  <c r="I286" i="37"/>
  <c r="M286" i="37" s="1"/>
  <c r="I287" i="37"/>
  <c r="M287" i="37" s="1"/>
  <c r="I288" i="37"/>
  <c r="M288" i="37" s="1"/>
  <c r="I289" i="37"/>
  <c r="M289" i="37" s="1"/>
  <c r="I290" i="37"/>
  <c r="M290" i="37" s="1"/>
  <c r="I291" i="37"/>
  <c r="M291" i="37" s="1"/>
  <c r="J324" i="37"/>
  <c r="E73" i="37"/>
  <c r="T97" i="46"/>
  <c r="F98" i="37"/>
  <c r="E98" i="37"/>
  <c r="S98" i="37" s="1"/>
  <c r="F97" i="37"/>
  <c r="E97" i="37"/>
  <c r="M97" i="37" s="1"/>
  <c r="I97" i="37" s="1"/>
  <c r="J97" i="37" s="1"/>
  <c r="F96" i="37"/>
  <c r="E96" i="37"/>
  <c r="S96" i="37" s="1"/>
  <c r="F95" i="37"/>
  <c r="E95" i="37"/>
  <c r="F94" i="37"/>
  <c r="E94" i="37"/>
  <c r="G94" i="37" s="1"/>
  <c r="R94" i="37" s="1"/>
  <c r="F93" i="37"/>
  <c r="E93" i="37"/>
  <c r="F92" i="37"/>
  <c r="E92" i="37"/>
  <c r="F91" i="37"/>
  <c r="E91" i="37"/>
  <c r="F90" i="37"/>
  <c r="E90" i="37"/>
  <c r="F89" i="37"/>
  <c r="E89" i="37"/>
  <c r="F88" i="37"/>
  <c r="E88" i="37"/>
  <c r="F87" i="37"/>
  <c r="E87" i="37"/>
  <c r="F86" i="37"/>
  <c r="E86" i="37"/>
  <c r="F85" i="37"/>
  <c r="E85" i="37"/>
  <c r="F84" i="37"/>
  <c r="E84" i="37"/>
  <c r="AD51" i="39"/>
  <c r="AD56" i="39"/>
  <c r="B7" i="34"/>
  <c r="A10" i="52"/>
  <c r="G40" i="52"/>
  <c r="G39" i="52"/>
  <c r="G38" i="52"/>
  <c r="G22" i="52"/>
  <c r="G21" i="52"/>
  <c r="G20" i="52"/>
  <c r="G19" i="52"/>
  <c r="G18" i="52"/>
  <c r="G17" i="52"/>
  <c r="G14" i="52"/>
  <c r="G15" i="52" s="1"/>
  <c r="G29" i="52" s="1"/>
  <c r="G10" i="52"/>
  <c r="B7" i="52"/>
  <c r="G40" i="51"/>
  <c r="G39" i="51"/>
  <c r="G38" i="51"/>
  <c r="G22" i="51"/>
  <c r="G21" i="51"/>
  <c r="G20" i="51"/>
  <c r="G18" i="51"/>
  <c r="G19" i="51"/>
  <c r="G10" i="51"/>
  <c r="A10" i="51"/>
  <c r="C10" i="51"/>
  <c r="G17" i="51"/>
  <c r="G14" i="51"/>
  <c r="G15" i="51" s="1"/>
  <c r="G29" i="51" s="1"/>
  <c r="B7" i="51"/>
  <c r="G10" i="50"/>
  <c r="C10" i="50"/>
  <c r="A10" i="50"/>
  <c r="G31" i="50"/>
  <c r="G32" i="50" s="1"/>
  <c r="G37" i="50" s="1"/>
  <c r="G28" i="50"/>
  <c r="G27" i="50"/>
  <c r="G26" i="50"/>
  <c r="G25" i="50"/>
  <c r="G24" i="50"/>
  <c r="G23" i="50"/>
  <c r="G22" i="50"/>
  <c r="G21" i="50"/>
  <c r="G20" i="50"/>
  <c r="G19" i="50"/>
  <c r="G18" i="50"/>
  <c r="G17" i="50"/>
  <c r="G14" i="50"/>
  <c r="G15" i="50" s="1"/>
  <c r="G35" i="50" s="1"/>
  <c r="B7" i="50"/>
  <c r="B7" i="49"/>
  <c r="G18" i="49"/>
  <c r="G19" i="49"/>
  <c r="G20" i="49"/>
  <c r="G21" i="49"/>
  <c r="G22" i="49"/>
  <c r="G23" i="49"/>
  <c r="G24" i="49"/>
  <c r="G25" i="49"/>
  <c r="G26" i="49"/>
  <c r="G27" i="49"/>
  <c r="G28" i="49"/>
  <c r="G10" i="49"/>
  <c r="C10" i="49"/>
  <c r="A10" i="49"/>
  <c r="A10" i="48"/>
  <c r="A10" i="47"/>
  <c r="G31" i="49"/>
  <c r="G32" i="49" s="1"/>
  <c r="G37" i="49" s="1"/>
  <c r="G17" i="49"/>
  <c r="G14" i="49"/>
  <c r="G15" i="49" s="1"/>
  <c r="G35" i="49" s="1"/>
  <c r="G10" i="48"/>
  <c r="C10" i="48"/>
  <c r="G35" i="48"/>
  <c r="E15" i="48" s="1"/>
  <c r="G15" i="48" s="1"/>
  <c r="G34" i="48"/>
  <c r="E14" i="48" s="1"/>
  <c r="G14" i="48" s="1"/>
  <c r="G21" i="48"/>
  <c r="G22" i="48" s="1"/>
  <c r="G27" i="48" s="1"/>
  <c r="G18" i="48"/>
  <c r="G19" i="48" s="1"/>
  <c r="G26" i="48" s="1"/>
  <c r="B7" i="48"/>
  <c r="C10" i="47"/>
  <c r="G44" i="47"/>
  <c r="G15" i="47"/>
  <c r="G43" i="47"/>
  <c r="G14" i="47" s="1"/>
  <c r="G29" i="47"/>
  <c r="G26" i="47"/>
  <c r="G27" i="47" s="1"/>
  <c r="G35" i="47" s="1"/>
  <c r="J136" i="16"/>
  <c r="J135" i="16"/>
  <c r="I134" i="16"/>
  <c r="J134" i="16" s="1"/>
  <c r="I122" i="16"/>
  <c r="J122" i="16" s="1"/>
  <c r="I97" i="16"/>
  <c r="J97" i="16" s="1"/>
  <c r="I98" i="16"/>
  <c r="J98" i="16" s="1"/>
  <c r="J99" i="16"/>
  <c r="I102" i="16"/>
  <c r="J102" i="16" s="1"/>
  <c r="I103" i="16"/>
  <c r="J103" i="16" s="1"/>
  <c r="I96" i="16"/>
  <c r="J96" i="16" s="1"/>
  <c r="J120" i="16"/>
  <c r="J121" i="16"/>
  <c r="J123" i="16"/>
  <c r="J124" i="16"/>
  <c r="J125" i="16"/>
  <c r="J126" i="16"/>
  <c r="S87" i="46"/>
  <c r="J323" i="37"/>
  <c r="J325" i="37"/>
  <c r="J326" i="37"/>
  <c r="J327" i="37"/>
  <c r="J328" i="37"/>
  <c r="J329" i="37"/>
  <c r="J330" i="37"/>
  <c r="J331" i="37"/>
  <c r="J332" i="37"/>
  <c r="J333" i="37"/>
  <c r="J334" i="37"/>
  <c r="J335" i="37"/>
  <c r="J336" i="37"/>
  <c r="J337" i="37"/>
  <c r="J338" i="37"/>
  <c r="J339" i="37"/>
  <c r="J340" i="37"/>
  <c r="J321" i="37"/>
  <c r="I321" i="37"/>
  <c r="M321" i="37" s="1"/>
  <c r="S321" i="37" s="1"/>
  <c r="I272" i="37"/>
  <c r="M272" i="37" s="1"/>
  <c r="H321" i="37"/>
  <c r="L321" i="37" s="1"/>
  <c r="R321" i="37" s="1"/>
  <c r="F238" i="37"/>
  <c r="F239" i="37"/>
  <c r="F240" i="37"/>
  <c r="F241" i="37"/>
  <c r="F242" i="37"/>
  <c r="F243" i="37"/>
  <c r="F244" i="37"/>
  <c r="F245" i="37"/>
  <c r="F246" i="37"/>
  <c r="F247" i="37"/>
  <c r="F248" i="37"/>
  <c r="F249" i="37"/>
  <c r="F250" i="37"/>
  <c r="F251" i="37"/>
  <c r="F252" i="37"/>
  <c r="F253" i="37"/>
  <c r="F254" i="37"/>
  <c r="F266" i="37"/>
  <c r="F267" i="37"/>
  <c r="F237" i="37"/>
  <c r="J132" i="16"/>
  <c r="J147" i="16"/>
  <c r="J146" i="16"/>
  <c r="J145" i="16"/>
  <c r="J144" i="16"/>
  <c r="C6" i="35"/>
  <c r="A7" i="35"/>
  <c r="H10" i="35"/>
  <c r="H11" i="35"/>
  <c r="H15" i="35"/>
  <c r="H16" i="35"/>
  <c r="H17" i="35"/>
  <c r="H21" i="35"/>
  <c r="H22" i="35"/>
  <c r="H23" i="35"/>
  <c r="H24" i="35"/>
  <c r="A9" i="24"/>
  <c r="G12" i="24"/>
  <c r="I12" i="24"/>
  <c r="G13" i="24"/>
  <c r="I13" i="24"/>
  <c r="G14" i="24"/>
  <c r="I14" i="24"/>
  <c r="G15" i="24"/>
  <c r="I15" i="24"/>
  <c r="G18" i="24"/>
  <c r="I18" i="24"/>
  <c r="G19" i="24"/>
  <c r="I19" i="24"/>
  <c r="G20" i="24"/>
  <c r="I20" i="24"/>
  <c r="G21" i="24"/>
  <c r="I21" i="24"/>
  <c r="G22" i="24"/>
  <c r="I22" i="24"/>
  <c r="G23" i="24"/>
  <c r="I23" i="24"/>
  <c r="G24" i="24"/>
  <c r="I24" i="24"/>
  <c r="G25" i="24"/>
  <c r="I25" i="24"/>
  <c r="G26" i="24"/>
  <c r="I26" i="24"/>
  <c r="G27" i="24"/>
  <c r="I27" i="24"/>
  <c r="G28" i="24"/>
  <c r="I28" i="24"/>
  <c r="G29" i="24"/>
  <c r="I29" i="24"/>
  <c r="G30" i="24"/>
  <c r="I30" i="24"/>
  <c r="G33" i="24"/>
  <c r="I33" i="24"/>
  <c r="G34" i="24"/>
  <c r="I34" i="24"/>
  <c r="G35" i="24"/>
  <c r="I35" i="24"/>
  <c r="G36" i="24"/>
  <c r="I36" i="24"/>
  <c r="G37" i="24"/>
  <c r="I37" i="24"/>
  <c r="H14" i="34"/>
  <c r="H18" i="34"/>
  <c r="H27" i="34"/>
  <c r="H21" i="34" s="1"/>
  <c r="H23" i="34" s="1"/>
  <c r="C44" i="34" s="1"/>
  <c r="H32" i="34"/>
  <c r="C36" i="34"/>
  <c r="C37" i="34"/>
  <c r="C38" i="34"/>
  <c r="C40" i="34"/>
  <c r="C41" i="34" s="1"/>
  <c r="C42" i="34"/>
  <c r="C43" i="34" s="1"/>
  <c r="H39" i="34" s="1"/>
  <c r="B7" i="33"/>
  <c r="C25" i="33"/>
  <c r="D25" i="33"/>
  <c r="E25" i="33"/>
  <c r="F25" i="33"/>
  <c r="C37" i="33"/>
  <c r="D37" i="33"/>
  <c r="E37" i="33"/>
  <c r="F37" i="33"/>
  <c r="C44" i="33"/>
  <c r="D44" i="33"/>
  <c r="E44" i="33"/>
  <c r="F44" i="33"/>
  <c r="C48" i="33"/>
  <c r="D48" i="33"/>
  <c r="E48" i="33"/>
  <c r="F48" i="33"/>
  <c r="B7" i="43"/>
  <c r="E14" i="43"/>
  <c r="G14" i="43" s="1"/>
  <c r="I14" i="43"/>
  <c r="E15" i="43"/>
  <c r="G15" i="43" s="1"/>
  <c r="I15" i="43"/>
  <c r="G18" i="43"/>
  <c r="I18" i="43"/>
  <c r="J18" i="43"/>
  <c r="G19" i="43"/>
  <c r="I19" i="43"/>
  <c r="G20" i="43"/>
  <c r="I20" i="43"/>
  <c r="J20" i="43"/>
  <c r="G21" i="43"/>
  <c r="I21" i="43"/>
  <c r="G22" i="43"/>
  <c r="I22" i="43"/>
  <c r="J22" i="43"/>
  <c r="G23" i="43"/>
  <c r="I23" i="43"/>
  <c r="G24" i="43"/>
  <c r="I24" i="43"/>
  <c r="J24" i="43"/>
  <c r="G25" i="43"/>
  <c r="I25" i="43"/>
  <c r="G26" i="43"/>
  <c r="I26" i="43"/>
  <c r="J26" i="43"/>
  <c r="G27" i="43"/>
  <c r="I27" i="43"/>
  <c r="G28" i="43"/>
  <c r="I28" i="43"/>
  <c r="J28" i="43"/>
  <c r="G29" i="43"/>
  <c r="I29" i="43"/>
  <c r="G32" i="43"/>
  <c r="G33" i="43" s="1"/>
  <c r="G42" i="43" s="1"/>
  <c r="I32" i="43"/>
  <c r="G35" i="43"/>
  <c r="G36" i="43"/>
  <c r="C11" i="39"/>
  <c r="C10" i="37"/>
  <c r="C9" i="46" s="1"/>
  <c r="F20" i="37"/>
  <c r="G20" i="37"/>
  <c r="F21" i="37"/>
  <c r="G21" i="37"/>
  <c r="E22" i="37"/>
  <c r="F22" i="37"/>
  <c r="G22" i="37"/>
  <c r="E23" i="37"/>
  <c r="F23" i="37"/>
  <c r="G23" i="37"/>
  <c r="E24" i="37"/>
  <c r="F24" i="37"/>
  <c r="G24" i="37"/>
  <c r="E25" i="37"/>
  <c r="F25" i="37"/>
  <c r="G25" i="37"/>
  <c r="E26" i="37"/>
  <c r="F26" i="37"/>
  <c r="G26" i="37"/>
  <c r="E27" i="37"/>
  <c r="F27" i="37"/>
  <c r="G27" i="37"/>
  <c r="E28" i="37"/>
  <c r="F28" i="37"/>
  <c r="G28" i="37"/>
  <c r="E29" i="37"/>
  <c r="F29" i="37"/>
  <c r="G29" i="37"/>
  <c r="E30" i="37"/>
  <c r="F30" i="37"/>
  <c r="G30" i="37"/>
  <c r="E31" i="37"/>
  <c r="F31" i="37"/>
  <c r="G31" i="37"/>
  <c r="E32" i="37"/>
  <c r="F32" i="37"/>
  <c r="G32" i="37"/>
  <c r="E33" i="37"/>
  <c r="F33" i="37"/>
  <c r="G33" i="37"/>
  <c r="E34" i="37"/>
  <c r="F34" i="37"/>
  <c r="G34" i="37"/>
  <c r="E35" i="37"/>
  <c r="F35" i="37"/>
  <c r="G35" i="37"/>
  <c r="E36" i="37"/>
  <c r="F36" i="37"/>
  <c r="G36" i="37"/>
  <c r="E37" i="37"/>
  <c r="F37" i="37"/>
  <c r="G37" i="37"/>
  <c r="E38" i="37"/>
  <c r="F38" i="37"/>
  <c r="G38" i="37"/>
  <c r="E39" i="37"/>
  <c r="F39" i="37"/>
  <c r="G39" i="37"/>
  <c r="R58" i="37"/>
  <c r="E66" i="37"/>
  <c r="G66" i="37" s="1"/>
  <c r="R66" i="37" s="1"/>
  <c r="F66" i="37"/>
  <c r="F67" i="37"/>
  <c r="E68" i="37"/>
  <c r="F68" i="37"/>
  <c r="E69" i="37"/>
  <c r="F69" i="37"/>
  <c r="E70" i="37"/>
  <c r="F70" i="37"/>
  <c r="E71" i="37"/>
  <c r="F71" i="37"/>
  <c r="E72" i="37"/>
  <c r="F72" i="37"/>
  <c r="F73" i="37"/>
  <c r="E74" i="37"/>
  <c r="M74" i="37" s="1"/>
  <c r="I74" i="37" s="1"/>
  <c r="J74" i="37" s="1"/>
  <c r="F74" i="37"/>
  <c r="E75" i="37"/>
  <c r="M75" i="37" s="1"/>
  <c r="I75" i="37" s="1"/>
  <c r="J75" i="37" s="1"/>
  <c r="F75" i="37"/>
  <c r="E76" i="37"/>
  <c r="M76" i="37" s="1"/>
  <c r="I76" i="37" s="1"/>
  <c r="J76" i="37" s="1"/>
  <c r="F76" i="37"/>
  <c r="E77" i="37"/>
  <c r="F77" i="37"/>
  <c r="E78" i="37"/>
  <c r="G78" i="37" s="1"/>
  <c r="R78" i="37" s="1"/>
  <c r="F78" i="37"/>
  <c r="E79" i="37"/>
  <c r="S79" i="37" s="1"/>
  <c r="F79" i="37"/>
  <c r="E80" i="37"/>
  <c r="G80" i="37" s="1"/>
  <c r="R80" i="37" s="1"/>
  <c r="F80" i="37"/>
  <c r="E81" i="37"/>
  <c r="F81" i="37"/>
  <c r="E82" i="37"/>
  <c r="F82" i="37"/>
  <c r="E83" i="37"/>
  <c r="F83" i="37"/>
  <c r="E99" i="37"/>
  <c r="F99" i="37"/>
  <c r="E100" i="37"/>
  <c r="S100" i="37" s="1"/>
  <c r="F100" i="37"/>
  <c r="E109" i="37"/>
  <c r="F109" i="37"/>
  <c r="F110" i="37"/>
  <c r="E111" i="37"/>
  <c r="F111" i="37"/>
  <c r="E112" i="37"/>
  <c r="F112" i="37"/>
  <c r="E113" i="37"/>
  <c r="F113" i="37"/>
  <c r="E114" i="37"/>
  <c r="F114" i="37"/>
  <c r="E115" i="37"/>
  <c r="F115" i="37"/>
  <c r="E116" i="37"/>
  <c r="M116" i="37" s="1"/>
  <c r="I116" i="37" s="1"/>
  <c r="J116" i="37" s="1"/>
  <c r="F116" i="37"/>
  <c r="E117" i="37"/>
  <c r="S117" i="37" s="1"/>
  <c r="F117" i="37"/>
  <c r="E118" i="37"/>
  <c r="F118" i="37"/>
  <c r="E119" i="37"/>
  <c r="M119" i="37" s="1"/>
  <c r="I119" i="37" s="1"/>
  <c r="J119" i="37" s="1"/>
  <c r="F119" i="37"/>
  <c r="E120" i="37"/>
  <c r="S120" i="37" s="1"/>
  <c r="F120" i="37"/>
  <c r="E121" i="37"/>
  <c r="S121" i="37" s="1"/>
  <c r="F121" i="37"/>
  <c r="E122" i="37"/>
  <c r="F122" i="37"/>
  <c r="E123" i="37"/>
  <c r="M123" i="37" s="1"/>
  <c r="I123" i="37" s="1"/>
  <c r="J123" i="37" s="1"/>
  <c r="F123" i="37"/>
  <c r="E124" i="37"/>
  <c r="F124" i="37"/>
  <c r="E125" i="37"/>
  <c r="F125" i="37"/>
  <c r="E126" i="37"/>
  <c r="F126" i="37"/>
  <c r="E127" i="37"/>
  <c r="F127" i="37"/>
  <c r="E144" i="37"/>
  <c r="G144" i="37" s="1"/>
  <c r="R144" i="37" s="1"/>
  <c r="F144" i="37"/>
  <c r="E153" i="37"/>
  <c r="F153" i="37"/>
  <c r="E154" i="37"/>
  <c r="F154" i="37"/>
  <c r="E155" i="37"/>
  <c r="F155" i="37"/>
  <c r="E156" i="37"/>
  <c r="F156" i="37"/>
  <c r="E157" i="37"/>
  <c r="F157" i="37"/>
  <c r="E158" i="37"/>
  <c r="F158" i="37"/>
  <c r="E159" i="37"/>
  <c r="F159" i="37"/>
  <c r="E160" i="37"/>
  <c r="F160" i="37"/>
  <c r="E161" i="37"/>
  <c r="M161" i="37" s="1"/>
  <c r="I161" i="37" s="1"/>
  <c r="J161" i="37" s="1"/>
  <c r="F161" i="37"/>
  <c r="E162" i="37"/>
  <c r="M162" i="37" s="1"/>
  <c r="I162" i="37" s="1"/>
  <c r="J162" i="37" s="1"/>
  <c r="F162" i="37"/>
  <c r="E163" i="37"/>
  <c r="M163" i="37" s="1"/>
  <c r="I163" i="37" s="1"/>
  <c r="J163" i="37" s="1"/>
  <c r="F163" i="37"/>
  <c r="E164" i="37"/>
  <c r="M164" i="37" s="1"/>
  <c r="I164" i="37" s="1"/>
  <c r="J164" i="37" s="1"/>
  <c r="F164" i="37"/>
  <c r="E165" i="37"/>
  <c r="G165" i="37" s="1"/>
  <c r="R165" i="37" s="1"/>
  <c r="F165" i="37"/>
  <c r="E166" i="37"/>
  <c r="M166" i="37" s="1"/>
  <c r="I166" i="37" s="1"/>
  <c r="J166" i="37" s="1"/>
  <c r="F166" i="37"/>
  <c r="E167" i="37"/>
  <c r="M167" i="37" s="1"/>
  <c r="I167" i="37" s="1"/>
  <c r="J167" i="37" s="1"/>
  <c r="F167" i="37"/>
  <c r="E168" i="37"/>
  <c r="F168" i="37"/>
  <c r="E169" i="37"/>
  <c r="G169" i="37" s="1"/>
  <c r="R169" i="37" s="1"/>
  <c r="F169" i="37"/>
  <c r="E170" i="37"/>
  <c r="F170" i="37"/>
  <c r="E186" i="37"/>
  <c r="F186" i="37"/>
  <c r="E187" i="37"/>
  <c r="M187" i="37" s="1"/>
  <c r="I187" i="37" s="1"/>
  <c r="J187" i="37" s="1"/>
  <c r="F187" i="37"/>
  <c r="E196" i="37"/>
  <c r="G196" i="37" s="1"/>
  <c r="R196" i="37" s="1"/>
  <c r="F196" i="37"/>
  <c r="E197" i="37"/>
  <c r="G197" i="37" s="1"/>
  <c r="F197" i="37"/>
  <c r="E198" i="37"/>
  <c r="S198" i="37" s="1"/>
  <c r="F198" i="37"/>
  <c r="E199" i="37"/>
  <c r="M199" i="37" s="1"/>
  <c r="I199" i="37" s="1"/>
  <c r="J199" i="37" s="1"/>
  <c r="F199" i="37"/>
  <c r="E200" i="37"/>
  <c r="G200" i="37" s="1"/>
  <c r="F200" i="37"/>
  <c r="E201" i="37"/>
  <c r="F201" i="37"/>
  <c r="E202" i="37"/>
  <c r="G202" i="37" s="1"/>
  <c r="F202" i="37"/>
  <c r="E203" i="37"/>
  <c r="G203" i="37" s="1"/>
  <c r="R203" i="37" s="1"/>
  <c r="F203" i="37"/>
  <c r="E204" i="37"/>
  <c r="S204" i="37" s="1"/>
  <c r="F204" i="37"/>
  <c r="E205" i="37"/>
  <c r="F205" i="37"/>
  <c r="E206" i="37"/>
  <c r="M206" i="37" s="1"/>
  <c r="I206" i="37" s="1"/>
  <c r="J206" i="37" s="1"/>
  <c r="F206" i="37"/>
  <c r="E207" i="37"/>
  <c r="S207" i="37" s="1"/>
  <c r="F207" i="37"/>
  <c r="E208" i="37"/>
  <c r="G208" i="37" s="1"/>
  <c r="R208" i="37" s="1"/>
  <c r="F208" i="37"/>
  <c r="E209" i="37"/>
  <c r="M209" i="37" s="1"/>
  <c r="I209" i="37" s="1"/>
  <c r="J209" i="37" s="1"/>
  <c r="F209" i="37"/>
  <c r="E210" i="37"/>
  <c r="M210" i="37" s="1"/>
  <c r="I210" i="37" s="1"/>
  <c r="J210" i="37" s="1"/>
  <c r="F210" i="37"/>
  <c r="E211" i="37"/>
  <c r="G211" i="37" s="1"/>
  <c r="R211" i="37" s="1"/>
  <c r="F211" i="37"/>
  <c r="E212" i="37"/>
  <c r="F212" i="37"/>
  <c r="E213" i="37"/>
  <c r="S213" i="37" s="1"/>
  <c r="F213" i="37"/>
  <c r="E227" i="37"/>
  <c r="G227" i="37" s="1"/>
  <c r="R227" i="37" s="1"/>
  <c r="F227" i="37"/>
  <c r="E228" i="37"/>
  <c r="G228" i="37" s="1"/>
  <c r="R228" i="37" s="1"/>
  <c r="F228" i="37"/>
  <c r="E237" i="37"/>
  <c r="M237" i="37" s="1"/>
  <c r="E238" i="37"/>
  <c r="G238" i="37" s="1"/>
  <c r="R238" i="37" s="1"/>
  <c r="E239" i="37"/>
  <c r="G239" i="37" s="1"/>
  <c r="R239" i="37" s="1"/>
  <c r="E240" i="37"/>
  <c r="M240" i="37" s="1"/>
  <c r="I240" i="37" s="1"/>
  <c r="J240" i="37" s="1"/>
  <c r="E241" i="37"/>
  <c r="M241" i="37" s="1"/>
  <c r="I241" i="37" s="1"/>
  <c r="J241" i="37" s="1"/>
  <c r="E242" i="37"/>
  <c r="M242" i="37" s="1"/>
  <c r="I242" i="37" s="1"/>
  <c r="J242" i="37" s="1"/>
  <c r="E243" i="37"/>
  <c r="S243" i="37" s="1"/>
  <c r="E244" i="37"/>
  <c r="G244" i="37" s="1"/>
  <c r="R244" i="37" s="1"/>
  <c r="E245" i="37"/>
  <c r="M245" i="37" s="1"/>
  <c r="I245" i="37" s="1"/>
  <c r="J245" i="37" s="1"/>
  <c r="E246" i="37"/>
  <c r="M246" i="37" s="1"/>
  <c r="I246" i="37" s="1"/>
  <c r="J246" i="37" s="1"/>
  <c r="E247" i="37"/>
  <c r="E248" i="37"/>
  <c r="E249" i="37"/>
  <c r="M249" i="37" s="1"/>
  <c r="I249" i="37" s="1"/>
  <c r="J249" i="37" s="1"/>
  <c r="E250" i="37"/>
  <c r="S250" i="37" s="1"/>
  <c r="E251" i="37"/>
  <c r="S251" i="37" s="1"/>
  <c r="E252" i="37"/>
  <c r="S252" i="37" s="1"/>
  <c r="E253" i="37"/>
  <c r="S253" i="37" s="1"/>
  <c r="E254" i="37"/>
  <c r="M254" i="37" s="1"/>
  <c r="I254" i="37" s="1"/>
  <c r="J254" i="37" s="1"/>
  <c r="E266" i="37"/>
  <c r="S266" i="37" s="1"/>
  <c r="E267" i="37"/>
  <c r="G267" i="37" s="1"/>
  <c r="R267" i="37" s="1"/>
  <c r="U270" i="37"/>
  <c r="C274" i="37"/>
  <c r="C275" i="37"/>
  <c r="C276" i="37"/>
  <c r="J276" i="37" s="1"/>
  <c r="C277" i="37"/>
  <c r="J277" i="37" s="1"/>
  <c r="C279" i="37"/>
  <c r="J279" i="37" s="1"/>
  <c r="C280" i="37"/>
  <c r="J280" i="37" s="1"/>
  <c r="C281" i="37"/>
  <c r="J281" i="37" s="1"/>
  <c r="C282" i="37"/>
  <c r="J282" i="37" s="1"/>
  <c r="C283" i="37"/>
  <c r="J283" i="37" s="1"/>
  <c r="C284" i="37"/>
  <c r="C285" i="37"/>
  <c r="C286" i="37"/>
  <c r="J286" i="37" s="1"/>
  <c r="C287" i="37"/>
  <c r="C288" i="37"/>
  <c r="J288" i="37" s="1"/>
  <c r="C289" i="37"/>
  <c r="J289" i="37" s="1"/>
  <c r="U319" i="37"/>
  <c r="X319" i="37"/>
  <c r="J18" i="16"/>
  <c r="K18" i="16" s="1"/>
  <c r="J19" i="16"/>
  <c r="K19" i="16" s="1"/>
  <c r="J20" i="16"/>
  <c r="J27" i="16"/>
  <c r="J29" i="16"/>
  <c r="J32" i="16"/>
  <c r="J35" i="16"/>
  <c r="J36" i="16"/>
  <c r="J37" i="16"/>
  <c r="J38" i="16"/>
  <c r="J41" i="16"/>
  <c r="J42" i="16"/>
  <c r="J43" i="16"/>
  <c r="J44" i="16"/>
  <c r="I101" i="16"/>
  <c r="J101" i="16" s="1"/>
  <c r="J49" i="16"/>
  <c r="J50" i="16"/>
  <c r="J51" i="16"/>
  <c r="J52" i="16"/>
  <c r="I53" i="16"/>
  <c r="I54" i="16"/>
  <c r="J55" i="16"/>
  <c r="J56" i="16"/>
  <c r="I60" i="16"/>
  <c r="J60" i="16" s="1"/>
  <c r="I61" i="16"/>
  <c r="J61" i="16" s="1"/>
  <c r="J62" i="16"/>
  <c r="J63" i="16"/>
  <c r="I64" i="16"/>
  <c r="J64" i="16" s="1"/>
  <c r="I65" i="16"/>
  <c r="J65" i="16" s="1"/>
  <c r="I66" i="16"/>
  <c r="J66" i="16" s="1"/>
  <c r="J67" i="16"/>
  <c r="I71" i="16"/>
  <c r="J71" i="16" s="1"/>
  <c r="I72" i="16"/>
  <c r="J72" i="16" s="1"/>
  <c r="J73" i="16"/>
  <c r="J74" i="16"/>
  <c r="J77" i="16"/>
  <c r="J78" i="16"/>
  <c r="I82" i="16"/>
  <c r="J82" i="16" s="1"/>
  <c r="I83" i="16"/>
  <c r="J83" i="16" s="1"/>
  <c r="J84" i="16"/>
  <c r="J85" i="16"/>
  <c r="I86" i="16"/>
  <c r="J86" i="16" s="1"/>
  <c r="I87" i="16"/>
  <c r="J87" i="16" s="1"/>
  <c r="I88" i="16"/>
  <c r="J88" i="16" s="1"/>
  <c r="J89" i="16"/>
  <c r="I92" i="16"/>
  <c r="J92" i="16" s="1"/>
  <c r="I93" i="16"/>
  <c r="J93" i="16" s="1"/>
  <c r="J94" i="16"/>
  <c r="J95" i="16"/>
  <c r="J104" i="16"/>
  <c r="J106" i="16"/>
  <c r="J108" i="16"/>
  <c r="J110" i="16"/>
  <c r="J116" i="16"/>
  <c r="J119" i="16"/>
  <c r="J130" i="16"/>
  <c r="J131" i="16"/>
  <c r="J141" i="16"/>
  <c r="J142" i="16"/>
  <c r="J143" i="16"/>
  <c r="J151" i="16"/>
  <c r="K151" i="16" s="1"/>
  <c r="J152" i="16"/>
  <c r="K152" i="16" s="1"/>
  <c r="J154" i="16"/>
  <c r="K154" i="16" s="1"/>
  <c r="J155" i="16"/>
  <c r="K155" i="16" s="1"/>
  <c r="J158" i="16"/>
  <c r="P76" i="46"/>
  <c r="Q76" i="46" s="1"/>
  <c r="AB59" i="39"/>
  <c r="AC59" i="39" s="1"/>
  <c r="AB125" i="39"/>
  <c r="AC125" i="39" s="1"/>
  <c r="AB58" i="39"/>
  <c r="AC58" i="39" s="1"/>
  <c r="J70" i="16"/>
  <c r="AD50" i="39"/>
  <c r="AD54" i="39"/>
  <c r="AD52" i="39"/>
  <c r="T321" i="37"/>
  <c r="T326" i="37"/>
  <c r="AD55" i="39"/>
  <c r="AD53" i="39"/>
  <c r="J50" i="39"/>
  <c r="K116" i="37" l="1"/>
  <c r="L116" i="37" s="1"/>
  <c r="G59" i="46"/>
  <c r="H59" i="46" s="1"/>
  <c r="H504" i="57"/>
  <c r="H115" i="57"/>
  <c r="L108" i="57" s="1"/>
  <c r="E9" i="56" s="1"/>
  <c r="I59" i="46"/>
  <c r="U59" i="46"/>
  <c r="N91" i="46"/>
  <c r="R40" i="39"/>
  <c r="S40" i="39" s="1"/>
  <c r="R47" i="39"/>
  <c r="N126" i="39"/>
  <c r="F755" i="64" s="1"/>
  <c r="K755" i="64" s="1"/>
  <c r="M126" i="39"/>
  <c r="R43" i="39"/>
  <c r="S43" i="39" s="1"/>
  <c r="R46" i="39"/>
  <c r="R22" i="39"/>
  <c r="S22" i="39" s="1"/>
  <c r="J20" i="39"/>
  <c r="J126" i="39" s="1"/>
  <c r="I126" i="39"/>
  <c r="I70" i="39"/>
  <c r="J70" i="39" s="1"/>
  <c r="I63" i="39"/>
  <c r="J63" i="39" s="1"/>
  <c r="I53" i="39"/>
  <c r="J53" i="39" s="1"/>
  <c r="K53" i="39" s="1"/>
  <c r="I73" i="39"/>
  <c r="J73" i="39" s="1"/>
  <c r="I71" i="39"/>
  <c r="J71" i="39" s="1"/>
  <c r="I60" i="39"/>
  <c r="R60" i="39" s="1"/>
  <c r="I68" i="39"/>
  <c r="J68" i="39" s="1"/>
  <c r="I64" i="39"/>
  <c r="J64" i="39" s="1"/>
  <c r="I62" i="39"/>
  <c r="R62" i="39" s="1"/>
  <c r="H41" i="37"/>
  <c r="H45" i="37"/>
  <c r="C39" i="34"/>
  <c r="H37" i="34" s="1"/>
  <c r="H39" i="37"/>
  <c r="S73" i="37"/>
  <c r="R61" i="39"/>
  <c r="P59" i="46"/>
  <c r="H46" i="37"/>
  <c r="H27" i="37"/>
  <c r="H12" i="35"/>
  <c r="P74" i="46"/>
  <c r="Q74" i="46" s="1"/>
  <c r="M90" i="46"/>
  <c r="H26" i="37"/>
  <c r="N90" i="46"/>
  <c r="H42" i="37"/>
  <c r="M92" i="46"/>
  <c r="L88" i="46"/>
  <c r="H38" i="37"/>
  <c r="H24" i="37"/>
  <c r="M88" i="46"/>
  <c r="L86" i="46"/>
  <c r="N86" i="46"/>
  <c r="L91" i="46"/>
  <c r="N89" i="46"/>
  <c r="G20" i="56"/>
  <c r="H79" i="57"/>
  <c r="H267" i="57"/>
  <c r="L217" i="57" s="1"/>
  <c r="H541" i="57"/>
  <c r="L516" i="57" s="1"/>
  <c r="E40" i="56" s="1"/>
  <c r="G19" i="56"/>
  <c r="H19" i="56" s="1"/>
  <c r="H465" i="57"/>
  <c r="L456" i="57" s="1"/>
  <c r="E36" i="56" s="1"/>
  <c r="N35" i="56" s="1"/>
  <c r="G31" i="24"/>
  <c r="G42" i="24" s="1"/>
  <c r="G16" i="24"/>
  <c r="G41" i="24" s="1"/>
  <c r="V86" i="46"/>
  <c r="K74" i="46"/>
  <c r="L74" i="46" s="1"/>
  <c r="M89" i="46"/>
  <c r="Y86" i="46"/>
  <c r="Y90" i="46"/>
  <c r="Y87" i="46"/>
  <c r="L92" i="46"/>
  <c r="I69" i="46"/>
  <c r="V90" i="46"/>
  <c r="P68" i="46"/>
  <c r="K63" i="46"/>
  <c r="L63" i="46" s="1"/>
  <c r="K69" i="46"/>
  <c r="N69" i="46" s="1"/>
  <c r="U70" i="46"/>
  <c r="X70" i="46" s="1"/>
  <c r="I64" i="46"/>
  <c r="U73" i="46"/>
  <c r="Y73" i="46" s="1"/>
  <c r="I72" i="46"/>
  <c r="K73" i="46"/>
  <c r="M73" i="46" s="1"/>
  <c r="G73" i="46"/>
  <c r="H73" i="46" s="1"/>
  <c r="G64" i="46"/>
  <c r="H64" i="46" s="1"/>
  <c r="P73" i="46"/>
  <c r="Q73" i="46" s="1"/>
  <c r="G69" i="46"/>
  <c r="U64" i="46"/>
  <c r="K64" i="46"/>
  <c r="N64" i="46" s="1"/>
  <c r="P63" i="46"/>
  <c r="Q63" i="46" s="1"/>
  <c r="P69" i="46"/>
  <c r="Q69" i="46" s="1"/>
  <c r="P70" i="46"/>
  <c r="Q70" i="46" s="1"/>
  <c r="U63" i="46"/>
  <c r="Y63" i="46" s="1"/>
  <c r="D52" i="33"/>
  <c r="G68" i="46"/>
  <c r="H68" i="46" s="1"/>
  <c r="X91" i="46"/>
  <c r="N87" i="46"/>
  <c r="G16" i="54"/>
  <c r="G54" i="54" s="1"/>
  <c r="G30" i="56"/>
  <c r="H88" i="57"/>
  <c r="H187" i="57"/>
  <c r="H301" i="57"/>
  <c r="L276" i="57" s="1"/>
  <c r="E20" i="56" s="1"/>
  <c r="V91" i="46"/>
  <c r="G37" i="43"/>
  <c r="G43" i="43" s="1"/>
  <c r="E52" i="33"/>
  <c r="G23" i="52"/>
  <c r="G30" i="52" s="1"/>
  <c r="G41" i="52"/>
  <c r="G30" i="53"/>
  <c r="G51" i="53" s="1"/>
  <c r="U68" i="46"/>
  <c r="X68" i="46" s="1"/>
  <c r="P58" i="46"/>
  <c r="Q58" i="46" s="1"/>
  <c r="K68" i="46"/>
  <c r="N68" i="46" s="1"/>
  <c r="G29" i="49"/>
  <c r="G36" i="49" s="1"/>
  <c r="H409" i="57"/>
  <c r="L400" i="57" s="1"/>
  <c r="E32" i="56" s="1"/>
  <c r="F52" i="33"/>
  <c r="I58" i="46"/>
  <c r="L87" i="46"/>
  <c r="G41" i="51"/>
  <c r="G25" i="51" s="1"/>
  <c r="G26" i="51" s="1"/>
  <c r="G31" i="51" s="1"/>
  <c r="H181" i="57"/>
  <c r="H188" i="57" s="1"/>
  <c r="L173" i="57" s="1"/>
  <c r="E15" i="56" s="1"/>
  <c r="H15" i="56" s="1"/>
  <c r="F38" i="56"/>
  <c r="G38" i="56" s="1"/>
  <c r="G34" i="56"/>
  <c r="G29" i="50"/>
  <c r="G36" i="50" s="1"/>
  <c r="G38" i="50" s="1"/>
  <c r="G30" i="54"/>
  <c r="G55" i="54" s="1"/>
  <c r="G51" i="54"/>
  <c r="G56" i="54" s="1"/>
  <c r="AB48" i="39"/>
  <c r="AC48" i="39" s="1"/>
  <c r="W48" i="39"/>
  <c r="X48" i="39" s="1"/>
  <c r="AB42" i="39"/>
  <c r="AC42" i="39" s="1"/>
  <c r="W42" i="39"/>
  <c r="X42" i="39" s="1"/>
  <c r="W41" i="39"/>
  <c r="X41" i="39" s="1"/>
  <c r="AB41" i="39"/>
  <c r="AC41" i="39" s="1"/>
  <c r="W39" i="39"/>
  <c r="X39" i="39" s="1"/>
  <c r="AB39" i="39"/>
  <c r="AC39" i="39" s="1"/>
  <c r="W37" i="39"/>
  <c r="X37" i="39" s="1"/>
  <c r="AB37" i="39"/>
  <c r="AC37" i="39" s="1"/>
  <c r="W34" i="39"/>
  <c r="X34" i="39" s="1"/>
  <c r="AB34" i="39"/>
  <c r="AC34" i="39" s="1"/>
  <c r="AB33" i="39"/>
  <c r="AC33" i="39" s="1"/>
  <c r="W33" i="39"/>
  <c r="X33" i="39" s="1"/>
  <c r="W22" i="39"/>
  <c r="X22" i="39" s="1"/>
  <c r="AB22" i="39"/>
  <c r="AC22" i="39" s="1"/>
  <c r="W21" i="39"/>
  <c r="X21" i="39" s="1"/>
  <c r="AB21" i="39"/>
  <c r="AC21" i="39" s="1"/>
  <c r="G30" i="43"/>
  <c r="G41" i="43" s="1"/>
  <c r="C52" i="33"/>
  <c r="G38" i="24"/>
  <c r="G43" i="24" s="1"/>
  <c r="H505" i="57"/>
  <c r="L470" i="57" s="1"/>
  <c r="E38" i="56" s="1"/>
  <c r="H97" i="57"/>
  <c r="H98" i="57" s="1"/>
  <c r="L68" i="57" s="1"/>
  <c r="E7" i="56" s="1"/>
  <c r="H7" i="56" s="1"/>
  <c r="H157" i="57"/>
  <c r="E14" i="56"/>
  <c r="H389" i="57"/>
  <c r="L380" i="57" s="1"/>
  <c r="E30" i="56" s="1"/>
  <c r="AB44" i="39"/>
  <c r="AC44" i="39" s="1"/>
  <c r="W44" i="39"/>
  <c r="X44" i="39" s="1"/>
  <c r="W24" i="39"/>
  <c r="X24" i="39" s="1"/>
  <c r="AB24" i="39"/>
  <c r="AC24" i="39" s="1"/>
  <c r="W23" i="39"/>
  <c r="X23" i="39" s="1"/>
  <c r="AB23" i="39"/>
  <c r="AC23" i="39" s="1"/>
  <c r="H23" i="56"/>
  <c r="AB47" i="39"/>
  <c r="AC47" i="39" s="1"/>
  <c r="W47" i="39"/>
  <c r="X47" i="39" s="1"/>
  <c r="AB46" i="39"/>
  <c r="AC46" i="39" s="1"/>
  <c r="W46" i="39"/>
  <c r="X46" i="39" s="1"/>
  <c r="W36" i="39"/>
  <c r="X36" i="39" s="1"/>
  <c r="AB36" i="39"/>
  <c r="AC36" i="39" s="1"/>
  <c r="W35" i="39"/>
  <c r="X35" i="39" s="1"/>
  <c r="AB35" i="39"/>
  <c r="AC35" i="39" s="1"/>
  <c r="AB29" i="39"/>
  <c r="AC29" i="39" s="1"/>
  <c r="W29" i="39"/>
  <c r="X29" i="39" s="1"/>
  <c r="W28" i="39"/>
  <c r="X28" i="39" s="1"/>
  <c r="AB28" i="39"/>
  <c r="AC28" i="39" s="1"/>
  <c r="W25" i="39"/>
  <c r="X25" i="39" s="1"/>
  <c r="AB25" i="39"/>
  <c r="AC25" i="39" s="1"/>
  <c r="H25" i="35"/>
  <c r="H18" i="35"/>
  <c r="G23" i="51"/>
  <c r="G30" i="51" s="1"/>
  <c r="H163" i="57"/>
  <c r="H444" i="57"/>
  <c r="L413" i="57" s="1"/>
  <c r="E34" i="56" s="1"/>
  <c r="AB49" i="39"/>
  <c r="AC49" i="39" s="1"/>
  <c r="W49" i="39"/>
  <c r="X49" i="39" s="1"/>
  <c r="AB45" i="39"/>
  <c r="AC45" i="39" s="1"/>
  <c r="W45" i="39"/>
  <c r="X45" i="39" s="1"/>
  <c r="AB43" i="39"/>
  <c r="AC43" i="39" s="1"/>
  <c r="W43" i="39"/>
  <c r="X43" i="39" s="1"/>
  <c r="W40" i="39"/>
  <c r="X40" i="39" s="1"/>
  <c r="AB40" i="39"/>
  <c r="AC40" i="39" s="1"/>
  <c r="W38" i="39"/>
  <c r="X38" i="39" s="1"/>
  <c r="AB38" i="39"/>
  <c r="AC38" i="39" s="1"/>
  <c r="AB27" i="39"/>
  <c r="AC27" i="39" s="1"/>
  <c r="W27" i="39"/>
  <c r="X27" i="39" s="1"/>
  <c r="AB26" i="39"/>
  <c r="AC26" i="39" s="1"/>
  <c r="W26" i="39"/>
  <c r="X26" i="39" s="1"/>
  <c r="W20" i="39"/>
  <c r="AB20" i="39"/>
  <c r="AC20" i="39" s="1"/>
  <c r="G38" i="49"/>
  <c r="E18" i="56"/>
  <c r="H18" i="56" s="1"/>
  <c r="G16" i="53"/>
  <c r="G50" i="53" s="1"/>
  <c r="F32" i="56"/>
  <c r="G25" i="56"/>
  <c r="H25" i="56" s="1"/>
  <c r="F31" i="56"/>
  <c r="G24" i="56"/>
  <c r="H24" i="56" s="1"/>
  <c r="C45" i="34"/>
  <c r="C49" i="34" s="1"/>
  <c r="H41" i="34"/>
  <c r="H43" i="34" s="1"/>
  <c r="G47" i="53"/>
  <c r="G52" i="53" s="1"/>
  <c r="G16" i="48"/>
  <c r="G25" i="48" s="1"/>
  <c r="G28" i="48" s="1"/>
  <c r="H38" i="34"/>
  <c r="S87" i="37"/>
  <c r="S82" i="46"/>
  <c r="H14" i="56"/>
  <c r="F23" i="16"/>
  <c r="E20" i="64"/>
  <c r="G88" i="37"/>
  <c r="R88" i="37" s="1"/>
  <c r="S57" i="37"/>
  <c r="M53" i="37"/>
  <c r="I53" i="37" s="1"/>
  <c r="J53" i="37" s="1"/>
  <c r="M41" i="37"/>
  <c r="I41" i="37" s="1"/>
  <c r="J41" i="37" s="1"/>
  <c r="M92" i="37"/>
  <c r="I92" i="37" s="1"/>
  <c r="J92" i="37" s="1"/>
  <c r="H17" i="56"/>
  <c r="S83" i="46"/>
  <c r="G156" i="37"/>
  <c r="R156" i="37" s="1"/>
  <c r="S24" i="37"/>
  <c r="G155" i="37"/>
  <c r="R155" i="37" s="1"/>
  <c r="M113" i="37"/>
  <c r="I113" i="37" s="1"/>
  <c r="J113" i="37" s="1"/>
  <c r="M71" i="37"/>
  <c r="I71" i="37" s="1"/>
  <c r="J71" i="37" s="1"/>
  <c r="H21" i="56"/>
  <c r="S79" i="46"/>
  <c r="M81" i="37"/>
  <c r="I81" i="37" s="1"/>
  <c r="J81" i="37" s="1"/>
  <c r="G86" i="37"/>
  <c r="R86" i="37" s="1"/>
  <c r="M109" i="37"/>
  <c r="I109" i="37" s="1"/>
  <c r="J109" i="37" s="1"/>
  <c r="M126" i="37"/>
  <c r="I126" i="37" s="1"/>
  <c r="J126" i="37" s="1"/>
  <c r="S72" i="37"/>
  <c r="U286" i="37"/>
  <c r="V286" i="37" s="1"/>
  <c r="U339" i="37"/>
  <c r="V339" i="37" s="1"/>
  <c r="U327" i="37"/>
  <c r="U338" i="37"/>
  <c r="U326" i="37"/>
  <c r="U337" i="37"/>
  <c r="U325" i="37"/>
  <c r="V325" i="37" s="1"/>
  <c r="U324" i="37"/>
  <c r="V324" i="37" s="1"/>
  <c r="U333" i="37"/>
  <c r="V333" i="37" s="1"/>
  <c r="U344" i="37"/>
  <c r="V344" i="37" s="1"/>
  <c r="U336" i="37"/>
  <c r="U347" i="37"/>
  <c r="V347" i="37" s="1"/>
  <c r="U335" i="37"/>
  <c r="U323" i="37"/>
  <c r="U346" i="37"/>
  <c r="V346" i="37" s="1"/>
  <c r="U334" i="37"/>
  <c r="U322" i="37"/>
  <c r="U345" i="37"/>
  <c r="U321" i="37"/>
  <c r="V321" i="37" s="1"/>
  <c r="U332" i="37"/>
  <c r="U343" i="37"/>
  <c r="U331" i="37"/>
  <c r="U342" i="37"/>
  <c r="U330" i="37"/>
  <c r="V330" i="37" s="1"/>
  <c r="U340" i="37"/>
  <c r="U328" i="37"/>
  <c r="U341" i="37"/>
  <c r="V341" i="37" s="1"/>
  <c r="U329" i="37"/>
  <c r="V329" i="37" s="1"/>
  <c r="S39" i="37"/>
  <c r="S31" i="37"/>
  <c r="S90" i="37"/>
  <c r="H27" i="56"/>
  <c r="H26" i="56" s="1"/>
  <c r="G50" i="16"/>
  <c r="S36" i="37"/>
  <c r="M32" i="37"/>
  <c r="I32" i="37" s="1"/>
  <c r="J32" i="37" s="1"/>
  <c r="S124" i="37"/>
  <c r="M112" i="37"/>
  <c r="I112" i="37" s="1"/>
  <c r="J112" i="37" s="1"/>
  <c r="M70" i="37"/>
  <c r="I70" i="37" s="1"/>
  <c r="J70" i="37" s="1"/>
  <c r="S25" i="37"/>
  <c r="M115" i="37"/>
  <c r="I115" i="37" s="1"/>
  <c r="J115" i="37" s="1"/>
  <c r="M89" i="37"/>
  <c r="I89" i="37" s="1"/>
  <c r="J89" i="37" s="1"/>
  <c r="S91" i="37"/>
  <c r="M55" i="37"/>
  <c r="I55" i="37" s="1"/>
  <c r="J55" i="37" s="1"/>
  <c r="M43" i="37"/>
  <c r="I43" i="37" s="1"/>
  <c r="J43" i="37" s="1"/>
  <c r="H34" i="56"/>
  <c r="H5" i="56"/>
  <c r="H4" i="56" s="1"/>
  <c r="H42" i="56"/>
  <c r="H41" i="56" s="1"/>
  <c r="V82" i="46"/>
  <c r="M159" i="37"/>
  <c r="I159" i="37" s="1"/>
  <c r="J159" i="37" s="1"/>
  <c r="S30" i="37"/>
  <c r="S26" i="37"/>
  <c r="M22" i="37"/>
  <c r="I22" i="37" s="1"/>
  <c r="J22" i="37" s="1"/>
  <c r="S91" i="46"/>
  <c r="H8" i="56"/>
  <c r="S78" i="46"/>
  <c r="G158" i="37"/>
  <c r="R158" i="37" s="1"/>
  <c r="M54" i="37"/>
  <c r="I54" i="37" s="1"/>
  <c r="J54" i="37" s="1"/>
  <c r="S42" i="37"/>
  <c r="H9" i="56"/>
  <c r="S90" i="46"/>
  <c r="M127" i="37"/>
  <c r="I127" i="37" s="1"/>
  <c r="J127" i="37" s="1"/>
  <c r="K61" i="46"/>
  <c r="N61" i="46" s="1"/>
  <c r="K60" i="46"/>
  <c r="M60" i="46" s="1"/>
  <c r="K70" i="46"/>
  <c r="N70" i="46" s="1"/>
  <c r="G58" i="46"/>
  <c r="H58" i="46" s="1"/>
  <c r="K58" i="46"/>
  <c r="L58" i="46" s="1"/>
  <c r="P61" i="46"/>
  <c r="Q61" i="46" s="1"/>
  <c r="P65" i="46"/>
  <c r="S65" i="46" s="1"/>
  <c r="K65" i="46"/>
  <c r="M65" i="46" s="1"/>
  <c r="U65" i="46"/>
  <c r="V65" i="46" s="1"/>
  <c r="G63" i="46"/>
  <c r="H63" i="46" s="1"/>
  <c r="I65" i="46"/>
  <c r="G60" i="46"/>
  <c r="H60" i="46" s="1"/>
  <c r="P60" i="46"/>
  <c r="R60" i="46" s="1"/>
  <c r="I70" i="46"/>
  <c r="U60" i="46"/>
  <c r="Y60" i="46" s="1"/>
  <c r="G31" i="47"/>
  <c r="G36" i="47" s="1"/>
  <c r="G24" i="47"/>
  <c r="L43" i="39"/>
  <c r="K43" i="39"/>
  <c r="L46" i="39"/>
  <c r="K46" i="39"/>
  <c r="L37" i="39"/>
  <c r="K37" i="39"/>
  <c r="L39" i="39"/>
  <c r="K39" i="39"/>
  <c r="L49" i="39"/>
  <c r="K49" i="39"/>
  <c r="L27" i="39"/>
  <c r="K27" i="39"/>
  <c r="K44" i="39"/>
  <c r="L44" i="39"/>
  <c r="L45" i="39"/>
  <c r="K45" i="39"/>
  <c r="L33" i="39"/>
  <c r="K33" i="39"/>
  <c r="L77" i="39"/>
  <c r="K77" i="39"/>
  <c r="K124" i="39"/>
  <c r="L124" i="39"/>
  <c r="K115" i="39"/>
  <c r="L115" i="39"/>
  <c r="R77" i="39"/>
  <c r="K85" i="39"/>
  <c r="L85" i="39"/>
  <c r="K109" i="39"/>
  <c r="L109" i="39"/>
  <c r="K119" i="39"/>
  <c r="L119" i="39"/>
  <c r="L101" i="39"/>
  <c r="K101" i="39"/>
  <c r="L67" i="39"/>
  <c r="K67" i="39"/>
  <c r="L111" i="39"/>
  <c r="K111" i="39"/>
  <c r="K93" i="39"/>
  <c r="L93" i="39"/>
  <c r="K104" i="39"/>
  <c r="L104" i="39"/>
  <c r="K81" i="39"/>
  <c r="L81" i="39"/>
  <c r="K121" i="39"/>
  <c r="L121" i="39"/>
  <c r="K105" i="39"/>
  <c r="L105" i="39"/>
  <c r="K89" i="39"/>
  <c r="L89" i="39"/>
  <c r="K97" i="39"/>
  <c r="L97" i="39"/>
  <c r="L113" i="39"/>
  <c r="K113" i="39"/>
  <c r="K78" i="39"/>
  <c r="L78" i="39"/>
  <c r="K99" i="39"/>
  <c r="L99" i="39"/>
  <c r="K107" i="39"/>
  <c r="L107" i="39"/>
  <c r="K96" i="39"/>
  <c r="L96" i="39"/>
  <c r="K92" i="39"/>
  <c r="L92" i="39"/>
  <c r="K95" i="39"/>
  <c r="L95" i="39"/>
  <c r="K108" i="39"/>
  <c r="L108" i="39"/>
  <c r="K83" i="39"/>
  <c r="L83" i="39"/>
  <c r="K91" i="39"/>
  <c r="L91" i="39"/>
  <c r="K84" i="39"/>
  <c r="L84" i="39"/>
  <c r="K87" i="39"/>
  <c r="L87" i="39"/>
  <c r="L88" i="39"/>
  <c r="K88" i="39"/>
  <c r="L72" i="39"/>
  <c r="K72" i="39"/>
  <c r="K123" i="39"/>
  <c r="L123" i="39"/>
  <c r="K117" i="39"/>
  <c r="L117" i="39"/>
  <c r="L120" i="39"/>
  <c r="K120" i="39"/>
  <c r="K112" i="39"/>
  <c r="L112" i="39"/>
  <c r="L103" i="39"/>
  <c r="K103" i="39"/>
  <c r="K116" i="39"/>
  <c r="L116" i="39"/>
  <c r="L69" i="39"/>
  <c r="K69" i="39"/>
  <c r="L75" i="39"/>
  <c r="K75" i="39"/>
  <c r="L50" i="39"/>
  <c r="K50" i="39"/>
  <c r="L80" i="39"/>
  <c r="K80" i="39"/>
  <c r="L66" i="39"/>
  <c r="K66" i="39"/>
  <c r="S86" i="46"/>
  <c r="L84" i="46"/>
  <c r="Q86" i="46"/>
  <c r="M84" i="46"/>
  <c r="V87" i="46"/>
  <c r="L80" i="46"/>
  <c r="M80" i="46"/>
  <c r="L81" i="46"/>
  <c r="M79" i="46"/>
  <c r="R78" i="46"/>
  <c r="Q90" i="46"/>
  <c r="S46" i="37"/>
  <c r="R76" i="39"/>
  <c r="J76" i="39"/>
  <c r="R67" i="39"/>
  <c r="R74" i="39"/>
  <c r="J54" i="16"/>
  <c r="I76" i="16"/>
  <c r="J76" i="16" s="1"/>
  <c r="J53" i="16"/>
  <c r="I75" i="16"/>
  <c r="J75" i="16" s="1"/>
  <c r="Y331" i="37"/>
  <c r="Y332" i="37"/>
  <c r="U303" i="37"/>
  <c r="H272" i="37"/>
  <c r="L272" i="37" s="1"/>
  <c r="H36" i="37"/>
  <c r="S89" i="37"/>
  <c r="H333" i="37"/>
  <c r="L333" i="37" s="1"/>
  <c r="R333" i="37" s="1"/>
  <c r="H351" i="37"/>
  <c r="L351" i="37" s="1"/>
  <c r="R351" i="37" s="1"/>
  <c r="S197" i="37"/>
  <c r="K84" i="37"/>
  <c r="L84" i="37" s="1"/>
  <c r="H332" i="37"/>
  <c r="L332" i="37" s="1"/>
  <c r="R332" i="37" s="1"/>
  <c r="G252" i="37"/>
  <c r="R252" i="37" s="1"/>
  <c r="K168" i="37"/>
  <c r="L168" i="37" s="1"/>
  <c r="G115" i="37"/>
  <c r="R115" i="37" s="1"/>
  <c r="G198" i="37"/>
  <c r="R198" i="37" s="1"/>
  <c r="S166" i="37"/>
  <c r="K156" i="37"/>
  <c r="L156" i="37" s="1"/>
  <c r="G113" i="37"/>
  <c r="R113" i="37" s="1"/>
  <c r="K155" i="37"/>
  <c r="L155" i="37" s="1"/>
  <c r="G123" i="37"/>
  <c r="R123" i="37" s="1"/>
  <c r="H28" i="37"/>
  <c r="M120" i="37"/>
  <c r="I120" i="37" s="1"/>
  <c r="J120" i="37" s="1"/>
  <c r="K76" i="37"/>
  <c r="L76" i="37" s="1"/>
  <c r="G161" i="37"/>
  <c r="R161" i="37" s="1"/>
  <c r="K123" i="37"/>
  <c r="L123" i="37" s="1"/>
  <c r="K39" i="37"/>
  <c r="L39" i="37" s="1"/>
  <c r="H330" i="37"/>
  <c r="L330" i="37" s="1"/>
  <c r="R330" i="37" s="1"/>
  <c r="K73" i="37"/>
  <c r="L73" i="37" s="1"/>
  <c r="H343" i="37"/>
  <c r="L343" i="37" s="1"/>
  <c r="R343" i="37" s="1"/>
  <c r="G241" i="37"/>
  <c r="R241" i="37" s="1"/>
  <c r="K157" i="37"/>
  <c r="L157" i="37" s="1"/>
  <c r="K197" i="37"/>
  <c r="L197" i="37" s="1"/>
  <c r="M213" i="37"/>
  <c r="I213" i="37" s="1"/>
  <c r="J213" i="37" s="1"/>
  <c r="H309" i="37"/>
  <c r="L309" i="37" s="1"/>
  <c r="K164" i="37"/>
  <c r="L164" i="37" s="1"/>
  <c r="K93" i="37"/>
  <c r="L93" i="37" s="1"/>
  <c r="H289" i="37"/>
  <c r="L289" i="37" s="1"/>
  <c r="S155" i="37"/>
  <c r="M227" i="37"/>
  <c r="I227" i="37" s="1"/>
  <c r="J227" i="37" s="1"/>
  <c r="G70" i="37"/>
  <c r="R70" i="37" s="1"/>
  <c r="S161" i="37"/>
  <c r="K170" i="37"/>
  <c r="L170" i="37" s="1"/>
  <c r="S144" i="37"/>
  <c r="H280" i="37"/>
  <c r="L280" i="37" s="1"/>
  <c r="K250" i="37"/>
  <c r="L250" i="37" s="1"/>
  <c r="K122" i="37"/>
  <c r="L122" i="37" s="1"/>
  <c r="M208" i="37"/>
  <c r="I208" i="37" s="1"/>
  <c r="J208" i="37" s="1"/>
  <c r="S123" i="37"/>
  <c r="G250" i="37"/>
  <c r="R250" i="37" s="1"/>
  <c r="H155" i="37"/>
  <c r="S239" i="37"/>
  <c r="M204" i="37"/>
  <c r="I204" i="37" s="1"/>
  <c r="J204" i="37" s="1"/>
  <c r="G199" i="37"/>
  <c r="R199" i="37" s="1"/>
  <c r="S209" i="37"/>
  <c r="K199" i="37"/>
  <c r="L199" i="37" s="1"/>
  <c r="S88" i="37"/>
  <c r="K51" i="37"/>
  <c r="L51" i="37" s="1"/>
  <c r="K109" i="37"/>
  <c r="L109" i="37" s="1"/>
  <c r="K32" i="37"/>
  <c r="L32" i="37" s="1"/>
  <c r="K52" i="37"/>
  <c r="L52" i="37" s="1"/>
  <c r="K161" i="37"/>
  <c r="L161" i="37" s="1"/>
  <c r="S115" i="37"/>
  <c r="S22" i="37"/>
  <c r="M250" i="37"/>
  <c r="I250" i="37" s="1"/>
  <c r="J250" i="37" s="1"/>
  <c r="K163" i="37"/>
  <c r="L163" i="37" s="1"/>
  <c r="H227" i="37"/>
  <c r="K240" i="37"/>
  <c r="L240" i="37" s="1"/>
  <c r="K80" i="37"/>
  <c r="L80" i="37" s="1"/>
  <c r="H356" i="37"/>
  <c r="L356" i="37" s="1"/>
  <c r="R356" i="37" s="1"/>
  <c r="H327" i="37"/>
  <c r="L327" i="37" s="1"/>
  <c r="R327" i="37" s="1"/>
  <c r="K78" i="37"/>
  <c r="L78" i="37" s="1"/>
  <c r="G91" i="37"/>
  <c r="R91" i="37" s="1"/>
  <c r="M80" i="37"/>
  <c r="I80" i="37" s="1"/>
  <c r="J80" i="37" s="1"/>
  <c r="S32" i="37"/>
  <c r="K247" i="37"/>
  <c r="L247" i="37" s="1"/>
  <c r="M169" i="37"/>
  <c r="I169" i="37" s="1"/>
  <c r="J169" i="37" s="1"/>
  <c r="H337" i="37"/>
  <c r="L337" i="37" s="1"/>
  <c r="R337" i="37" s="1"/>
  <c r="K125" i="37"/>
  <c r="L125" i="37" s="1"/>
  <c r="M207" i="37"/>
  <c r="I207" i="37" s="1"/>
  <c r="J207" i="37" s="1"/>
  <c r="K54" i="37"/>
  <c r="L54" i="37" s="1"/>
  <c r="G89" i="37"/>
  <c r="R89" i="37" s="1"/>
  <c r="K207" i="37"/>
  <c r="L207" i="37" s="1"/>
  <c r="S159" i="37"/>
  <c r="K212" i="37"/>
  <c r="L212" i="37" s="1"/>
  <c r="M211" i="37"/>
  <c r="I211" i="37" s="1"/>
  <c r="J211" i="37" s="1"/>
  <c r="K154" i="37"/>
  <c r="L154" i="37" s="1"/>
  <c r="S122" i="37"/>
  <c r="H352" i="37"/>
  <c r="L352" i="37" s="1"/>
  <c r="R352" i="37" s="1"/>
  <c r="K87" i="37"/>
  <c r="L87" i="37" s="1"/>
  <c r="S86" i="37"/>
  <c r="K241" i="37"/>
  <c r="L241" i="37" s="1"/>
  <c r="G87" i="37"/>
  <c r="R87" i="37" s="1"/>
  <c r="G247" i="37"/>
  <c r="H247" i="37" s="1"/>
  <c r="K47" i="37"/>
  <c r="L47" i="37" s="1"/>
  <c r="M117" i="37"/>
  <c r="I117" i="37" s="1"/>
  <c r="J117" i="37" s="1"/>
  <c r="H144" i="37"/>
  <c r="K112" i="37"/>
  <c r="L112" i="37" s="1"/>
  <c r="K40" i="37"/>
  <c r="L40" i="37" s="1"/>
  <c r="G126" i="37"/>
  <c r="R126" i="37" s="1"/>
  <c r="H33" i="37"/>
  <c r="S126" i="37"/>
  <c r="K56" i="37"/>
  <c r="L56" i="37" s="1"/>
  <c r="M239" i="37"/>
  <c r="I239" i="37" s="1"/>
  <c r="J239" i="37" s="1"/>
  <c r="K66" i="37"/>
  <c r="L66" i="37" s="1"/>
  <c r="G246" i="37"/>
  <c r="H246" i="37" s="1"/>
  <c r="K111" i="37"/>
  <c r="L111" i="37" s="1"/>
  <c r="H323" i="37"/>
  <c r="L323" i="37" s="1"/>
  <c r="R323" i="37" s="1"/>
  <c r="M57" i="37"/>
  <c r="I57" i="37" s="1"/>
  <c r="J57" i="37" s="1"/>
  <c r="G207" i="37"/>
  <c r="R207" i="37" s="1"/>
  <c r="H57" i="37"/>
  <c r="H287" i="37"/>
  <c r="L287" i="37" s="1"/>
  <c r="H299" i="37"/>
  <c r="L299" i="37" s="1"/>
  <c r="H334" i="37"/>
  <c r="L334" i="37" s="1"/>
  <c r="R334" i="37" s="1"/>
  <c r="G76" i="37"/>
  <c r="R76" i="37" s="1"/>
  <c r="G97" i="37"/>
  <c r="R97" i="37" s="1"/>
  <c r="S76" i="37"/>
  <c r="K126" i="37"/>
  <c r="L126" i="37" s="1"/>
  <c r="H94" i="37"/>
  <c r="G117" i="37"/>
  <c r="R117" i="37" s="1"/>
  <c r="M202" i="37"/>
  <c r="I202" i="37" s="1"/>
  <c r="J202" i="37" s="1"/>
  <c r="K97" i="37"/>
  <c r="L97" i="37" s="1"/>
  <c r="G166" i="37"/>
  <c r="R166" i="37" s="1"/>
  <c r="G93" i="37"/>
  <c r="R93" i="37" s="1"/>
  <c r="M73" i="37"/>
  <c r="I73" i="37" s="1"/>
  <c r="J73" i="37" s="1"/>
  <c r="R202" i="37"/>
  <c r="H202" i="37"/>
  <c r="H197" i="37"/>
  <c r="R197" i="37"/>
  <c r="M88" i="37"/>
  <c r="I88" i="37" s="1"/>
  <c r="J88" i="37" s="1"/>
  <c r="K166" i="37"/>
  <c r="L166" i="37" s="1"/>
  <c r="K246" i="37"/>
  <c r="L246" i="37" s="1"/>
  <c r="K98" i="37"/>
  <c r="L98" i="37" s="1"/>
  <c r="K204" i="37"/>
  <c r="L204" i="37" s="1"/>
  <c r="G120" i="37"/>
  <c r="M30" i="37"/>
  <c r="I30" i="37" s="1"/>
  <c r="J30" i="37" s="1"/>
  <c r="M72" i="37"/>
  <c r="I72" i="37" s="1"/>
  <c r="J72" i="37" s="1"/>
  <c r="G212" i="37"/>
  <c r="R212" i="37" s="1"/>
  <c r="H78" i="37"/>
  <c r="S94" i="37"/>
  <c r="K90" i="37"/>
  <c r="L90" i="37" s="1"/>
  <c r="K200" i="37"/>
  <c r="L200" i="37" s="1"/>
  <c r="S203" i="37"/>
  <c r="S93" i="37"/>
  <c r="M40" i="37"/>
  <c r="I40" i="37" s="1"/>
  <c r="J40" i="37" s="1"/>
  <c r="G213" i="37"/>
  <c r="R213" i="37" s="1"/>
  <c r="S40" i="37"/>
  <c r="K169" i="37"/>
  <c r="L169" i="37" s="1"/>
  <c r="K55" i="37"/>
  <c r="L55" i="37" s="1"/>
  <c r="K120" i="37"/>
  <c r="L120" i="37" s="1"/>
  <c r="G72" i="37"/>
  <c r="R72" i="37" s="1"/>
  <c r="K243" i="37"/>
  <c r="L243" i="37" s="1"/>
  <c r="K203" i="37"/>
  <c r="L203" i="37" s="1"/>
  <c r="M39" i="37"/>
  <c r="I39" i="37" s="1"/>
  <c r="J39" i="37" s="1"/>
  <c r="M155" i="37"/>
  <c r="K22" i="37"/>
  <c r="L22" i="37" s="1"/>
  <c r="M197" i="37"/>
  <c r="I197" i="37" s="1"/>
  <c r="J197" i="37" s="1"/>
  <c r="M203" i="37"/>
  <c r="I203" i="37" s="1"/>
  <c r="J203" i="37" s="1"/>
  <c r="S75" i="37"/>
  <c r="H238" i="37"/>
  <c r="S78" i="37"/>
  <c r="M243" i="37"/>
  <c r="I243" i="37" s="1"/>
  <c r="J243" i="37" s="1"/>
  <c r="M87" i="37"/>
  <c r="I87" i="37" s="1"/>
  <c r="J87" i="37" s="1"/>
  <c r="H54" i="37"/>
  <c r="S113" i="37"/>
  <c r="K113" i="37"/>
  <c r="L113" i="37" s="1"/>
  <c r="S54" i="37"/>
  <c r="G243" i="37"/>
  <c r="R243" i="37" s="1"/>
  <c r="K213" i="37"/>
  <c r="L213" i="37" s="1"/>
  <c r="K121" i="37"/>
  <c r="L121" i="37" s="1"/>
  <c r="S41" i="37"/>
  <c r="R70" i="39"/>
  <c r="AD125" i="39"/>
  <c r="H290" i="37"/>
  <c r="L290" i="37" s="1"/>
  <c r="H300" i="37"/>
  <c r="L300" i="37" s="1"/>
  <c r="H326" i="37"/>
  <c r="L326" i="37" s="1"/>
  <c r="R326" i="37" s="1"/>
  <c r="H325" i="37"/>
  <c r="L325" i="37" s="1"/>
  <c r="R325" i="37" s="1"/>
  <c r="G16" i="43"/>
  <c r="G40" i="43" s="1"/>
  <c r="R65" i="39"/>
  <c r="R72" i="39"/>
  <c r="J61" i="39"/>
  <c r="J65" i="39"/>
  <c r="R75" i="39"/>
  <c r="J74" i="39"/>
  <c r="R66" i="39"/>
  <c r="R69" i="39"/>
  <c r="R63" i="39"/>
  <c r="W125" i="39"/>
  <c r="X125" i="39" s="1"/>
  <c r="W57" i="39"/>
  <c r="X57" i="39" s="1"/>
  <c r="W59" i="39"/>
  <c r="X59" i="39" s="1"/>
  <c r="AD59" i="39"/>
  <c r="W56" i="39"/>
  <c r="X56" i="39" s="1"/>
  <c r="W55" i="39"/>
  <c r="X55" i="39" s="1"/>
  <c r="S20" i="39"/>
  <c r="S41" i="39"/>
  <c r="S37" i="39"/>
  <c r="J57" i="39"/>
  <c r="W52" i="39"/>
  <c r="X52" i="39" s="1"/>
  <c r="AD57" i="39"/>
  <c r="O57" i="39"/>
  <c r="O59" i="39"/>
  <c r="S27" i="39"/>
  <c r="S24" i="39"/>
  <c r="AD58" i="39"/>
  <c r="S28" i="39"/>
  <c r="R56" i="39"/>
  <c r="J56" i="39"/>
  <c r="J58" i="39"/>
  <c r="S44" i="39"/>
  <c r="O58" i="39"/>
  <c r="R58" i="39" s="1"/>
  <c r="R50" i="39"/>
  <c r="Q125" i="39"/>
  <c r="O125" i="39" s="1"/>
  <c r="W58" i="39"/>
  <c r="X58" i="39" s="1"/>
  <c r="T125" i="39"/>
  <c r="T126" i="39" s="1"/>
  <c r="F833" i="64" s="1"/>
  <c r="W54" i="39"/>
  <c r="X54" i="39" s="1"/>
  <c r="S39" i="39"/>
  <c r="W50" i="39"/>
  <c r="X50" i="39" s="1"/>
  <c r="S33" i="39"/>
  <c r="S42" i="39"/>
  <c r="S48" i="39"/>
  <c r="S47" i="39"/>
  <c r="S35" i="39"/>
  <c r="S38" i="39"/>
  <c r="J54" i="39"/>
  <c r="R54" i="39"/>
  <c r="S26" i="39"/>
  <c r="S25" i="39"/>
  <c r="R55" i="39"/>
  <c r="J55" i="39"/>
  <c r="S34" i="39"/>
  <c r="R51" i="39"/>
  <c r="J51" i="39"/>
  <c r="S36" i="39"/>
  <c r="R52" i="39"/>
  <c r="J52" i="39"/>
  <c r="S29" i="39"/>
  <c r="S49" i="39"/>
  <c r="S46" i="39"/>
  <c r="W53" i="39"/>
  <c r="X53" i="39" s="1"/>
  <c r="S45" i="39"/>
  <c r="W51" i="39"/>
  <c r="X51" i="39" s="1"/>
  <c r="Q62" i="46"/>
  <c r="N78" i="46"/>
  <c r="M78" i="46"/>
  <c r="Q82" i="46"/>
  <c r="R82" i="46"/>
  <c r="M82" i="46"/>
  <c r="V83" i="46"/>
  <c r="N81" i="46"/>
  <c r="V79" i="46"/>
  <c r="Y82" i="46"/>
  <c r="L79" i="46"/>
  <c r="L83" i="46"/>
  <c r="X78" i="46"/>
  <c r="V78" i="46"/>
  <c r="X83" i="46"/>
  <c r="M83" i="46"/>
  <c r="N85" i="46"/>
  <c r="M85" i="46"/>
  <c r="Y79" i="46"/>
  <c r="Q78" i="46"/>
  <c r="L82" i="46"/>
  <c r="V84" i="46"/>
  <c r="Y84" i="46"/>
  <c r="X84" i="46"/>
  <c r="H90" i="46"/>
  <c r="V80" i="46"/>
  <c r="Y80" i="46"/>
  <c r="X80" i="46"/>
  <c r="H86" i="46"/>
  <c r="V92" i="46"/>
  <c r="X92" i="46"/>
  <c r="Y92" i="46"/>
  <c r="V88" i="46"/>
  <c r="Y88" i="46"/>
  <c r="X88" i="46"/>
  <c r="Q88" i="46"/>
  <c r="S88" i="46"/>
  <c r="R88" i="46"/>
  <c r="H82" i="46"/>
  <c r="Q81" i="46"/>
  <c r="S81" i="46"/>
  <c r="R81" i="46"/>
  <c r="Y81" i="46"/>
  <c r="X81" i="46"/>
  <c r="V81" i="46"/>
  <c r="H83" i="46"/>
  <c r="R89" i="46"/>
  <c r="Q89" i="46"/>
  <c r="S89" i="46"/>
  <c r="R85" i="46"/>
  <c r="Q85" i="46"/>
  <c r="S85" i="46"/>
  <c r="S80" i="46"/>
  <c r="R80" i="46"/>
  <c r="Q80" i="46"/>
  <c r="H78" i="46"/>
  <c r="X89" i="46"/>
  <c r="V89" i="46"/>
  <c r="Y89" i="46"/>
  <c r="Q84" i="46"/>
  <c r="S84" i="46"/>
  <c r="R84" i="46"/>
  <c r="V85" i="46"/>
  <c r="X85" i="46"/>
  <c r="Y85" i="46"/>
  <c r="Q92" i="46"/>
  <c r="S92" i="46"/>
  <c r="R92" i="46"/>
  <c r="H91" i="46"/>
  <c r="H87" i="46"/>
  <c r="H79" i="46"/>
  <c r="P57" i="46"/>
  <c r="R57" i="46" s="1"/>
  <c r="U62" i="46"/>
  <c r="Y62" i="46" s="1"/>
  <c r="K66" i="46"/>
  <c r="N66" i="46" s="1"/>
  <c r="G61" i="46"/>
  <c r="H61" i="46" s="1"/>
  <c r="K75" i="46"/>
  <c r="N75" i="46" s="1"/>
  <c r="K71" i="46"/>
  <c r="M71" i="46" s="1"/>
  <c r="K67" i="46"/>
  <c r="N67" i="46" s="1"/>
  <c r="U67" i="46"/>
  <c r="X67" i="46" s="1"/>
  <c r="I67" i="46"/>
  <c r="G75" i="46"/>
  <c r="H75" i="46" s="1"/>
  <c r="P75" i="46"/>
  <c r="S75" i="46" s="1"/>
  <c r="U75" i="46"/>
  <c r="X75" i="46" s="1"/>
  <c r="I62" i="46"/>
  <c r="K62" i="46"/>
  <c r="L62" i="46" s="1"/>
  <c r="G72" i="46"/>
  <c r="H72" i="46" s="1"/>
  <c r="G62" i="46"/>
  <c r="H62" i="46" s="1"/>
  <c r="U72" i="46"/>
  <c r="Y72" i="46" s="1"/>
  <c r="U57" i="46"/>
  <c r="Y57" i="46" s="1"/>
  <c r="G71" i="46"/>
  <c r="H71" i="46" s="1"/>
  <c r="K57" i="46"/>
  <c r="N57" i="46" s="1"/>
  <c r="I77" i="46"/>
  <c r="I66" i="46"/>
  <c r="P66" i="46"/>
  <c r="S66" i="46" s="1"/>
  <c r="I71" i="46"/>
  <c r="P71" i="46"/>
  <c r="R71" i="46" s="1"/>
  <c r="X58" i="46"/>
  <c r="G66" i="46"/>
  <c r="H66" i="46" s="1"/>
  <c r="P72" i="46"/>
  <c r="S72" i="46" s="1"/>
  <c r="U61" i="46"/>
  <c r="Y61" i="46" s="1"/>
  <c r="G67" i="46"/>
  <c r="H67" i="46" s="1"/>
  <c r="Y70" i="46"/>
  <c r="S62" i="46"/>
  <c r="V70" i="46"/>
  <c r="U77" i="46"/>
  <c r="V77" i="46" s="1"/>
  <c r="V69" i="46"/>
  <c r="G37" i="46"/>
  <c r="H37" i="46" s="1"/>
  <c r="X69" i="46"/>
  <c r="V66" i="46"/>
  <c r="Y66" i="46"/>
  <c r="X66" i="46"/>
  <c r="N74" i="46"/>
  <c r="L72" i="46"/>
  <c r="M74" i="46"/>
  <c r="M72" i="46"/>
  <c r="M70" i="46"/>
  <c r="L68" i="46"/>
  <c r="V74" i="46"/>
  <c r="X74" i="46"/>
  <c r="V58" i="46"/>
  <c r="R74" i="46"/>
  <c r="H70" i="46"/>
  <c r="H74" i="46"/>
  <c r="R59" i="46"/>
  <c r="S59" i="46"/>
  <c r="Q59" i="46"/>
  <c r="V59" i="46"/>
  <c r="Y59" i="46"/>
  <c r="X59" i="46"/>
  <c r="H69" i="46"/>
  <c r="S68" i="46"/>
  <c r="R68" i="46"/>
  <c r="Q68" i="46"/>
  <c r="Y64" i="46"/>
  <c r="X64" i="46"/>
  <c r="V64" i="46"/>
  <c r="V71" i="46"/>
  <c r="Y71" i="46"/>
  <c r="X71" i="46"/>
  <c r="S64" i="46"/>
  <c r="R64" i="46"/>
  <c r="Q64" i="46"/>
  <c r="Q67" i="46"/>
  <c r="S67" i="46"/>
  <c r="R67" i="46"/>
  <c r="N59" i="46"/>
  <c r="M59" i="46"/>
  <c r="L59" i="46"/>
  <c r="K93" i="46"/>
  <c r="N93" i="46" s="1"/>
  <c r="P54" i="46"/>
  <c r="S54" i="46" s="1"/>
  <c r="G53" i="46"/>
  <c r="H53" i="46" s="1"/>
  <c r="P25" i="46"/>
  <c r="Q25" i="46" s="1"/>
  <c r="G29" i="46"/>
  <c r="H29" i="46" s="1"/>
  <c r="K48" i="46"/>
  <c r="M48" i="46" s="1"/>
  <c r="K49" i="46"/>
  <c r="M49" i="46" s="1"/>
  <c r="G49" i="46"/>
  <c r="H49" i="46" s="1"/>
  <c r="I49" i="46"/>
  <c r="C97" i="46"/>
  <c r="G29" i="58" s="1"/>
  <c r="I37" i="46"/>
  <c r="I94" i="46"/>
  <c r="P94" i="46"/>
  <c r="Q94" i="46" s="1"/>
  <c r="K94" i="46"/>
  <c r="M94" i="46" s="1"/>
  <c r="I42" i="46"/>
  <c r="U23" i="46"/>
  <c r="V23" i="46" s="1"/>
  <c r="U33" i="46"/>
  <c r="V33" i="46" s="1"/>
  <c r="U49" i="46"/>
  <c r="V49" i="46" s="1"/>
  <c r="U45" i="46"/>
  <c r="Y45" i="46" s="1"/>
  <c r="G93" i="46"/>
  <c r="H93" i="46" s="1"/>
  <c r="I93" i="46"/>
  <c r="U34" i="46"/>
  <c r="X34" i="46" s="1"/>
  <c r="P33" i="46"/>
  <c r="R33" i="46" s="1"/>
  <c r="K50" i="46"/>
  <c r="N50" i="46" s="1"/>
  <c r="K33" i="46"/>
  <c r="N33" i="46" s="1"/>
  <c r="K51" i="46"/>
  <c r="N51" i="46" s="1"/>
  <c r="K26" i="46"/>
  <c r="L26" i="46" s="1"/>
  <c r="K24" i="46"/>
  <c r="M24" i="46" s="1"/>
  <c r="G41" i="46"/>
  <c r="H41" i="46" s="1"/>
  <c r="K53" i="46"/>
  <c r="N53" i="46" s="1"/>
  <c r="K42" i="46"/>
  <c r="N42" i="46" s="1"/>
  <c r="G50" i="46"/>
  <c r="H50" i="46" s="1"/>
  <c r="K46" i="46"/>
  <c r="L46" i="46" s="1"/>
  <c r="K54" i="46"/>
  <c r="M54" i="46" s="1"/>
  <c r="P40" i="46"/>
  <c r="P28" i="46"/>
  <c r="R28" i="46" s="1"/>
  <c r="G35" i="46"/>
  <c r="H35" i="46" s="1"/>
  <c r="I35" i="46"/>
  <c r="I40" i="46"/>
  <c r="U28" i="46"/>
  <c r="Y28" i="46" s="1"/>
  <c r="U93" i="46"/>
  <c r="U35" i="46"/>
  <c r="V35" i="46" s="1"/>
  <c r="I54" i="46"/>
  <c r="P51" i="46"/>
  <c r="K28" i="46"/>
  <c r="M28" i="46" s="1"/>
  <c r="K35" i="46"/>
  <c r="L35" i="46" s="1"/>
  <c r="S49" i="46"/>
  <c r="U39" i="46"/>
  <c r="X39" i="46" s="1"/>
  <c r="P21" i="46"/>
  <c r="Q21" i="46" s="1"/>
  <c r="P43" i="46"/>
  <c r="R43" i="46" s="1"/>
  <c r="U94" i="46"/>
  <c r="V94" i="46" s="1"/>
  <c r="I43" i="46"/>
  <c r="R49" i="46"/>
  <c r="I55" i="46"/>
  <c r="I39" i="46"/>
  <c r="K39" i="46"/>
  <c r="N39" i="46" s="1"/>
  <c r="K55" i="46"/>
  <c r="M55" i="46" s="1"/>
  <c r="G51" i="46"/>
  <c r="H51" i="46" s="1"/>
  <c r="K56" i="46"/>
  <c r="L56" i="46" s="1"/>
  <c r="G40" i="46"/>
  <c r="H40" i="46" s="1"/>
  <c r="K41" i="46"/>
  <c r="N41" i="46" s="1"/>
  <c r="U51" i="46"/>
  <c r="U55" i="46"/>
  <c r="V55" i="46" s="1"/>
  <c r="U46" i="46"/>
  <c r="Y46" i="46" s="1"/>
  <c r="I36" i="46"/>
  <c r="P37" i="46"/>
  <c r="Q37" i="46" s="1"/>
  <c r="U44" i="46"/>
  <c r="V44" i="46" s="1"/>
  <c r="P39" i="46"/>
  <c r="X56" i="46"/>
  <c r="V56" i="46"/>
  <c r="Y56" i="46"/>
  <c r="X47" i="46"/>
  <c r="Y47" i="46"/>
  <c r="V47" i="46"/>
  <c r="P47" i="46"/>
  <c r="S47" i="46" s="1"/>
  <c r="G22" i="46"/>
  <c r="H22" i="46" s="1"/>
  <c r="P24" i="46"/>
  <c r="R24" i="46" s="1"/>
  <c r="I27" i="46"/>
  <c r="Q35" i="46"/>
  <c r="U25" i="46"/>
  <c r="X25" i="46" s="1"/>
  <c r="I24" i="46"/>
  <c r="U54" i="46"/>
  <c r="V54" i="46" s="1"/>
  <c r="D97" i="46"/>
  <c r="S35" i="46"/>
  <c r="I56" i="46"/>
  <c r="I53" i="46"/>
  <c r="P45" i="46"/>
  <c r="P56" i="46"/>
  <c r="K38" i="46"/>
  <c r="M38" i="46" s="1"/>
  <c r="U24" i="46"/>
  <c r="K36" i="46"/>
  <c r="M36" i="46" s="1"/>
  <c r="K43" i="46"/>
  <c r="M43" i="46" s="1"/>
  <c r="U36" i="46"/>
  <c r="V36" i="46" s="1"/>
  <c r="I44" i="46"/>
  <c r="I47" i="46"/>
  <c r="G47" i="46"/>
  <c r="H47" i="46" s="1"/>
  <c r="K22" i="46"/>
  <c r="K76" i="46"/>
  <c r="M76" i="46" s="1"/>
  <c r="I26" i="46"/>
  <c r="G56" i="46"/>
  <c r="H56" i="46" s="1"/>
  <c r="U42" i="46"/>
  <c r="X42" i="46" s="1"/>
  <c r="P36" i="46"/>
  <c r="S36" i="46" s="1"/>
  <c r="K20" i="46"/>
  <c r="M20" i="46" s="1"/>
  <c r="I33" i="46"/>
  <c r="G55" i="46"/>
  <c r="H55" i="46" s="1"/>
  <c r="G43" i="46"/>
  <c r="H43" i="46" s="1"/>
  <c r="K45" i="46"/>
  <c r="M45" i="46" s="1"/>
  <c r="K37" i="46"/>
  <c r="L37" i="46" s="1"/>
  <c r="G45" i="46"/>
  <c r="H45" i="46" s="1"/>
  <c r="K40" i="46"/>
  <c r="N40" i="46" s="1"/>
  <c r="I28" i="46"/>
  <c r="G76" i="46"/>
  <c r="H76" i="46" s="1"/>
  <c r="K25" i="46"/>
  <c r="L25" i="46" s="1"/>
  <c r="P22" i="46"/>
  <c r="K47" i="46"/>
  <c r="M47" i="46" s="1"/>
  <c r="K44" i="46"/>
  <c r="L44" i="46" s="1"/>
  <c r="I22" i="46"/>
  <c r="S23" i="46"/>
  <c r="Q23" i="46"/>
  <c r="R23" i="46"/>
  <c r="V40" i="46"/>
  <c r="X40" i="46"/>
  <c r="Y40" i="46"/>
  <c r="V53" i="46"/>
  <c r="X53" i="46"/>
  <c r="Y53" i="46"/>
  <c r="Q44" i="46"/>
  <c r="S44" i="46"/>
  <c r="R44" i="46"/>
  <c r="R34" i="46"/>
  <c r="S34" i="46"/>
  <c r="Q34" i="46"/>
  <c r="R46" i="46"/>
  <c r="Q46" i="46"/>
  <c r="S46" i="46"/>
  <c r="V26" i="46"/>
  <c r="X26" i="46"/>
  <c r="Y26" i="46"/>
  <c r="S93" i="46"/>
  <c r="R93" i="46"/>
  <c r="Q93" i="46"/>
  <c r="Q41" i="46"/>
  <c r="R41" i="46"/>
  <c r="S41" i="46"/>
  <c r="Q42" i="46"/>
  <c r="S42" i="46"/>
  <c r="R42" i="46"/>
  <c r="Q29" i="46"/>
  <c r="R29" i="46"/>
  <c r="S29" i="46"/>
  <c r="S55" i="46"/>
  <c r="R55" i="46"/>
  <c r="Q55" i="46"/>
  <c r="Y43" i="46"/>
  <c r="V43" i="46"/>
  <c r="X43" i="46"/>
  <c r="X22" i="46"/>
  <c r="Y22" i="46"/>
  <c r="V22" i="46"/>
  <c r="P48" i="46"/>
  <c r="I34" i="46"/>
  <c r="K27" i="46"/>
  <c r="K52" i="46"/>
  <c r="U48" i="46"/>
  <c r="G52" i="46"/>
  <c r="H52" i="46" s="1"/>
  <c r="G23" i="46"/>
  <c r="H23" i="46" s="1"/>
  <c r="K23" i="46"/>
  <c r="P77" i="46"/>
  <c r="U38" i="46"/>
  <c r="P26" i="46"/>
  <c r="G48" i="46"/>
  <c r="H48" i="46" s="1"/>
  <c r="G26" i="46"/>
  <c r="H26" i="46" s="1"/>
  <c r="U50" i="46"/>
  <c r="R76" i="46"/>
  <c r="I23" i="46"/>
  <c r="I25" i="46"/>
  <c r="G46" i="46"/>
  <c r="H46" i="46" s="1"/>
  <c r="U41" i="46"/>
  <c r="P27" i="46"/>
  <c r="U27" i="46"/>
  <c r="G34" i="46"/>
  <c r="H34" i="46" s="1"/>
  <c r="P53" i="46"/>
  <c r="K29" i="46"/>
  <c r="U52" i="46"/>
  <c r="K34" i="46"/>
  <c r="I41" i="46"/>
  <c r="I29" i="46"/>
  <c r="U37" i="46"/>
  <c r="U29" i="46"/>
  <c r="P50" i="46"/>
  <c r="I46" i="46"/>
  <c r="G38" i="46"/>
  <c r="H38" i="46" s="1"/>
  <c r="P38" i="46"/>
  <c r="K77" i="46"/>
  <c r="S76" i="46"/>
  <c r="I76" i="46"/>
  <c r="G27" i="46"/>
  <c r="H27" i="46" s="1"/>
  <c r="P52" i="46"/>
  <c r="G44" i="46"/>
  <c r="H44" i="46" s="1"/>
  <c r="G42" i="46"/>
  <c r="H42" i="46" s="1"/>
  <c r="U76" i="46"/>
  <c r="P20" i="46"/>
  <c r="Q20" i="46" s="1"/>
  <c r="I12" i="59"/>
  <c r="I84" i="59" s="1"/>
  <c r="X309" i="37"/>
  <c r="U305" i="37"/>
  <c r="V305" i="37" s="1"/>
  <c r="X276" i="37"/>
  <c r="X304" i="37"/>
  <c r="I90" i="16"/>
  <c r="J90" i="16" s="1"/>
  <c r="I100" i="16"/>
  <c r="J100" i="16" s="1"/>
  <c r="J68" i="16"/>
  <c r="J45" i="16"/>
  <c r="J57" i="16"/>
  <c r="J79" i="16"/>
  <c r="U285" i="37"/>
  <c r="X301" i="37"/>
  <c r="U304" i="37"/>
  <c r="U291" i="37"/>
  <c r="V291" i="37" s="1"/>
  <c r="U302" i="37"/>
  <c r="V302" i="37" s="1"/>
  <c r="X274" i="37"/>
  <c r="X293" i="37"/>
  <c r="X278" i="37"/>
  <c r="U292" i="37"/>
  <c r="V292" i="37" s="1"/>
  <c r="X295" i="37"/>
  <c r="Y295" i="37" s="1"/>
  <c r="U294" i="37"/>
  <c r="V294" i="37" s="1"/>
  <c r="X292" i="37"/>
  <c r="Y335" i="37"/>
  <c r="Y346" i="37"/>
  <c r="X349" i="37"/>
  <c r="Y349" i="37" s="1"/>
  <c r="Y343" i="37"/>
  <c r="X348" i="37"/>
  <c r="Y348" i="37" s="1"/>
  <c r="Y323" i="37"/>
  <c r="Y322" i="37"/>
  <c r="Y341" i="37"/>
  <c r="Y344" i="37"/>
  <c r="X357" i="37"/>
  <c r="Y357" i="37" s="1"/>
  <c r="Y334" i="37"/>
  <c r="X356" i="37"/>
  <c r="Y356" i="37" s="1"/>
  <c r="Y330" i="37"/>
  <c r="Y326" i="37"/>
  <c r="X352" i="37"/>
  <c r="Y352" i="37" s="1"/>
  <c r="X327" i="37"/>
  <c r="Y327" i="37" s="1"/>
  <c r="Y345" i="37"/>
  <c r="X355" i="37"/>
  <c r="Y355" i="37" s="1"/>
  <c r="Y325" i="37"/>
  <c r="Y338" i="37"/>
  <c r="Y333" i="37"/>
  <c r="X354" i="37"/>
  <c r="Y354" i="37" s="1"/>
  <c r="X350" i="37"/>
  <c r="Y350" i="37" s="1"/>
  <c r="X353" i="37"/>
  <c r="Y353" i="37" s="1"/>
  <c r="Y324" i="37"/>
  <c r="X358" i="37"/>
  <c r="Y358" i="37" s="1"/>
  <c r="X277" i="37"/>
  <c r="Y277" i="37" s="1"/>
  <c r="X287" i="37"/>
  <c r="U274" i="37"/>
  <c r="U295" i="37"/>
  <c r="V295" i="37" s="1"/>
  <c r="X302" i="37"/>
  <c r="X275" i="37"/>
  <c r="X273" i="37"/>
  <c r="U293" i="37"/>
  <c r="V293" i="37" s="1"/>
  <c r="U308" i="37"/>
  <c r="V308" i="37" s="1"/>
  <c r="X294" i="37"/>
  <c r="Y294" i="37" s="1"/>
  <c r="X282" i="37"/>
  <c r="Y282" i="37" s="1"/>
  <c r="U301" i="37"/>
  <c r="V301" i="37" s="1"/>
  <c r="U281" i="37"/>
  <c r="V281" i="37" s="1"/>
  <c r="U272" i="37"/>
  <c r="X286" i="37"/>
  <c r="X285" i="37"/>
  <c r="X307" i="37"/>
  <c r="X288" i="37"/>
  <c r="X272" i="37"/>
  <c r="Y272" i="37" s="1"/>
  <c r="X297" i="37"/>
  <c r="X299" i="37"/>
  <c r="Y299" i="37" s="1"/>
  <c r="X289" i="37"/>
  <c r="U276" i="37"/>
  <c r="V276" i="37" s="1"/>
  <c r="U279" i="37"/>
  <c r="V279" i="37" s="1"/>
  <c r="X290" i="37"/>
  <c r="U309" i="37"/>
  <c r="U273" i="37"/>
  <c r="U289" i="37"/>
  <c r="V289" i="37" s="1"/>
  <c r="U280" i="37"/>
  <c r="V280" i="37" s="1"/>
  <c r="U306" i="37"/>
  <c r="V306" i="37" s="1"/>
  <c r="U299" i="37"/>
  <c r="V299" i="37" s="1"/>
  <c r="H22" i="56"/>
  <c r="U278" i="37"/>
  <c r="X298" i="37"/>
  <c r="U282" i="37"/>
  <c r="V282" i="37" s="1"/>
  <c r="U277" i="37"/>
  <c r="V277" i="37" s="1"/>
  <c r="X280" i="37"/>
  <c r="U296" i="37"/>
  <c r="V296" i="37" s="1"/>
  <c r="K156" i="16"/>
  <c r="L131" i="16"/>
  <c r="M131" i="16" s="1"/>
  <c r="U288" i="37"/>
  <c r="V288" i="37" s="1"/>
  <c r="X300" i="37"/>
  <c r="X296" i="37"/>
  <c r="Y296" i="37" s="1"/>
  <c r="U275" i="37"/>
  <c r="U300" i="37"/>
  <c r="V300" i="37" s="1"/>
  <c r="X279" i="37"/>
  <c r="V342" i="37"/>
  <c r="V340" i="37"/>
  <c r="V337" i="37"/>
  <c r="V338" i="37"/>
  <c r="V331" i="37"/>
  <c r="V343" i="37"/>
  <c r="V335" i="37"/>
  <c r="V328" i="37"/>
  <c r="V326" i="37"/>
  <c r="V327" i="37"/>
  <c r="V332" i="37"/>
  <c r="V336" i="37"/>
  <c r="V334" i="37"/>
  <c r="V345" i="37"/>
  <c r="V323" i="37"/>
  <c r="M141" i="16"/>
  <c r="L142" i="16"/>
  <c r="M142" i="16" s="1"/>
  <c r="Y347" i="37"/>
  <c r="Y329" i="37"/>
  <c r="Y336" i="37"/>
  <c r="Y321" i="37"/>
  <c r="Y337" i="37"/>
  <c r="M132" i="16"/>
  <c r="M130" i="16"/>
  <c r="X351" i="37"/>
  <c r="Y351" i="37" s="1"/>
  <c r="L136" i="16"/>
  <c r="M136" i="16" s="1"/>
  <c r="M134" i="16"/>
  <c r="Y328" i="37"/>
  <c r="Y342" i="37"/>
  <c r="Y339" i="37"/>
  <c r="Y340" i="37"/>
  <c r="X305" i="37"/>
  <c r="X284" i="37"/>
  <c r="X306" i="37"/>
  <c r="Y306" i="37" s="1"/>
  <c r="U287" i="37"/>
  <c r="U307" i="37"/>
  <c r="V307" i="37" s="1"/>
  <c r="X308" i="37"/>
  <c r="Y308" i="37" s="1"/>
  <c r="X303" i="37"/>
  <c r="X291" i="37"/>
  <c r="U290" i="37"/>
  <c r="V290" i="37" s="1"/>
  <c r="U284" i="37"/>
  <c r="U283" i="37"/>
  <c r="V283" i="37" s="1"/>
  <c r="X283" i="37"/>
  <c r="X281" i="37"/>
  <c r="Y281" i="37" s="1"/>
  <c r="U298" i="37"/>
  <c r="U297" i="37"/>
  <c r="V297" i="37" s="1"/>
  <c r="K116" i="16"/>
  <c r="L135" i="16"/>
  <c r="M135" i="16" s="1"/>
  <c r="S85" i="37"/>
  <c r="M85" i="37"/>
  <c r="I85" i="37" s="1"/>
  <c r="J85" i="37" s="1"/>
  <c r="K85" i="37"/>
  <c r="L85" i="37" s="1"/>
  <c r="K81" i="37"/>
  <c r="L81" i="37" s="1"/>
  <c r="S81" i="37"/>
  <c r="G81" i="37"/>
  <c r="R81" i="37" s="1"/>
  <c r="G206" i="37"/>
  <c r="R206" i="37" s="1"/>
  <c r="S206" i="37"/>
  <c r="K206" i="37"/>
  <c r="L206" i="37" s="1"/>
  <c r="H286" i="37"/>
  <c r="L286" i="37" s="1"/>
  <c r="H335" i="37"/>
  <c r="L335" i="37" s="1"/>
  <c r="R335" i="37" s="1"/>
  <c r="M267" i="37"/>
  <c r="I267" i="37" s="1"/>
  <c r="J267" i="37" s="1"/>
  <c r="H267" i="37"/>
  <c r="S267" i="37"/>
  <c r="S242" i="37"/>
  <c r="K242" i="37"/>
  <c r="L242" i="37" s="1"/>
  <c r="G242" i="37"/>
  <c r="R242" i="37" s="1"/>
  <c r="T351" i="37"/>
  <c r="T331" i="37"/>
  <c r="H56" i="37"/>
  <c r="S50" i="37"/>
  <c r="K50" i="37"/>
  <c r="L50" i="37" s="1"/>
  <c r="M50" i="37"/>
  <c r="I50" i="37" s="1"/>
  <c r="J50" i="37" s="1"/>
  <c r="H50" i="37"/>
  <c r="K89" i="37"/>
  <c r="L89" i="37" s="1"/>
  <c r="G82" i="37"/>
  <c r="R82" i="37" s="1"/>
  <c r="M82" i="37"/>
  <c r="I82" i="37" s="1"/>
  <c r="J82" i="37" s="1"/>
  <c r="S82" i="37"/>
  <c r="G114" i="37"/>
  <c r="K114" i="37"/>
  <c r="L114" i="37" s="1"/>
  <c r="H34" i="37"/>
  <c r="G162" i="37"/>
  <c r="R162" i="37" s="1"/>
  <c r="S162" i="37"/>
  <c r="S154" i="37"/>
  <c r="M154" i="37"/>
  <c r="I154" i="37" s="1"/>
  <c r="J154" i="37" s="1"/>
  <c r="J284" i="37"/>
  <c r="T333" i="37" s="1"/>
  <c r="G168" i="37"/>
  <c r="S168" i="37"/>
  <c r="M168" i="37"/>
  <c r="I168" i="37" s="1"/>
  <c r="J168" i="37" s="1"/>
  <c r="G153" i="37"/>
  <c r="R153" i="37" s="1"/>
  <c r="S153" i="37"/>
  <c r="K153" i="37"/>
  <c r="L153" i="37" s="1"/>
  <c r="S44" i="37"/>
  <c r="K44" i="37"/>
  <c r="L44" i="37" s="1"/>
  <c r="M114" i="37"/>
  <c r="I114" i="37" s="1"/>
  <c r="J114" i="37" s="1"/>
  <c r="S43" i="37"/>
  <c r="R200" i="37"/>
  <c r="H200" i="37"/>
  <c r="S114" i="37"/>
  <c r="G85" i="37"/>
  <c r="R85" i="37" s="1"/>
  <c r="K23" i="37"/>
  <c r="L23" i="37" s="1"/>
  <c r="M23" i="37"/>
  <c r="I23" i="37" s="1"/>
  <c r="J23" i="37" s="1"/>
  <c r="S23" i="37"/>
  <c r="G95" i="37"/>
  <c r="R95" i="37" s="1"/>
  <c r="S95" i="37"/>
  <c r="M95" i="37"/>
  <c r="I95" i="37" s="1"/>
  <c r="J95" i="37" s="1"/>
  <c r="K244" i="37"/>
  <c r="L244" i="37" s="1"/>
  <c r="H279" i="37"/>
  <c r="L279" i="37" s="1"/>
  <c r="H328" i="37"/>
  <c r="L328" i="37" s="1"/>
  <c r="R328" i="37" s="1"/>
  <c r="M49" i="37"/>
  <c r="I49" i="37" s="1"/>
  <c r="J49" i="37" s="1"/>
  <c r="S49" i="37"/>
  <c r="H43" i="37"/>
  <c r="K43" i="37"/>
  <c r="L43" i="37" s="1"/>
  <c r="M34" i="37"/>
  <c r="I34" i="37" s="1"/>
  <c r="J34" i="37" s="1"/>
  <c r="T355" i="37"/>
  <c r="H273" i="37"/>
  <c r="L273" i="37" s="1"/>
  <c r="H322" i="37"/>
  <c r="L322" i="37" s="1"/>
  <c r="R322" i="37" s="1"/>
  <c r="S205" i="37"/>
  <c r="G205" i="37"/>
  <c r="R205" i="37" s="1"/>
  <c r="M205" i="37"/>
  <c r="I205" i="37" s="1"/>
  <c r="J205" i="37" s="1"/>
  <c r="K167" i="37"/>
  <c r="L167" i="37" s="1"/>
  <c r="K239" i="37"/>
  <c r="L239" i="37" s="1"/>
  <c r="H239" i="37"/>
  <c r="K86" i="37"/>
  <c r="L86" i="37" s="1"/>
  <c r="M86" i="37"/>
  <c r="I86" i="37" s="1"/>
  <c r="J86" i="37" s="1"/>
  <c r="H86" i="37"/>
  <c r="J298" i="37"/>
  <c r="G160" i="37"/>
  <c r="R160" i="37" s="1"/>
  <c r="M160" i="37"/>
  <c r="I160" i="37" s="1"/>
  <c r="J160" i="37" s="1"/>
  <c r="S160" i="37"/>
  <c r="M91" i="37"/>
  <c r="I91" i="37" s="1"/>
  <c r="J91" i="37" s="1"/>
  <c r="T328" i="37"/>
  <c r="S196" i="37"/>
  <c r="E229" i="37"/>
  <c r="M196" i="37"/>
  <c r="I196" i="37" s="1"/>
  <c r="M47" i="37"/>
  <c r="I47" i="37" s="1"/>
  <c r="J47" i="37" s="1"/>
  <c r="S47" i="37"/>
  <c r="H353" i="37"/>
  <c r="L353" i="37" s="1"/>
  <c r="R353" i="37" s="1"/>
  <c r="K198" i="37"/>
  <c r="L198" i="37" s="1"/>
  <c r="K26" i="37"/>
  <c r="L26" i="37" s="1"/>
  <c r="S167" i="37"/>
  <c r="J278" i="37"/>
  <c r="T327" i="37" s="1"/>
  <c r="K31" i="37"/>
  <c r="L31" i="37" s="1"/>
  <c r="G90" i="37"/>
  <c r="M25" i="37"/>
  <c r="I25" i="37" s="1"/>
  <c r="J25" i="37" s="1"/>
  <c r="S109" i="37"/>
  <c r="G109" i="37"/>
  <c r="S37" i="37"/>
  <c r="M37" i="37"/>
  <c r="I37" i="37" s="1"/>
  <c r="J37" i="37" s="1"/>
  <c r="G167" i="37"/>
  <c r="R167" i="37" s="1"/>
  <c r="K238" i="37"/>
  <c r="L238" i="37" s="1"/>
  <c r="M238" i="37"/>
  <c r="I238" i="37" s="1"/>
  <c r="J238" i="37" s="1"/>
  <c r="S238" i="37"/>
  <c r="H165" i="37"/>
  <c r="H158" i="37"/>
  <c r="K252" i="37"/>
  <c r="L252" i="37" s="1"/>
  <c r="S55" i="37"/>
  <c r="H293" i="37"/>
  <c r="L293" i="37" s="1"/>
  <c r="H342" i="37"/>
  <c r="L342" i="37" s="1"/>
  <c r="R342" i="37" s="1"/>
  <c r="M90" i="37"/>
  <c r="I90" i="37" s="1"/>
  <c r="J90" i="37" s="1"/>
  <c r="K209" i="37"/>
  <c r="L209" i="37" s="1"/>
  <c r="G209" i="37"/>
  <c r="M201" i="37"/>
  <c r="I201" i="37" s="1"/>
  <c r="J201" i="37" s="1"/>
  <c r="K201" i="37"/>
  <c r="L201" i="37" s="1"/>
  <c r="K186" i="37"/>
  <c r="L186" i="37" s="1"/>
  <c r="H55" i="37"/>
  <c r="N55" i="37" s="1"/>
  <c r="H292" i="37"/>
  <c r="L292" i="37" s="1"/>
  <c r="H341" i="37"/>
  <c r="L341" i="37" s="1"/>
  <c r="R341" i="37" s="1"/>
  <c r="H331" i="37"/>
  <c r="L331" i="37" s="1"/>
  <c r="R331" i="37" s="1"/>
  <c r="H282" i="37"/>
  <c r="L282" i="37" s="1"/>
  <c r="M78" i="37"/>
  <c r="I78" i="37" s="1"/>
  <c r="J78" i="37" s="1"/>
  <c r="M157" i="37"/>
  <c r="I157" i="37" s="1"/>
  <c r="J157" i="37" s="1"/>
  <c r="G157" i="37"/>
  <c r="R157" i="37" s="1"/>
  <c r="G127" i="37"/>
  <c r="R127" i="37" s="1"/>
  <c r="G186" i="37"/>
  <c r="R186" i="37" s="1"/>
  <c r="S157" i="37"/>
  <c r="H228" i="37"/>
  <c r="M99" i="37"/>
  <c r="I99" i="37" s="1"/>
  <c r="J99" i="37" s="1"/>
  <c r="G99" i="37"/>
  <c r="R99" i="37" s="1"/>
  <c r="H88" i="37"/>
  <c r="K88" i="37"/>
  <c r="L88" i="37" s="1"/>
  <c r="G159" i="37"/>
  <c r="R159" i="37" s="1"/>
  <c r="G201" i="37"/>
  <c r="R201" i="37" s="1"/>
  <c r="J274" i="37"/>
  <c r="S246" i="37"/>
  <c r="S228" i="37"/>
  <c r="K228" i="37"/>
  <c r="L228" i="37" s="1"/>
  <c r="M228" i="37"/>
  <c r="I228" i="37" s="1"/>
  <c r="J228" i="37" s="1"/>
  <c r="K208" i="37"/>
  <c r="L208" i="37" s="1"/>
  <c r="H208" i="37"/>
  <c r="S208" i="37"/>
  <c r="M200" i="37"/>
  <c r="I200" i="37" s="1"/>
  <c r="J200" i="37" s="1"/>
  <c r="S200" i="37"/>
  <c r="M170" i="37"/>
  <c r="I170" i="37" s="1"/>
  <c r="J170" i="37" s="1"/>
  <c r="S170" i="37"/>
  <c r="H345" i="37"/>
  <c r="L345" i="37" s="1"/>
  <c r="R345" i="37" s="1"/>
  <c r="M26" i="37"/>
  <c r="I26" i="37" s="1"/>
  <c r="J26" i="37" s="1"/>
  <c r="S201" i="37"/>
  <c r="M198" i="37"/>
  <c r="I198" i="37" s="1"/>
  <c r="J198" i="37" s="1"/>
  <c r="S35" i="37"/>
  <c r="K35" i="37"/>
  <c r="L35" i="37" s="1"/>
  <c r="M29" i="37"/>
  <c r="I29" i="37" s="1"/>
  <c r="J29" i="37" s="1"/>
  <c r="S29" i="37"/>
  <c r="K162" i="37"/>
  <c r="L162" i="37" s="1"/>
  <c r="H324" i="37"/>
  <c r="L324" i="37" s="1"/>
  <c r="R324" i="37" s="1"/>
  <c r="K251" i="37"/>
  <c r="L251" i="37" s="1"/>
  <c r="H48" i="37"/>
  <c r="H47" i="37"/>
  <c r="K27" i="37"/>
  <c r="L27" i="37" s="1"/>
  <c r="K45" i="37"/>
  <c r="L45" i="37" s="1"/>
  <c r="K210" i="37"/>
  <c r="L210" i="37" s="1"/>
  <c r="K160" i="37"/>
  <c r="L160" i="37" s="1"/>
  <c r="H51" i="37"/>
  <c r="T330" i="37"/>
  <c r="S237" i="37"/>
  <c r="G237" i="37"/>
  <c r="R237" i="37" s="1"/>
  <c r="E268" i="37"/>
  <c r="S165" i="37"/>
  <c r="K165" i="37"/>
  <c r="L165" i="37" s="1"/>
  <c r="M165" i="37"/>
  <c r="I165" i="37" s="1"/>
  <c r="J165" i="37" s="1"/>
  <c r="M68" i="37"/>
  <c r="I68" i="37" s="1"/>
  <c r="J68" i="37" s="1"/>
  <c r="G68" i="37"/>
  <c r="R68" i="37" s="1"/>
  <c r="G121" i="37"/>
  <c r="R121" i="37" s="1"/>
  <c r="M121" i="37"/>
  <c r="I121" i="37" s="1"/>
  <c r="J121" i="37" s="1"/>
  <c r="K82" i="37"/>
  <c r="L82" i="37" s="1"/>
  <c r="G249" i="37"/>
  <c r="R249" i="37" s="1"/>
  <c r="S249" i="37"/>
  <c r="K249" i="37"/>
  <c r="L249" i="37" s="1"/>
  <c r="K196" i="37"/>
  <c r="H196" i="37"/>
  <c r="M35" i="37"/>
  <c r="I35" i="37" s="1"/>
  <c r="J35" i="37" s="1"/>
  <c r="H35" i="37"/>
  <c r="K24" i="37"/>
  <c r="L24" i="37" s="1"/>
  <c r="M24" i="37"/>
  <c r="I24" i="37" s="1"/>
  <c r="J24" i="37" s="1"/>
  <c r="H53" i="37"/>
  <c r="K205" i="37"/>
  <c r="L205" i="37" s="1"/>
  <c r="K53" i="37"/>
  <c r="L53" i="37" s="1"/>
  <c r="H22" i="37"/>
  <c r="K91" i="37"/>
  <c r="L91" i="37" s="1"/>
  <c r="S45" i="37"/>
  <c r="S248" i="37"/>
  <c r="K248" i="37"/>
  <c r="L248" i="37" s="1"/>
  <c r="M248" i="37"/>
  <c r="I248" i="37" s="1"/>
  <c r="J248" i="37" s="1"/>
  <c r="G248" i="37"/>
  <c r="R248" i="37" s="1"/>
  <c r="K75" i="37"/>
  <c r="L75" i="37" s="1"/>
  <c r="S66" i="37"/>
  <c r="H66" i="37"/>
  <c r="H291" i="37"/>
  <c r="L291" i="37" s="1"/>
  <c r="H340" i="37"/>
  <c r="L340" i="37" s="1"/>
  <c r="R340" i="37" s="1"/>
  <c r="K95" i="37"/>
  <c r="L95" i="37" s="1"/>
  <c r="M96" i="37"/>
  <c r="I96" i="37" s="1"/>
  <c r="J96" i="37" s="1"/>
  <c r="G96" i="37"/>
  <c r="R96" i="37" s="1"/>
  <c r="K96" i="37"/>
  <c r="L96" i="37" s="1"/>
  <c r="J309" i="37"/>
  <c r="I237" i="37"/>
  <c r="K187" i="37"/>
  <c r="L187" i="37" s="1"/>
  <c r="S187" i="37"/>
  <c r="K159" i="37"/>
  <c r="L159" i="37" s="1"/>
  <c r="S74" i="37"/>
  <c r="G74" i="37"/>
  <c r="K74" i="37"/>
  <c r="L74" i="37" s="1"/>
  <c r="G245" i="37"/>
  <c r="M66" i="37"/>
  <c r="I66" i="37" s="1"/>
  <c r="J66" i="37" s="1"/>
  <c r="M45" i="37"/>
  <c r="I45" i="37" s="1"/>
  <c r="J45" i="37" s="1"/>
  <c r="M51" i="37"/>
  <c r="M144" i="37"/>
  <c r="I144" i="37" s="1"/>
  <c r="J144" i="37" s="1"/>
  <c r="M186" i="37"/>
  <c r="I186" i="37" s="1"/>
  <c r="J186" i="37" s="1"/>
  <c r="S186" i="37"/>
  <c r="M111" i="37"/>
  <c r="I111" i="37" s="1"/>
  <c r="J111" i="37" s="1"/>
  <c r="K28" i="37"/>
  <c r="L28" i="37" s="1"/>
  <c r="M28" i="37"/>
  <c r="S28" i="37"/>
  <c r="H354" i="37"/>
  <c r="L354" i="37" s="1"/>
  <c r="R354" i="37" s="1"/>
  <c r="H305" i="37"/>
  <c r="L305" i="37" s="1"/>
  <c r="K266" i="37"/>
  <c r="L266" i="37" s="1"/>
  <c r="N300" i="37"/>
  <c r="S83" i="37"/>
  <c r="M83" i="37"/>
  <c r="I83" i="37" s="1"/>
  <c r="J83" i="37" s="1"/>
  <c r="G83" i="37"/>
  <c r="R83" i="37" s="1"/>
  <c r="S69" i="37"/>
  <c r="M69" i="37"/>
  <c r="I69" i="37" s="1"/>
  <c r="J69" i="37" s="1"/>
  <c r="K30" i="37"/>
  <c r="L30" i="37" s="1"/>
  <c r="H30" i="37"/>
  <c r="T348" i="37"/>
  <c r="H308" i="37"/>
  <c r="L308" i="37" s="1"/>
  <c r="H357" i="37"/>
  <c r="L357" i="37" s="1"/>
  <c r="R357" i="37" s="1"/>
  <c r="S68" i="37"/>
  <c r="S119" i="37"/>
  <c r="K119" i="37"/>
  <c r="L119" i="37" s="1"/>
  <c r="S244" i="37"/>
  <c r="M244" i="37"/>
  <c r="I244" i="37" s="1"/>
  <c r="J244" i="37" s="1"/>
  <c r="H244" i="37"/>
  <c r="G125" i="37"/>
  <c r="R125" i="37" s="1"/>
  <c r="S125" i="37"/>
  <c r="M125" i="37"/>
  <c r="I125" i="37" s="1"/>
  <c r="J125" i="37" s="1"/>
  <c r="K124" i="37"/>
  <c r="L124" i="37" s="1"/>
  <c r="S227" i="37"/>
  <c r="K227" i="37"/>
  <c r="L227" i="37" s="1"/>
  <c r="M93" i="37"/>
  <c r="I93" i="37" s="1"/>
  <c r="J93" i="37" s="1"/>
  <c r="G122" i="37"/>
  <c r="R122" i="37" s="1"/>
  <c r="H37" i="37"/>
  <c r="K37" i="37"/>
  <c r="L37" i="37" s="1"/>
  <c r="G73" i="37"/>
  <c r="R73" i="37" s="1"/>
  <c r="H32" i="37"/>
  <c r="M122" i="37"/>
  <c r="I122" i="37" s="1"/>
  <c r="J122" i="37" s="1"/>
  <c r="K237" i="37"/>
  <c r="S53" i="37"/>
  <c r="G111" i="37"/>
  <c r="R111" i="37" s="1"/>
  <c r="S199" i="37"/>
  <c r="M48" i="37"/>
  <c r="I48" i="37" s="1"/>
  <c r="J48" i="37" s="1"/>
  <c r="K48" i="37"/>
  <c r="L48" i="37" s="1"/>
  <c r="S48" i="37"/>
  <c r="M42" i="37"/>
  <c r="I42" i="37" s="1"/>
  <c r="J42" i="37" s="1"/>
  <c r="G69" i="37"/>
  <c r="R69" i="37" s="1"/>
  <c r="K33" i="37"/>
  <c r="L33" i="37" s="1"/>
  <c r="S33" i="37"/>
  <c r="K144" i="37"/>
  <c r="L144" i="37" s="1"/>
  <c r="K83" i="37"/>
  <c r="L83" i="37" s="1"/>
  <c r="M118" i="37"/>
  <c r="I118" i="37" s="1"/>
  <c r="J118" i="37" s="1"/>
  <c r="K118" i="37"/>
  <c r="L118" i="37" s="1"/>
  <c r="G118" i="37"/>
  <c r="R118" i="37" s="1"/>
  <c r="S118" i="37"/>
  <c r="K253" i="37"/>
  <c r="L253" i="37" s="1"/>
  <c r="M253" i="37"/>
  <c r="I253" i="37" s="1"/>
  <c r="J253" i="37" s="1"/>
  <c r="G253" i="37"/>
  <c r="R253" i="37" s="1"/>
  <c r="K38" i="37"/>
  <c r="L38" i="37" s="1"/>
  <c r="M38" i="37"/>
  <c r="I38" i="37" s="1"/>
  <c r="J38" i="37" s="1"/>
  <c r="S38" i="37"/>
  <c r="M33" i="37"/>
  <c r="M156" i="37"/>
  <c r="I156" i="37" s="1"/>
  <c r="J156" i="37" s="1"/>
  <c r="S156" i="37"/>
  <c r="S84" i="37"/>
  <c r="M84" i="37"/>
  <c r="I84" i="37" s="1"/>
  <c r="J84" i="37" s="1"/>
  <c r="G84" i="37"/>
  <c r="R84" i="37" s="1"/>
  <c r="S51" i="37"/>
  <c r="G75" i="37"/>
  <c r="R75" i="37" s="1"/>
  <c r="S111" i="37"/>
  <c r="J287" i="37"/>
  <c r="K115" i="37"/>
  <c r="L115" i="37" s="1"/>
  <c r="G77" i="37"/>
  <c r="R77" i="37" s="1"/>
  <c r="M77" i="37"/>
  <c r="I77" i="37" s="1"/>
  <c r="J77" i="37" s="1"/>
  <c r="K77" i="37"/>
  <c r="L77" i="37" s="1"/>
  <c r="S77" i="37"/>
  <c r="K42" i="37"/>
  <c r="L42" i="37" s="1"/>
  <c r="H295" i="37"/>
  <c r="L295" i="37" s="1"/>
  <c r="H344" i="37"/>
  <c r="L344" i="37" s="1"/>
  <c r="R344" i="37" s="1"/>
  <c r="K69" i="37"/>
  <c r="L69" i="37" s="1"/>
  <c r="S245" i="37"/>
  <c r="K245" i="37"/>
  <c r="L245" i="37" s="1"/>
  <c r="S92" i="37"/>
  <c r="G92" i="37"/>
  <c r="R92" i="37" s="1"/>
  <c r="H347" i="37"/>
  <c r="L347" i="37" s="1"/>
  <c r="R347" i="37" s="1"/>
  <c r="H298" i="37"/>
  <c r="L298" i="37" s="1"/>
  <c r="K68" i="37"/>
  <c r="L68" i="37" s="1"/>
  <c r="S27" i="37"/>
  <c r="S71" i="37"/>
  <c r="G71" i="37"/>
  <c r="R71" i="37" s="1"/>
  <c r="K71" i="37"/>
  <c r="L71" i="37" s="1"/>
  <c r="N297" i="37"/>
  <c r="K92" i="37"/>
  <c r="L92" i="37" s="1"/>
  <c r="H297" i="37"/>
  <c r="L297" i="37" s="1"/>
  <c r="H346" i="37"/>
  <c r="L346" i="37" s="1"/>
  <c r="R346" i="37" s="1"/>
  <c r="G119" i="37"/>
  <c r="R119" i="37" s="1"/>
  <c r="K267" i="37"/>
  <c r="L267" i="37" s="1"/>
  <c r="S241" i="37"/>
  <c r="M27" i="37"/>
  <c r="I27" i="37" s="1"/>
  <c r="J27" i="37" s="1"/>
  <c r="G187" i="37"/>
  <c r="M212" i="37"/>
  <c r="I212" i="37" s="1"/>
  <c r="J212" i="37" s="1"/>
  <c r="S212" i="37"/>
  <c r="S99" i="37"/>
  <c r="K99" i="37"/>
  <c r="L99" i="37" s="1"/>
  <c r="S70" i="37"/>
  <c r="K70" i="37"/>
  <c r="L70" i="37" s="1"/>
  <c r="H31" i="37"/>
  <c r="M31" i="37"/>
  <c r="I31" i="37" s="1"/>
  <c r="J31" i="37" s="1"/>
  <c r="K127" i="37"/>
  <c r="L127" i="37" s="1"/>
  <c r="S127" i="37"/>
  <c r="G170" i="37"/>
  <c r="R170" i="37" s="1"/>
  <c r="S164" i="37"/>
  <c r="G164" i="37"/>
  <c r="M158" i="37"/>
  <c r="I158" i="37" s="1"/>
  <c r="J158" i="37" s="1"/>
  <c r="S158" i="37"/>
  <c r="K158" i="37"/>
  <c r="L158" i="37" s="1"/>
  <c r="S112" i="37"/>
  <c r="G112" i="37"/>
  <c r="G98" i="37"/>
  <c r="M98" i="37"/>
  <c r="I98" i="37" s="1"/>
  <c r="J98" i="37" s="1"/>
  <c r="K57" i="37"/>
  <c r="L57" i="37" s="1"/>
  <c r="H52" i="37"/>
  <c r="S52" i="37"/>
  <c r="M52" i="37"/>
  <c r="I52" i="37" s="1"/>
  <c r="J52" i="37" s="1"/>
  <c r="M266" i="37"/>
  <c r="I266" i="37" s="1"/>
  <c r="J266" i="37" s="1"/>
  <c r="G266" i="37"/>
  <c r="R266" i="37" s="1"/>
  <c r="G204" i="37"/>
  <c r="R204" i="37" s="1"/>
  <c r="G124" i="37"/>
  <c r="R124" i="37" s="1"/>
  <c r="M124" i="37"/>
  <c r="I124" i="37" s="1"/>
  <c r="J124" i="37" s="1"/>
  <c r="J304" i="37"/>
  <c r="H306" i="37"/>
  <c r="L306" i="37" s="1"/>
  <c r="K29" i="37"/>
  <c r="L29" i="37" s="1"/>
  <c r="H29" i="37"/>
  <c r="H301" i="37"/>
  <c r="L301" i="37" s="1"/>
  <c r="G254" i="37"/>
  <c r="R254" i="37" s="1"/>
  <c r="S254" i="37"/>
  <c r="K254" i="37"/>
  <c r="L254" i="37" s="1"/>
  <c r="G210" i="37"/>
  <c r="R210" i="37" s="1"/>
  <c r="S210" i="37"/>
  <c r="M44" i="37"/>
  <c r="I44" i="37" s="1"/>
  <c r="J44" i="37" s="1"/>
  <c r="H44" i="37"/>
  <c r="H211" i="37"/>
  <c r="S116" i="37"/>
  <c r="G116" i="37"/>
  <c r="M100" i="37"/>
  <c r="I100" i="37" s="1"/>
  <c r="J100" i="37" s="1"/>
  <c r="G100" i="37"/>
  <c r="R100" i="37" s="1"/>
  <c r="K100" i="37"/>
  <c r="L100" i="37" s="1"/>
  <c r="M79" i="37"/>
  <c r="I79" i="37" s="1"/>
  <c r="J79" i="37" s="1"/>
  <c r="G79" i="37"/>
  <c r="K79" i="37"/>
  <c r="L79" i="37" s="1"/>
  <c r="T345" i="37"/>
  <c r="H49" i="37"/>
  <c r="K49" i="37"/>
  <c r="L49" i="37" s="1"/>
  <c r="J303" i="37"/>
  <c r="S247" i="37"/>
  <c r="M247" i="37"/>
  <c r="I247" i="37" s="1"/>
  <c r="J247" i="37" s="1"/>
  <c r="G240" i="37"/>
  <c r="R240" i="37" s="1"/>
  <c r="S240" i="37"/>
  <c r="S211" i="37"/>
  <c r="K211" i="37"/>
  <c r="L211" i="37" s="1"/>
  <c r="S169" i="37"/>
  <c r="H169" i="37"/>
  <c r="K202" i="37"/>
  <c r="L202" i="37" s="1"/>
  <c r="S202" i="37"/>
  <c r="G154" i="37"/>
  <c r="R154" i="37" s="1"/>
  <c r="M56" i="37"/>
  <c r="I56" i="37" s="1"/>
  <c r="J56" i="37" s="1"/>
  <c r="S56" i="37"/>
  <c r="K46" i="37"/>
  <c r="L46" i="37" s="1"/>
  <c r="K41" i="37"/>
  <c r="L41" i="37" s="1"/>
  <c r="H80" i="37"/>
  <c r="S80" i="37"/>
  <c r="J285" i="37"/>
  <c r="J275" i="37"/>
  <c r="S34" i="37"/>
  <c r="K34" i="37"/>
  <c r="L34" i="37" s="1"/>
  <c r="M46" i="37"/>
  <c r="I46" i="37" s="1"/>
  <c r="J46" i="37" s="1"/>
  <c r="E188" i="37"/>
  <c r="M153" i="37"/>
  <c r="K117" i="37"/>
  <c r="L117" i="37" s="1"/>
  <c r="K36" i="37"/>
  <c r="L36" i="37" s="1"/>
  <c r="M36" i="37"/>
  <c r="H23" i="37"/>
  <c r="G163" i="37"/>
  <c r="S163" i="37"/>
  <c r="K94" i="37"/>
  <c r="L94" i="37" s="1"/>
  <c r="M94" i="37"/>
  <c r="I94" i="37" s="1"/>
  <c r="J94" i="37" s="1"/>
  <c r="H203" i="37"/>
  <c r="K25" i="37"/>
  <c r="L25" i="37" s="1"/>
  <c r="H25" i="37"/>
  <c r="H40" i="37"/>
  <c r="M252" i="37"/>
  <c r="I252" i="37" s="1"/>
  <c r="J252" i="37" s="1"/>
  <c r="G251" i="37"/>
  <c r="R251" i="37" s="1"/>
  <c r="M251" i="37"/>
  <c r="I251" i="37" s="1"/>
  <c r="J251" i="37" s="1"/>
  <c r="K72" i="37"/>
  <c r="L72" i="37" s="1"/>
  <c r="S97" i="37"/>
  <c r="K50" i="16"/>
  <c r="J46" i="16"/>
  <c r="J58" i="16"/>
  <c r="I91" i="16"/>
  <c r="J91" i="16" s="1"/>
  <c r="J80" i="16"/>
  <c r="V20" i="46"/>
  <c r="Y20" i="46"/>
  <c r="G20" i="46"/>
  <c r="H20" i="46" s="1"/>
  <c r="K840" i="64"/>
  <c r="K847" i="64" s="1"/>
  <c r="G164" i="71" s="1"/>
  <c r="E110" i="37"/>
  <c r="H164" i="57" l="1"/>
  <c r="L149" i="57" s="1"/>
  <c r="E13" i="56" s="1"/>
  <c r="H13" i="56" s="1"/>
  <c r="H20" i="56"/>
  <c r="L70" i="46"/>
  <c r="H38" i="56"/>
  <c r="R64" i="39"/>
  <c r="R68" i="39"/>
  <c r="K68" i="39"/>
  <c r="L68" i="39"/>
  <c r="R73" i="39"/>
  <c r="R53" i="39"/>
  <c r="R71" i="39"/>
  <c r="J62" i="39"/>
  <c r="L71" i="39"/>
  <c r="K71" i="39"/>
  <c r="L70" i="39"/>
  <c r="K70" i="39"/>
  <c r="L53" i="39"/>
  <c r="K64" i="39"/>
  <c r="L64" i="39"/>
  <c r="K63" i="39"/>
  <c r="L63" i="39"/>
  <c r="L73" i="39"/>
  <c r="K73" i="39"/>
  <c r="J60" i="39"/>
  <c r="H30" i="56"/>
  <c r="H159" i="37"/>
  <c r="O159" i="37" s="1"/>
  <c r="G44" i="24"/>
  <c r="H87" i="37"/>
  <c r="O87" i="37" s="1"/>
  <c r="H85" i="37"/>
  <c r="H73" i="37"/>
  <c r="H91" i="37"/>
  <c r="N43" i="37"/>
  <c r="N58" i="46"/>
  <c r="R58" i="46"/>
  <c r="N54" i="37"/>
  <c r="S58" i="46"/>
  <c r="H92" i="37"/>
  <c r="G32" i="51"/>
  <c r="G33" i="51" s="1"/>
  <c r="G34" i="51" s="1"/>
  <c r="H113" i="37"/>
  <c r="S74" i="46"/>
  <c r="G44" i="43"/>
  <c r="G45" i="43" s="1"/>
  <c r="G46" i="43" s="1"/>
  <c r="V63" i="46"/>
  <c r="M58" i="46"/>
  <c r="S70" i="46"/>
  <c r="R70" i="46"/>
  <c r="H84" i="37"/>
  <c r="M68" i="46"/>
  <c r="Q273" i="57"/>
  <c r="F25" i="52"/>
  <c r="G26" i="52" s="1"/>
  <c r="G31" i="52" s="1"/>
  <c r="G32" i="52" s="1"/>
  <c r="G34" i="47"/>
  <c r="G37" i="47" s="1"/>
  <c r="H20" i="64" s="1"/>
  <c r="I20" i="64" s="1"/>
  <c r="H25" i="58"/>
  <c r="D30" i="26"/>
  <c r="G57" i="54"/>
  <c r="I113" i="16" s="1"/>
  <c r="J113" i="16" s="1"/>
  <c r="H26" i="35"/>
  <c r="M69" i="46"/>
  <c r="R61" i="46"/>
  <c r="X63" i="46"/>
  <c r="S61" i="46"/>
  <c r="M63" i="46"/>
  <c r="N63" i="46"/>
  <c r="H16" i="56"/>
  <c r="H6" i="56"/>
  <c r="V73" i="46"/>
  <c r="R63" i="46"/>
  <c r="S63" i="46"/>
  <c r="M64" i="46"/>
  <c r="Y68" i="46"/>
  <c r="V68" i="46"/>
  <c r="S73" i="46"/>
  <c r="L69" i="46"/>
  <c r="R73" i="46"/>
  <c r="N65" i="46"/>
  <c r="L65" i="46"/>
  <c r="S69" i="46"/>
  <c r="L64" i="46"/>
  <c r="L61" i="46"/>
  <c r="X73" i="46"/>
  <c r="R69" i="46"/>
  <c r="M61" i="46"/>
  <c r="L73" i="46"/>
  <c r="Q65" i="46"/>
  <c r="N73" i="46"/>
  <c r="G58" i="54"/>
  <c r="G59" i="54" s="1"/>
  <c r="H156" i="37"/>
  <c r="O156" i="37" s="1"/>
  <c r="N60" i="46"/>
  <c r="L60" i="46"/>
  <c r="H12" i="56"/>
  <c r="G53" i="53"/>
  <c r="I112" i="16" s="1"/>
  <c r="X20" i="39"/>
  <c r="X126" i="39" s="1"/>
  <c r="F836" i="64" s="1"/>
  <c r="K836" i="64" s="1"/>
  <c r="W126" i="39"/>
  <c r="F835" i="64" s="1"/>
  <c r="K835" i="64" s="1"/>
  <c r="U126" i="39"/>
  <c r="F834" i="64" s="1"/>
  <c r="I22" i="16"/>
  <c r="J22" i="16" s="1"/>
  <c r="K22" i="16" s="1"/>
  <c r="G29" i="48"/>
  <c r="G30" i="48" s="1"/>
  <c r="F36" i="56"/>
  <c r="G32" i="56"/>
  <c r="H32" i="56" s="1"/>
  <c r="I833" i="64"/>
  <c r="I139" i="16"/>
  <c r="J139" i="16" s="1"/>
  <c r="G20" i="16"/>
  <c r="K20" i="16" s="1"/>
  <c r="Q270" i="57"/>
  <c r="I826" i="64"/>
  <c r="I133" i="16"/>
  <c r="J133" i="16" s="1"/>
  <c r="G39" i="50"/>
  <c r="G40" i="50" s="1"/>
  <c r="G74" i="16"/>
  <c r="K74" i="16" s="1"/>
  <c r="F790" i="64"/>
  <c r="K790" i="64" s="1"/>
  <c r="I822" i="64"/>
  <c r="I129" i="16"/>
  <c r="J129" i="16" s="1"/>
  <c r="G39" i="49"/>
  <c r="G40" i="49" s="1"/>
  <c r="J11" i="24"/>
  <c r="G45" i="24"/>
  <c r="G46" i="24" s="1"/>
  <c r="H27" i="35"/>
  <c r="H28" i="35" s="1"/>
  <c r="I834" i="64"/>
  <c r="H48" i="34"/>
  <c r="F35" i="56"/>
  <c r="G31" i="56"/>
  <c r="H31" i="56" s="1"/>
  <c r="G85" i="16"/>
  <c r="K85" i="16" s="1"/>
  <c r="G95" i="16"/>
  <c r="K95" i="16" s="1"/>
  <c r="X60" i="46"/>
  <c r="Q60" i="46"/>
  <c r="S60" i="46"/>
  <c r="X65" i="46"/>
  <c r="R65" i="46"/>
  <c r="Y65" i="46"/>
  <c r="V60" i="46"/>
  <c r="O36" i="37"/>
  <c r="N113" i="37"/>
  <c r="H115" i="37"/>
  <c r="L48" i="39"/>
  <c r="K48" i="39"/>
  <c r="K34" i="39"/>
  <c r="L34" i="39"/>
  <c r="L41" i="39"/>
  <c r="K41" i="39"/>
  <c r="L26" i="39"/>
  <c r="K26" i="39"/>
  <c r="L24" i="39"/>
  <c r="K24" i="39"/>
  <c r="L42" i="39"/>
  <c r="K42" i="39"/>
  <c r="L28" i="39"/>
  <c r="K28" i="39"/>
  <c r="L25" i="39"/>
  <c r="K25" i="39"/>
  <c r="L40" i="39"/>
  <c r="K40" i="39"/>
  <c r="K22" i="39"/>
  <c r="L22" i="39"/>
  <c r="L38" i="39"/>
  <c r="K38" i="39"/>
  <c r="L35" i="39"/>
  <c r="K35" i="39"/>
  <c r="K23" i="39"/>
  <c r="L23" i="39"/>
  <c r="L20" i="39"/>
  <c r="K20" i="39"/>
  <c r="L29" i="39"/>
  <c r="K29" i="39"/>
  <c r="L36" i="39"/>
  <c r="K36" i="39"/>
  <c r="L47" i="39"/>
  <c r="K47" i="39"/>
  <c r="K61" i="39"/>
  <c r="L61" i="39"/>
  <c r="L54" i="39"/>
  <c r="K54" i="39"/>
  <c r="K52" i="39"/>
  <c r="L52" i="39"/>
  <c r="L51" i="39"/>
  <c r="K51" i="39"/>
  <c r="L56" i="39"/>
  <c r="K56" i="39"/>
  <c r="L76" i="39"/>
  <c r="K76" i="39"/>
  <c r="L55" i="39"/>
  <c r="K55" i="39"/>
  <c r="L57" i="39"/>
  <c r="K57" i="39"/>
  <c r="L58" i="39"/>
  <c r="K58" i="39"/>
  <c r="L74" i="39"/>
  <c r="K74" i="39"/>
  <c r="L65" i="39"/>
  <c r="K65" i="39"/>
  <c r="H252" i="37"/>
  <c r="N252" i="37" s="1"/>
  <c r="H198" i="37"/>
  <c r="N198" i="37" s="1"/>
  <c r="H123" i="37"/>
  <c r="N123" i="37" s="1"/>
  <c r="N267" i="37"/>
  <c r="H161" i="37"/>
  <c r="N161" i="37" s="1"/>
  <c r="O57" i="37"/>
  <c r="H241" i="37"/>
  <c r="O241" i="37" s="1"/>
  <c r="H126" i="37"/>
  <c r="O126" i="37" s="1"/>
  <c r="H93" i="37"/>
  <c r="N93" i="37" s="1"/>
  <c r="V274" i="37"/>
  <c r="H70" i="37"/>
  <c r="O70" i="37" s="1"/>
  <c r="N33" i="37"/>
  <c r="H100" i="37"/>
  <c r="N100" i="37" s="1"/>
  <c r="N78" i="37"/>
  <c r="R246" i="37"/>
  <c r="O208" i="37"/>
  <c r="H125" i="37"/>
  <c r="O125" i="37" s="1"/>
  <c r="O227" i="37"/>
  <c r="H250" i="37"/>
  <c r="O250" i="37" s="1"/>
  <c r="O155" i="37"/>
  <c r="H199" i="37"/>
  <c r="O199" i="37" s="1"/>
  <c r="O43" i="37"/>
  <c r="H207" i="37"/>
  <c r="O207" i="37" s="1"/>
  <c r="H166" i="37"/>
  <c r="O166" i="37" s="1"/>
  <c r="H96" i="37"/>
  <c r="O96" i="37" s="1"/>
  <c r="R247" i="37"/>
  <c r="H83" i="37"/>
  <c r="N83" i="37" s="1"/>
  <c r="N197" i="37"/>
  <c r="P197" i="37" s="1"/>
  <c r="P229" i="37" s="1"/>
  <c r="O197" i="37"/>
  <c r="N227" i="37"/>
  <c r="H117" i="37"/>
  <c r="O117" i="37" s="1"/>
  <c r="N239" i="37"/>
  <c r="N39" i="37"/>
  <c r="N208" i="37"/>
  <c r="O202" i="37"/>
  <c r="N202" i="37"/>
  <c r="H162" i="37"/>
  <c r="O162" i="37" s="1"/>
  <c r="O267" i="37"/>
  <c r="H76" i="37"/>
  <c r="H157" i="37"/>
  <c r="N157" i="37" s="1"/>
  <c r="O26" i="37"/>
  <c r="N57" i="37"/>
  <c r="H82" i="37"/>
  <c r="O82" i="37" s="1"/>
  <c r="O54" i="37"/>
  <c r="H154" i="37"/>
  <c r="N154" i="37" s="1"/>
  <c r="N238" i="37"/>
  <c r="P238" i="37" s="1"/>
  <c r="P268" i="37" s="1"/>
  <c r="O239" i="37"/>
  <c r="H97" i="37"/>
  <c r="N97" i="37" s="1"/>
  <c r="N88" i="37"/>
  <c r="H89" i="37"/>
  <c r="N89" i="37" s="1"/>
  <c r="L188" i="37"/>
  <c r="N86" i="37"/>
  <c r="H68" i="37"/>
  <c r="O68" i="37" s="1"/>
  <c r="O39" i="37"/>
  <c r="H120" i="37"/>
  <c r="R120" i="37"/>
  <c r="O228" i="37"/>
  <c r="O55" i="37"/>
  <c r="H69" i="37"/>
  <c r="O69" i="37" s="1"/>
  <c r="N47" i="37"/>
  <c r="H213" i="37"/>
  <c r="H251" i="37"/>
  <c r="H242" i="37"/>
  <c r="N242" i="37" s="1"/>
  <c r="N48" i="37"/>
  <c r="N228" i="37"/>
  <c r="H206" i="37"/>
  <c r="O206" i="37" s="1"/>
  <c r="H243" i="37"/>
  <c r="H71" i="37"/>
  <c r="N71" i="37" s="1"/>
  <c r="V278" i="37"/>
  <c r="H72" i="37"/>
  <c r="H201" i="37"/>
  <c r="N201" i="37" s="1"/>
  <c r="O158" i="37"/>
  <c r="O165" i="37"/>
  <c r="S229" i="37"/>
  <c r="H212" i="37"/>
  <c r="O212" i="37" s="1"/>
  <c r="H77" i="37"/>
  <c r="N77" i="37" s="1"/>
  <c r="O56" i="37"/>
  <c r="I155" i="37"/>
  <c r="J155" i="37" s="1"/>
  <c r="N155" i="37"/>
  <c r="L66" i="46"/>
  <c r="L75" i="46"/>
  <c r="Y279" i="37"/>
  <c r="N73" i="37"/>
  <c r="Y278" i="37"/>
  <c r="Y284" i="37"/>
  <c r="AA57" i="39"/>
  <c r="AA126" i="39" s="1"/>
  <c r="AB54" i="39"/>
  <c r="AC54" i="39" s="1"/>
  <c r="Y57" i="39"/>
  <c r="Y126" i="39" s="1"/>
  <c r="Z57" i="39"/>
  <c r="Z126" i="39" s="1"/>
  <c r="AB55" i="39"/>
  <c r="AC55" i="39" s="1"/>
  <c r="AB51" i="39"/>
  <c r="AC51" i="39" s="1"/>
  <c r="AB50" i="39"/>
  <c r="AC50" i="39" s="1"/>
  <c r="AB52" i="39"/>
  <c r="AC52" i="39" s="1"/>
  <c r="AD126" i="39"/>
  <c r="F849" i="64" s="1"/>
  <c r="K849" i="64" s="1"/>
  <c r="K850" i="64" s="1"/>
  <c r="S23" i="39"/>
  <c r="AB56" i="39"/>
  <c r="AC56" i="39" s="1"/>
  <c r="P126" i="39"/>
  <c r="R57" i="39"/>
  <c r="G139" i="16"/>
  <c r="R59" i="39"/>
  <c r="J59" i="39"/>
  <c r="R125" i="39"/>
  <c r="J125" i="39"/>
  <c r="AB53" i="39"/>
  <c r="AC53" i="39" s="1"/>
  <c r="M66" i="46"/>
  <c r="X62" i="46"/>
  <c r="Q57" i="46"/>
  <c r="S57" i="46"/>
  <c r="V62" i="46"/>
  <c r="L67" i="46"/>
  <c r="V67" i="46"/>
  <c r="M62" i="46"/>
  <c r="M67" i="46"/>
  <c r="Y67" i="46"/>
  <c r="N71" i="46"/>
  <c r="N62" i="46"/>
  <c r="M75" i="46"/>
  <c r="L71" i="46"/>
  <c r="V72" i="46"/>
  <c r="X72" i="46"/>
  <c r="Q75" i="46"/>
  <c r="X57" i="46"/>
  <c r="Q71" i="46"/>
  <c r="S71" i="46"/>
  <c r="Y75" i="46"/>
  <c r="V75" i="46"/>
  <c r="R75" i="46"/>
  <c r="V57" i="46"/>
  <c r="V61" i="46"/>
  <c r="R72" i="46"/>
  <c r="L57" i="46"/>
  <c r="Q72" i="46"/>
  <c r="Q66" i="46"/>
  <c r="R66" i="46"/>
  <c r="X61" i="46"/>
  <c r="M57" i="46"/>
  <c r="Y77" i="46"/>
  <c r="X77" i="46"/>
  <c r="N94" i="46"/>
  <c r="L93" i="46"/>
  <c r="M93" i="46"/>
  <c r="S25" i="46"/>
  <c r="R54" i="46"/>
  <c r="Q54" i="46"/>
  <c r="N48" i="46"/>
  <c r="L49" i="46"/>
  <c r="N49" i="46"/>
  <c r="Y23" i="46"/>
  <c r="R25" i="46"/>
  <c r="S94" i="46"/>
  <c r="Q28" i="46"/>
  <c r="L48" i="46"/>
  <c r="X33" i="46"/>
  <c r="M50" i="46"/>
  <c r="X54" i="46"/>
  <c r="L50" i="46"/>
  <c r="L94" i="46"/>
  <c r="V45" i="46"/>
  <c r="R94" i="46"/>
  <c r="N26" i="46"/>
  <c r="X28" i="46"/>
  <c r="Y49" i="46"/>
  <c r="R20" i="46"/>
  <c r="X45" i="46"/>
  <c r="Y34" i="46"/>
  <c r="U21" i="46"/>
  <c r="Y21" i="46" s="1"/>
  <c r="Q43" i="46"/>
  <c r="X49" i="46"/>
  <c r="Y54" i="46"/>
  <c r="M39" i="46"/>
  <c r="N55" i="46"/>
  <c r="Y33" i="46"/>
  <c r="L33" i="46"/>
  <c r="L39" i="46"/>
  <c r="M33" i="46"/>
  <c r="X23" i="46"/>
  <c r="Q33" i="46"/>
  <c r="X35" i="46"/>
  <c r="L43" i="46"/>
  <c r="I21" i="46"/>
  <c r="S43" i="46"/>
  <c r="M46" i="46"/>
  <c r="N24" i="46"/>
  <c r="L42" i="46"/>
  <c r="M42" i="46"/>
  <c r="K21" i="46"/>
  <c r="K97" i="46" s="1"/>
  <c r="N45" i="46"/>
  <c r="N46" i="46"/>
  <c r="G21" i="46"/>
  <c r="H21" i="46" s="1"/>
  <c r="N37" i="46"/>
  <c r="M37" i="46"/>
  <c r="L53" i="46"/>
  <c r="N54" i="46"/>
  <c r="N43" i="46"/>
  <c r="M53" i="46"/>
  <c r="Y35" i="46"/>
  <c r="V28" i="46"/>
  <c r="L51" i="46"/>
  <c r="Y36" i="46"/>
  <c r="L24" i="46"/>
  <c r="Q36" i="46"/>
  <c r="V25" i="46"/>
  <c r="M51" i="46"/>
  <c r="S33" i="46"/>
  <c r="E97" i="46"/>
  <c r="M26" i="46"/>
  <c r="R21" i="46"/>
  <c r="S21" i="46"/>
  <c r="M56" i="46"/>
  <c r="V34" i="46"/>
  <c r="V46" i="46"/>
  <c r="X51" i="46"/>
  <c r="V51" i="46"/>
  <c r="Y51" i="46"/>
  <c r="L28" i="46"/>
  <c r="M41" i="46"/>
  <c r="N28" i="46"/>
  <c r="L41" i="46"/>
  <c r="Y25" i="46"/>
  <c r="X36" i="46"/>
  <c r="Y39" i="46"/>
  <c r="N56" i="46"/>
  <c r="L47" i="46"/>
  <c r="N35" i="46"/>
  <c r="V93" i="46"/>
  <c r="X93" i="46"/>
  <c r="Y93" i="46"/>
  <c r="Y55" i="46"/>
  <c r="Y42" i="46"/>
  <c r="N47" i="46"/>
  <c r="M35" i="46"/>
  <c r="L40" i="46"/>
  <c r="V42" i="46"/>
  <c r="X44" i="46"/>
  <c r="L55" i="46"/>
  <c r="M40" i="46"/>
  <c r="S40" i="46"/>
  <c r="Q40" i="46"/>
  <c r="R40" i="46"/>
  <c r="Q51" i="46"/>
  <c r="S51" i="46"/>
  <c r="R51" i="46"/>
  <c r="X55" i="46"/>
  <c r="V39" i="46"/>
  <c r="L54" i="46"/>
  <c r="S28" i="46"/>
  <c r="Y94" i="46"/>
  <c r="X94" i="46"/>
  <c r="N44" i="46"/>
  <c r="S37" i="46"/>
  <c r="R37" i="46"/>
  <c r="Q39" i="46"/>
  <c r="S39" i="46"/>
  <c r="R39" i="46"/>
  <c r="X46" i="46"/>
  <c r="Y44" i="46"/>
  <c r="N36" i="46"/>
  <c r="S22" i="46"/>
  <c r="R22" i="46"/>
  <c r="N22" i="46"/>
  <c r="M22" i="46"/>
  <c r="L22" i="46"/>
  <c r="Q47" i="46"/>
  <c r="R47" i="46"/>
  <c r="N20" i="46"/>
  <c r="N38" i="46"/>
  <c r="L20" i="46"/>
  <c r="N25" i="46"/>
  <c r="L38" i="46"/>
  <c r="N76" i="46"/>
  <c r="S56" i="46"/>
  <c r="R56" i="46"/>
  <c r="Q56" i="46"/>
  <c r="Q24" i="46"/>
  <c r="S45" i="46"/>
  <c r="R45" i="46"/>
  <c r="Q45" i="46"/>
  <c r="M25" i="46"/>
  <c r="L76" i="46"/>
  <c r="Q22" i="46"/>
  <c r="S24" i="46"/>
  <c r="L45" i="46"/>
  <c r="V24" i="46"/>
  <c r="X24" i="46"/>
  <c r="Y24" i="46"/>
  <c r="R36" i="46"/>
  <c r="M44" i="46"/>
  <c r="L36" i="46"/>
  <c r="Y41" i="46"/>
  <c r="X41" i="46"/>
  <c r="V41" i="46"/>
  <c r="X37" i="46"/>
  <c r="V37" i="46"/>
  <c r="Y37" i="46"/>
  <c r="R77" i="46"/>
  <c r="Q77" i="46"/>
  <c r="S77" i="46"/>
  <c r="N23" i="46"/>
  <c r="M23" i="46"/>
  <c r="L23" i="46"/>
  <c r="P97" i="46"/>
  <c r="V76" i="46"/>
  <c r="X76" i="46"/>
  <c r="Y76" i="46"/>
  <c r="L77" i="46"/>
  <c r="M77" i="46"/>
  <c r="N77" i="46"/>
  <c r="M34" i="46"/>
  <c r="L34" i="46"/>
  <c r="N34" i="46"/>
  <c r="Q52" i="46"/>
  <c r="R52" i="46"/>
  <c r="S52" i="46"/>
  <c r="Q26" i="46"/>
  <c r="R26" i="46"/>
  <c r="S26" i="46"/>
  <c r="Q38" i="46"/>
  <c r="S38" i="46"/>
  <c r="R38" i="46"/>
  <c r="V52" i="46"/>
  <c r="X52" i="46"/>
  <c r="Y52" i="46"/>
  <c r="Q48" i="46"/>
  <c r="R48" i="46"/>
  <c r="S48" i="46"/>
  <c r="S20" i="46"/>
  <c r="Y27" i="46"/>
  <c r="V27" i="46"/>
  <c r="X27" i="46"/>
  <c r="Y50" i="46"/>
  <c r="X50" i="46"/>
  <c r="V50" i="46"/>
  <c r="V38" i="46"/>
  <c r="Y38" i="46"/>
  <c r="X38" i="46"/>
  <c r="R50" i="46"/>
  <c r="S50" i="46"/>
  <c r="Q50" i="46"/>
  <c r="R53" i="46"/>
  <c r="S53" i="46"/>
  <c r="Q53" i="46"/>
  <c r="X48" i="46"/>
  <c r="V48" i="46"/>
  <c r="Y48" i="46"/>
  <c r="X29" i="46"/>
  <c r="V29" i="46"/>
  <c r="Y29" i="46"/>
  <c r="Q27" i="46"/>
  <c r="R27" i="46"/>
  <c r="S27" i="46"/>
  <c r="L27" i="46"/>
  <c r="M27" i="46"/>
  <c r="N27" i="46"/>
  <c r="M29" i="46"/>
  <c r="N29" i="46"/>
  <c r="L29" i="46"/>
  <c r="N52" i="46"/>
  <c r="L52" i="46"/>
  <c r="M52" i="46"/>
  <c r="Y288" i="37"/>
  <c r="N165" i="37"/>
  <c r="O51" i="37"/>
  <c r="H75" i="37"/>
  <c r="O75" i="37" s="1"/>
  <c r="V298" i="37"/>
  <c r="O200" i="37"/>
  <c r="T337" i="37"/>
  <c r="H186" i="37"/>
  <c r="N186" i="37" s="1"/>
  <c r="H160" i="37"/>
  <c r="O160" i="37" s="1"/>
  <c r="H127" i="37"/>
  <c r="O86" i="37"/>
  <c r="Y301" i="37"/>
  <c r="T350" i="37"/>
  <c r="H81" i="37"/>
  <c r="O144" i="37"/>
  <c r="R114" i="37"/>
  <c r="H114" i="37"/>
  <c r="H153" i="37"/>
  <c r="N153" i="37" s="1"/>
  <c r="T340" i="37"/>
  <c r="Y291" i="37"/>
  <c r="N26" i="37"/>
  <c r="Y302" i="37"/>
  <c r="V284" i="37"/>
  <c r="O88" i="37"/>
  <c r="T323" i="37"/>
  <c r="Y274" i="37"/>
  <c r="H167" i="37"/>
  <c r="O238" i="37"/>
  <c r="Y307" i="37"/>
  <c r="T356" i="37"/>
  <c r="Y283" i="37"/>
  <c r="T332" i="37"/>
  <c r="H95" i="37"/>
  <c r="O47" i="37"/>
  <c r="N144" i="37"/>
  <c r="H124" i="37"/>
  <c r="N124" i="37" s="1"/>
  <c r="H209" i="37"/>
  <c r="R209" i="37"/>
  <c r="R229" i="37" s="1"/>
  <c r="H109" i="37"/>
  <c r="R109" i="37"/>
  <c r="N50" i="37"/>
  <c r="O50" i="37"/>
  <c r="Y292" i="37"/>
  <c r="T341" i="37"/>
  <c r="H99" i="37"/>
  <c r="O99" i="37" s="1"/>
  <c r="H90" i="37"/>
  <c r="R90" i="37"/>
  <c r="R168" i="37"/>
  <c r="H168" i="37"/>
  <c r="N200" i="37"/>
  <c r="H249" i="37"/>
  <c r="N249" i="37" s="1"/>
  <c r="O34" i="37"/>
  <c r="N34" i="37"/>
  <c r="H240" i="37"/>
  <c r="O240" i="37" s="1"/>
  <c r="H205" i="37"/>
  <c r="O78" i="37"/>
  <c r="O45" i="37"/>
  <c r="N45" i="37"/>
  <c r="M188" i="37"/>
  <c r="I153" i="37"/>
  <c r="O42" i="37"/>
  <c r="N42" i="37"/>
  <c r="O24" i="37"/>
  <c r="N24" i="37"/>
  <c r="O46" i="37"/>
  <c r="H98" i="37"/>
  <c r="R98" i="37"/>
  <c r="H111" i="37"/>
  <c r="V287" i="37"/>
  <c r="N94" i="37"/>
  <c r="N32" i="37"/>
  <c r="O32" i="37"/>
  <c r="N35" i="37"/>
  <c r="O35" i="37"/>
  <c r="N28" i="37"/>
  <c r="O28" i="37"/>
  <c r="I28" i="37"/>
  <c r="J28" i="37" s="1"/>
  <c r="O30" i="37"/>
  <c r="N30" i="37"/>
  <c r="Y297" i="37"/>
  <c r="T346" i="37"/>
  <c r="R74" i="37"/>
  <c r="H74" i="37"/>
  <c r="N169" i="37"/>
  <c r="O169" i="37"/>
  <c r="N46" i="37"/>
  <c r="R112" i="37"/>
  <c r="H112" i="37"/>
  <c r="N38" i="37"/>
  <c r="O38" i="37"/>
  <c r="N29" i="37"/>
  <c r="O29" i="37"/>
  <c r="H121" i="37"/>
  <c r="O247" i="37"/>
  <c r="N247" i="37"/>
  <c r="O196" i="37"/>
  <c r="N196" i="37"/>
  <c r="H254" i="37"/>
  <c r="O22" i="37"/>
  <c r="N22" i="37"/>
  <c r="H122" i="37"/>
  <c r="H118" i="37"/>
  <c r="O23" i="37"/>
  <c r="N23" i="37"/>
  <c r="O31" i="37"/>
  <c r="N31" i="37"/>
  <c r="O115" i="37"/>
  <c r="N115" i="37"/>
  <c r="H204" i="37"/>
  <c r="R116" i="37"/>
  <c r="H116" i="37"/>
  <c r="M229" i="37"/>
  <c r="H245" i="37"/>
  <c r="R245" i="37"/>
  <c r="L196" i="37"/>
  <c r="L229" i="37" s="1"/>
  <c r="K229" i="37"/>
  <c r="O40" i="37"/>
  <c r="N40" i="37"/>
  <c r="K188" i="37"/>
  <c r="F794" i="64" s="1"/>
  <c r="K794" i="64" s="1"/>
  <c r="J196" i="37"/>
  <c r="J229" i="37" s="1"/>
  <c r="I229" i="37"/>
  <c r="T354" i="37"/>
  <c r="Y305" i="37"/>
  <c r="N41" i="37"/>
  <c r="O41" i="37"/>
  <c r="S188" i="37"/>
  <c r="F800" i="64" s="1"/>
  <c r="K800" i="64" s="1"/>
  <c r="O244" i="37"/>
  <c r="N244" i="37"/>
  <c r="N246" i="37"/>
  <c r="O246" i="37"/>
  <c r="N56" i="37"/>
  <c r="N52" i="37"/>
  <c r="O52" i="37"/>
  <c r="Y300" i="37"/>
  <c r="T349" i="37"/>
  <c r="N25" i="37"/>
  <c r="O25" i="37"/>
  <c r="H266" i="37"/>
  <c r="Y290" i="37"/>
  <c r="T339" i="37"/>
  <c r="S268" i="37"/>
  <c r="K268" i="37"/>
  <c r="L237" i="37"/>
  <c r="L268" i="37" s="1"/>
  <c r="I33" i="37"/>
  <c r="J33" i="37" s="1"/>
  <c r="O33" i="37"/>
  <c r="I36" i="37"/>
  <c r="J36" i="37" s="1"/>
  <c r="N36" i="37"/>
  <c r="O53" i="37"/>
  <c r="N53" i="37"/>
  <c r="N66" i="37"/>
  <c r="O66" i="37"/>
  <c r="V275" i="37"/>
  <c r="N211" i="37"/>
  <c r="O211" i="37"/>
  <c r="N304" i="37"/>
  <c r="V304" i="37"/>
  <c r="H164" i="37"/>
  <c r="R164" i="37"/>
  <c r="H237" i="37"/>
  <c r="H253" i="37"/>
  <c r="H248" i="37"/>
  <c r="O48" i="37"/>
  <c r="M268" i="37"/>
  <c r="J237" i="37"/>
  <c r="J268" i="37" s="1"/>
  <c r="I268" i="37"/>
  <c r="N51" i="37"/>
  <c r="I51" i="37"/>
  <c r="J51" i="37" s="1"/>
  <c r="N203" i="37"/>
  <c r="O203" i="37"/>
  <c r="Y286" i="37"/>
  <c r="T335" i="37"/>
  <c r="H119" i="37"/>
  <c r="O27" i="37"/>
  <c r="N27" i="37"/>
  <c r="N80" i="37"/>
  <c r="O80" i="37"/>
  <c r="V303" i="37"/>
  <c r="N37" i="37"/>
  <c r="O37" i="37"/>
  <c r="T329" i="37"/>
  <c r="Y280" i="37"/>
  <c r="R163" i="37"/>
  <c r="H163" i="37"/>
  <c r="N49" i="37"/>
  <c r="O49" i="37"/>
  <c r="N156" i="37"/>
  <c r="Y289" i="37"/>
  <c r="T338" i="37"/>
  <c r="R79" i="37"/>
  <c r="H79" i="37"/>
  <c r="T325" i="37"/>
  <c r="Y276" i="37"/>
  <c r="O44" i="37"/>
  <c r="N44" i="37"/>
  <c r="V309" i="37"/>
  <c r="V285" i="37"/>
  <c r="H210" i="37"/>
  <c r="H170" i="37"/>
  <c r="R187" i="37"/>
  <c r="H187" i="37"/>
  <c r="Y293" i="37"/>
  <c r="T342" i="37"/>
  <c r="N158" i="37"/>
  <c r="O94" i="37"/>
  <c r="I20" i="46"/>
  <c r="E67" i="37"/>
  <c r="Q126" i="39"/>
  <c r="O21" i="39"/>
  <c r="R21" i="39" s="1"/>
  <c r="E145" i="37"/>
  <c r="G110" i="37"/>
  <c r="R110" i="37" s="1"/>
  <c r="S110" i="37"/>
  <c r="S145" i="37" s="1"/>
  <c r="M110" i="37"/>
  <c r="K110" i="37"/>
  <c r="K139" i="16" l="1"/>
  <c r="H29" i="56"/>
  <c r="G166" i="71"/>
  <c r="H26" i="58" s="1"/>
  <c r="J13" i="43"/>
  <c r="K62" i="39"/>
  <c r="L62" i="39"/>
  <c r="L60" i="39"/>
  <c r="K60" i="39"/>
  <c r="G54" i="53"/>
  <c r="G55" i="53" s="1"/>
  <c r="K20" i="64"/>
  <c r="I140" i="16"/>
  <c r="J140" i="16" s="1"/>
  <c r="M140" i="16" s="1"/>
  <c r="G33" i="52"/>
  <c r="G34" i="52" s="1"/>
  <c r="D32" i="26"/>
  <c r="AN30" i="26"/>
  <c r="AD30" i="26"/>
  <c r="V30" i="26"/>
  <c r="AF30" i="26"/>
  <c r="N30" i="26"/>
  <c r="R30" i="26"/>
  <c r="X30" i="26"/>
  <c r="Z30" i="26"/>
  <c r="AJ30" i="26"/>
  <c r="AH30" i="26"/>
  <c r="P30" i="26"/>
  <c r="AL30" i="26"/>
  <c r="AB30" i="26"/>
  <c r="J30" i="26"/>
  <c r="T30" i="26"/>
  <c r="L30" i="26"/>
  <c r="G142" i="16"/>
  <c r="K142" i="16" s="1"/>
  <c r="O113" i="37"/>
  <c r="U356" i="37"/>
  <c r="V356" i="37" s="1"/>
  <c r="U349" i="37"/>
  <c r="V349" i="37" s="1"/>
  <c r="U358" i="37"/>
  <c r="V358" i="37" s="1"/>
  <c r="U348" i="37"/>
  <c r="V348" i="37" s="1"/>
  <c r="U353" i="37"/>
  <c r="V353" i="37" s="1"/>
  <c r="U351" i="37"/>
  <c r="V351" i="37" s="1"/>
  <c r="U352" i="37"/>
  <c r="V352" i="37" s="1"/>
  <c r="U350" i="37"/>
  <c r="V350" i="37" s="1"/>
  <c r="U354" i="37"/>
  <c r="V354" i="37" s="1"/>
  <c r="U357" i="37"/>
  <c r="V357" i="37" s="1"/>
  <c r="U355" i="37"/>
  <c r="V355" i="37" s="1"/>
  <c r="G140" i="16"/>
  <c r="K19" i="64"/>
  <c r="G100" i="16"/>
  <c r="K100" i="16" s="1"/>
  <c r="G35" i="16"/>
  <c r="K35" i="16" s="1"/>
  <c r="F751" i="64"/>
  <c r="K751" i="64" s="1"/>
  <c r="G88" i="16"/>
  <c r="K88" i="16" s="1"/>
  <c r="G93" i="16"/>
  <c r="K93" i="16" s="1"/>
  <c r="G99" i="16"/>
  <c r="K99" i="16" s="1"/>
  <c r="F39" i="56"/>
  <c r="G39" i="56" s="1"/>
  <c r="H39" i="56" s="1"/>
  <c r="G35" i="56"/>
  <c r="H35" i="56" s="1"/>
  <c r="M133" i="16"/>
  <c r="G94" i="16"/>
  <c r="K94" i="16" s="1"/>
  <c r="N91" i="37"/>
  <c r="P91" i="37" s="1"/>
  <c r="AA334" i="37"/>
  <c r="AA342" i="37"/>
  <c r="AB342" i="37" s="1"/>
  <c r="J112" i="16"/>
  <c r="AA322" i="37"/>
  <c r="AA354" i="37"/>
  <c r="AB354" i="37" s="1"/>
  <c r="AA358" i="37"/>
  <c r="AA357" i="37"/>
  <c r="AB357" i="37" s="1"/>
  <c r="AA350" i="37"/>
  <c r="AB350" i="37" s="1"/>
  <c r="AA339" i="37"/>
  <c r="AB339" i="37" s="1"/>
  <c r="AA348" i="37"/>
  <c r="AB348" i="37" s="1"/>
  <c r="AA323" i="37"/>
  <c r="AB323" i="37" s="1"/>
  <c r="AA352" i="37"/>
  <c r="AA336" i="37"/>
  <c r="AA355" i="37"/>
  <c r="AB355" i="37" s="1"/>
  <c r="AA353" i="37"/>
  <c r="AA351" i="37"/>
  <c r="AB351" i="37" s="1"/>
  <c r="AA333" i="37"/>
  <c r="AB333" i="37" s="1"/>
  <c r="AA331" i="37"/>
  <c r="AB331" i="37" s="1"/>
  <c r="AA337" i="37"/>
  <c r="AB337" i="37" s="1"/>
  <c r="AA347" i="37"/>
  <c r="AA356" i="37"/>
  <c r="AB356" i="37" s="1"/>
  <c r="AA349" i="37"/>
  <c r="AB349" i="37" s="1"/>
  <c r="AA335" i="37"/>
  <c r="AB335" i="37" s="1"/>
  <c r="AA332" i="37"/>
  <c r="AA343" i="37"/>
  <c r="AB343" i="37" s="1"/>
  <c r="AA338" i="37"/>
  <c r="AB338" i="37" s="1"/>
  <c r="AA325" i="37"/>
  <c r="AB325" i="37" s="1"/>
  <c r="AA329" i="37"/>
  <c r="AB329" i="37" s="1"/>
  <c r="AA341" i="37"/>
  <c r="AA328" i="37"/>
  <c r="AB328" i="37" s="1"/>
  <c r="AA345" i="37"/>
  <c r="AB345" i="37" s="1"/>
  <c r="AA327" i="37"/>
  <c r="AB327" i="37" s="1"/>
  <c r="AA321" i="37"/>
  <c r="AB321" i="37" s="1"/>
  <c r="AA330" i="37"/>
  <c r="AB330" i="37" s="1"/>
  <c r="AA326" i="37"/>
  <c r="AB326" i="37" s="1"/>
  <c r="AA344" i="37"/>
  <c r="AB344" i="37" s="1"/>
  <c r="AA324" i="37"/>
  <c r="AA340" i="37"/>
  <c r="AB340" i="37" s="1"/>
  <c r="AA346" i="37"/>
  <c r="AB346" i="37" s="1"/>
  <c r="G104" i="16"/>
  <c r="K104" i="16" s="1"/>
  <c r="G89" i="16"/>
  <c r="K89" i="16" s="1"/>
  <c r="G129" i="16"/>
  <c r="K129" i="16" s="1"/>
  <c r="F822" i="64"/>
  <c r="K822" i="64" s="1"/>
  <c r="I21" i="16"/>
  <c r="J21" i="16" s="1"/>
  <c r="K21" i="16" s="1"/>
  <c r="M129" i="16"/>
  <c r="G73" i="16"/>
  <c r="K73" i="16" s="1"/>
  <c r="F789" i="64"/>
  <c r="K789" i="64" s="1"/>
  <c r="G97" i="16"/>
  <c r="K97" i="16" s="1"/>
  <c r="G98" i="16"/>
  <c r="K98" i="16" s="1"/>
  <c r="G123" i="16"/>
  <c r="K123" i="16" s="1"/>
  <c r="F816" i="64"/>
  <c r="K816" i="64" s="1"/>
  <c r="G37" i="16"/>
  <c r="K37" i="16" s="1"/>
  <c r="F753" i="64"/>
  <c r="K753" i="64" s="1"/>
  <c r="AB332" i="37"/>
  <c r="G38" i="16"/>
  <c r="K38" i="16" s="1"/>
  <c r="F754" i="64"/>
  <c r="K754" i="64" s="1"/>
  <c r="G144" i="16"/>
  <c r="K144" i="16" s="1"/>
  <c r="K834" i="64"/>
  <c r="AB341" i="37"/>
  <c r="G145" i="16"/>
  <c r="K145" i="16" s="1"/>
  <c r="M139" i="16"/>
  <c r="G63" i="16"/>
  <c r="K63" i="16" s="1"/>
  <c r="F779" i="64"/>
  <c r="K779" i="64" s="1"/>
  <c r="G90" i="16"/>
  <c r="K90" i="16" s="1"/>
  <c r="K833" i="64"/>
  <c r="G143" i="16"/>
  <c r="K143" i="16" s="1"/>
  <c r="G119" i="16"/>
  <c r="K119" i="16" s="1"/>
  <c r="F812" i="64"/>
  <c r="K812" i="64" s="1"/>
  <c r="G87" i="16"/>
  <c r="K87" i="16" s="1"/>
  <c r="G158" i="16"/>
  <c r="K158" i="16" s="1"/>
  <c r="K159" i="16" s="1"/>
  <c r="F40" i="56"/>
  <c r="G40" i="56" s="1"/>
  <c r="H40" i="56" s="1"/>
  <c r="G36" i="56"/>
  <c r="H36" i="56" s="1"/>
  <c r="Q30" i="37"/>
  <c r="P30" i="37"/>
  <c r="P83" i="37"/>
  <c r="Q83" i="37"/>
  <c r="P28" i="37"/>
  <c r="Q28" i="37"/>
  <c r="Q155" i="37"/>
  <c r="P155" i="37"/>
  <c r="P80" i="37"/>
  <c r="Q80" i="37"/>
  <c r="Q29" i="37"/>
  <c r="P29" i="37"/>
  <c r="P158" i="37"/>
  <c r="Q158" i="37"/>
  <c r="G84" i="16"/>
  <c r="K84" i="16" s="1"/>
  <c r="O123" i="37"/>
  <c r="P169" i="37"/>
  <c r="Q169" i="37"/>
  <c r="P71" i="37"/>
  <c r="Q71" i="37"/>
  <c r="P24" i="37"/>
  <c r="Q24" i="37"/>
  <c r="P25" i="37"/>
  <c r="Q25" i="37"/>
  <c r="P161" i="37"/>
  <c r="Q161" i="37"/>
  <c r="P77" i="37"/>
  <c r="Q77" i="37"/>
  <c r="P86" i="37"/>
  <c r="Q86" i="37"/>
  <c r="Q88" i="37"/>
  <c r="P88" i="37"/>
  <c r="P78" i="37"/>
  <c r="Q78" i="37"/>
  <c r="G78" i="16"/>
  <c r="K78" i="16" s="1"/>
  <c r="Q22" i="37"/>
  <c r="P22" i="37"/>
  <c r="Q165" i="37"/>
  <c r="P165" i="37"/>
  <c r="P26" i="37"/>
  <c r="Q26" i="37"/>
  <c r="Q123" i="37"/>
  <c r="P123" i="37"/>
  <c r="P115" i="37"/>
  <c r="Q115" i="37"/>
  <c r="Q73" i="37"/>
  <c r="P73" i="37"/>
  <c r="P27" i="37"/>
  <c r="Q27" i="37"/>
  <c r="P124" i="37"/>
  <c r="Q124" i="37"/>
  <c r="Q157" i="37"/>
  <c r="P157" i="37"/>
  <c r="Q156" i="37"/>
  <c r="P156" i="37"/>
  <c r="N70" i="37"/>
  <c r="P31" i="37"/>
  <c r="Q31" i="37"/>
  <c r="P23" i="37"/>
  <c r="Q23" i="37"/>
  <c r="P89" i="37"/>
  <c r="Q89" i="37"/>
  <c r="G38" i="47"/>
  <c r="G39" i="47" s="1"/>
  <c r="I23" i="16"/>
  <c r="J23" i="16" s="1"/>
  <c r="K23" i="16" s="1"/>
  <c r="K125" i="39"/>
  <c r="L125" i="39"/>
  <c r="L59" i="39"/>
  <c r="K59" i="39"/>
  <c r="Q186" i="37"/>
  <c r="P186" i="37"/>
  <c r="P144" i="37"/>
  <c r="Q144" i="37"/>
  <c r="P93" i="37"/>
  <c r="Q93" i="37"/>
  <c r="P94" i="37"/>
  <c r="Q94" i="37"/>
  <c r="P113" i="37"/>
  <c r="Q113" i="37"/>
  <c r="O198" i="37"/>
  <c r="O252" i="37"/>
  <c r="O93" i="37"/>
  <c r="N241" i="37"/>
  <c r="O161" i="37"/>
  <c r="N126" i="37"/>
  <c r="R268" i="37"/>
  <c r="O100" i="37"/>
  <c r="N125" i="37"/>
  <c r="O83" i="37"/>
  <c r="N166" i="37"/>
  <c r="N207" i="37"/>
  <c r="N96" i="37"/>
  <c r="N159" i="37"/>
  <c r="N69" i="37"/>
  <c r="N199" i="37"/>
  <c r="N250" i="37"/>
  <c r="O157" i="37"/>
  <c r="N87" i="37"/>
  <c r="N117" i="37"/>
  <c r="Q197" i="37"/>
  <c r="Q229" i="37" s="1"/>
  <c r="O91" i="37"/>
  <c r="O73" i="37"/>
  <c r="N162" i="37"/>
  <c r="N68" i="37"/>
  <c r="O89" i="37"/>
  <c r="O201" i="37"/>
  <c r="O242" i="37"/>
  <c r="O97" i="37"/>
  <c r="N82" i="37"/>
  <c r="N76" i="37"/>
  <c r="O76" i="37"/>
  <c r="N251" i="37"/>
  <c r="O251" i="37"/>
  <c r="Q238" i="37"/>
  <c r="Q268" i="37" s="1"/>
  <c r="O154" i="37"/>
  <c r="N75" i="37"/>
  <c r="O243" i="37"/>
  <c r="N243" i="37"/>
  <c r="N213" i="37"/>
  <c r="O213" i="37"/>
  <c r="O124" i="37"/>
  <c r="O153" i="37"/>
  <c r="O71" i="37"/>
  <c r="O249" i="37"/>
  <c r="Q154" i="37"/>
  <c r="P154" i="37"/>
  <c r="N206" i="37"/>
  <c r="N212" i="37"/>
  <c r="O77" i="37"/>
  <c r="N240" i="37"/>
  <c r="N72" i="37"/>
  <c r="O72" i="37"/>
  <c r="N120" i="37"/>
  <c r="O120" i="37"/>
  <c r="AB57" i="39"/>
  <c r="AC57" i="39" s="1"/>
  <c r="G141" i="16"/>
  <c r="K141" i="16" s="1"/>
  <c r="V21" i="46"/>
  <c r="V97" i="46" s="1"/>
  <c r="U97" i="46"/>
  <c r="X21" i="46"/>
  <c r="X97" i="46" s="1"/>
  <c r="G97" i="46"/>
  <c r="N21" i="46"/>
  <c r="N97" i="46" s="1"/>
  <c r="M21" i="46"/>
  <c r="M97" i="46" s="1"/>
  <c r="L21" i="46"/>
  <c r="S97" i="46"/>
  <c r="Q97" i="46"/>
  <c r="R97" i="46"/>
  <c r="I97" i="46"/>
  <c r="Y97" i="46"/>
  <c r="N127" i="37"/>
  <c r="O127" i="37"/>
  <c r="N209" i="37"/>
  <c r="O209" i="37"/>
  <c r="N160" i="37"/>
  <c r="N99" i="37"/>
  <c r="O85" i="37"/>
  <c r="N85" i="37"/>
  <c r="O90" i="37"/>
  <c r="N90" i="37"/>
  <c r="O167" i="37"/>
  <c r="N167" i="37"/>
  <c r="O186" i="37"/>
  <c r="N114" i="37"/>
  <c r="O114" i="37"/>
  <c r="H188" i="37"/>
  <c r="N95" i="37"/>
  <c r="O95" i="37"/>
  <c r="O81" i="37"/>
  <c r="N81" i="37"/>
  <c r="R145" i="37"/>
  <c r="F788" i="64" s="1"/>
  <c r="K788" i="64" s="1"/>
  <c r="O109" i="37"/>
  <c r="N109" i="37"/>
  <c r="O205" i="37"/>
  <c r="N205" i="37"/>
  <c r="T347" i="37"/>
  <c r="AB347" i="37" s="1"/>
  <c r="Y298" i="37"/>
  <c r="R188" i="37"/>
  <c r="F799" i="64" s="1"/>
  <c r="K799" i="64" s="1"/>
  <c r="N168" i="37"/>
  <c r="O168" i="37"/>
  <c r="N79" i="37"/>
  <c r="O79" i="37"/>
  <c r="O245" i="37"/>
  <c r="N245" i="37"/>
  <c r="O187" i="37"/>
  <c r="N187" i="37"/>
  <c r="N122" i="37"/>
  <c r="O122" i="37"/>
  <c r="N170" i="37"/>
  <c r="O170" i="37"/>
  <c r="N119" i="37"/>
  <c r="O119" i="37"/>
  <c r="N111" i="37"/>
  <c r="O111" i="37"/>
  <c r="N98" i="37"/>
  <c r="O98" i="37"/>
  <c r="T353" i="37"/>
  <c r="Y304" i="37"/>
  <c r="T324" i="37"/>
  <c r="Y275" i="37"/>
  <c r="Y303" i="37"/>
  <c r="T352" i="37"/>
  <c r="N118" i="37"/>
  <c r="O118" i="37"/>
  <c r="N210" i="37"/>
  <c r="O210" i="37"/>
  <c r="O204" i="37"/>
  <c r="N204" i="37"/>
  <c r="O84" i="37"/>
  <c r="N84" i="37"/>
  <c r="J153" i="37"/>
  <c r="J188" i="37" s="1"/>
  <c r="I188" i="37"/>
  <c r="N254" i="37"/>
  <c r="O254" i="37"/>
  <c r="O266" i="37"/>
  <c r="N266" i="37"/>
  <c r="O116" i="37"/>
  <c r="N116" i="37"/>
  <c r="N248" i="37"/>
  <c r="O248" i="37"/>
  <c r="Y287" i="37"/>
  <c r="T336" i="37"/>
  <c r="N164" i="37"/>
  <c r="O164" i="37"/>
  <c r="N121" i="37"/>
  <c r="O121" i="37"/>
  <c r="O112" i="37"/>
  <c r="N112" i="37"/>
  <c r="O74" i="37"/>
  <c r="N74" i="37"/>
  <c r="N253" i="37"/>
  <c r="O253" i="37"/>
  <c r="H229" i="37"/>
  <c r="N163" i="37"/>
  <c r="O163" i="37"/>
  <c r="T334" i="37"/>
  <c r="AB334" i="37" s="1"/>
  <c r="Y285" i="37"/>
  <c r="T358" i="37"/>
  <c r="Y309" i="37"/>
  <c r="O237" i="37"/>
  <c r="H268" i="37"/>
  <c r="N237" i="37"/>
  <c r="O92" i="37"/>
  <c r="N92" i="37"/>
  <c r="C360" i="37"/>
  <c r="J322" i="37"/>
  <c r="H97" i="46"/>
  <c r="I110" i="37"/>
  <c r="M145" i="37"/>
  <c r="M67" i="37"/>
  <c r="K67" i="37"/>
  <c r="S67" i="37"/>
  <c r="S101" i="37" s="1"/>
  <c r="G67" i="37"/>
  <c r="R67" i="37" s="1"/>
  <c r="E101" i="37"/>
  <c r="O126" i="39"/>
  <c r="H110" i="37"/>
  <c r="K145" i="37"/>
  <c r="F783" i="64" s="1"/>
  <c r="K783" i="64" s="1"/>
  <c r="L110" i="37"/>
  <c r="L145" i="37" s="1"/>
  <c r="K140" i="16" l="1"/>
  <c r="Q91" i="37"/>
  <c r="AB336" i="37"/>
  <c r="AB352" i="37"/>
  <c r="AB324" i="37"/>
  <c r="AB358" i="37"/>
  <c r="K25" i="16"/>
  <c r="AN32" i="26"/>
  <c r="AL32" i="26"/>
  <c r="AJ32" i="26"/>
  <c r="AB353" i="37"/>
  <c r="K22" i="64"/>
  <c r="G13" i="71" s="1"/>
  <c r="G96" i="16"/>
  <c r="K96" i="16" s="1"/>
  <c r="G120" i="16"/>
  <c r="K120" i="16" s="1"/>
  <c r="F813" i="64"/>
  <c r="K813" i="64" s="1"/>
  <c r="G62" i="16"/>
  <c r="K62" i="16" s="1"/>
  <c r="F778" i="64"/>
  <c r="K778" i="64" s="1"/>
  <c r="G132" i="16"/>
  <c r="K132" i="16" s="1"/>
  <c r="F825" i="64"/>
  <c r="K825" i="64" s="1"/>
  <c r="G135" i="16"/>
  <c r="K135" i="16" s="1"/>
  <c r="F828" i="64"/>
  <c r="K828" i="64" s="1"/>
  <c r="G133" i="16"/>
  <c r="K133" i="16" s="1"/>
  <c r="F826" i="64"/>
  <c r="K826" i="64" s="1"/>
  <c r="G136" i="16"/>
  <c r="K136" i="16" s="1"/>
  <c r="F829" i="64"/>
  <c r="K829" i="64" s="1"/>
  <c r="G134" i="16"/>
  <c r="K134" i="16" s="1"/>
  <c r="F827" i="64"/>
  <c r="K827" i="64" s="1"/>
  <c r="G121" i="16"/>
  <c r="K121" i="16" s="1"/>
  <c r="F814" i="64"/>
  <c r="K814" i="64" s="1"/>
  <c r="G122" i="16"/>
  <c r="K122" i="16" s="1"/>
  <c r="F815" i="64"/>
  <c r="K815" i="64" s="1"/>
  <c r="G125" i="16"/>
  <c r="K125" i="16" s="1"/>
  <c r="F818" i="64"/>
  <c r="K818" i="64" s="1"/>
  <c r="G131" i="16"/>
  <c r="K131" i="16" s="1"/>
  <c r="F824" i="64"/>
  <c r="K824" i="64" s="1"/>
  <c r="G27" i="16"/>
  <c r="K27" i="16" s="1"/>
  <c r="F743" i="64"/>
  <c r="K743" i="64" s="1"/>
  <c r="G110" i="16"/>
  <c r="K110" i="16" s="1"/>
  <c r="F806" i="64"/>
  <c r="G126" i="16"/>
  <c r="K126" i="16" s="1"/>
  <c r="F819" i="64"/>
  <c r="K819" i="64" s="1"/>
  <c r="H33" i="56"/>
  <c r="G36" i="16"/>
  <c r="K36" i="16" s="1"/>
  <c r="F752" i="64"/>
  <c r="K752" i="64" s="1"/>
  <c r="G52" i="16"/>
  <c r="K52" i="16" s="1"/>
  <c r="F768" i="64"/>
  <c r="K768" i="64" s="1"/>
  <c r="G75" i="16"/>
  <c r="K75" i="16" s="1"/>
  <c r="F791" i="64"/>
  <c r="K791" i="64" s="1"/>
  <c r="G130" i="16"/>
  <c r="K130" i="16" s="1"/>
  <c r="F823" i="64"/>
  <c r="K823" i="64" s="1"/>
  <c r="G86" i="16"/>
  <c r="K86" i="16" s="1"/>
  <c r="G76" i="16"/>
  <c r="K76" i="16" s="1"/>
  <c r="F792" i="64"/>
  <c r="K792" i="64" s="1"/>
  <c r="H37" i="56"/>
  <c r="G77" i="16"/>
  <c r="K77" i="16" s="1"/>
  <c r="F793" i="64"/>
  <c r="K793" i="64" s="1"/>
  <c r="G103" i="16"/>
  <c r="K103" i="16" s="1"/>
  <c r="H47" i="56"/>
  <c r="R126" i="39"/>
  <c r="F744" i="64" s="1"/>
  <c r="K744" i="64" s="1"/>
  <c r="S21" i="39"/>
  <c r="S126" i="39" s="1"/>
  <c r="P68" i="37"/>
  <c r="Q68" i="37"/>
  <c r="P163" i="37"/>
  <c r="Q163" i="37"/>
  <c r="Q166" i="37"/>
  <c r="P166" i="37"/>
  <c r="P90" i="37"/>
  <c r="Q90" i="37"/>
  <c r="Q81" i="37"/>
  <c r="P81" i="37"/>
  <c r="P160" i="37"/>
  <c r="Q160" i="37"/>
  <c r="Q74" i="37"/>
  <c r="P74" i="37"/>
  <c r="Q79" i="37"/>
  <c r="P79" i="37"/>
  <c r="P125" i="37"/>
  <c r="Q125" i="37"/>
  <c r="P122" i="37"/>
  <c r="Q122" i="37"/>
  <c r="Q116" i="37"/>
  <c r="P116" i="37"/>
  <c r="Q162" i="37"/>
  <c r="P162" i="37"/>
  <c r="Q112" i="37"/>
  <c r="P112" i="37"/>
  <c r="P168" i="37"/>
  <c r="Q168" i="37"/>
  <c r="Q119" i="37"/>
  <c r="P119" i="37"/>
  <c r="P75" i="37"/>
  <c r="Q75" i="37"/>
  <c r="P159" i="37"/>
  <c r="Q159" i="37"/>
  <c r="P111" i="37"/>
  <c r="Q111" i="37"/>
  <c r="P120" i="37"/>
  <c r="Q120" i="37"/>
  <c r="G83" i="16"/>
  <c r="K83" i="16" s="1"/>
  <c r="Q76" i="37"/>
  <c r="P76" i="37"/>
  <c r="P117" i="37"/>
  <c r="Q117" i="37"/>
  <c r="P114" i="37"/>
  <c r="Q114" i="37"/>
  <c r="P167" i="37"/>
  <c r="Q167" i="37"/>
  <c r="P70" i="37"/>
  <c r="Q70" i="37"/>
  <c r="P69" i="37"/>
  <c r="Q69" i="37"/>
  <c r="P118" i="37"/>
  <c r="Q118" i="37"/>
  <c r="P126" i="37"/>
  <c r="Q126" i="37"/>
  <c r="Q72" i="37"/>
  <c r="P72" i="37"/>
  <c r="Q82" i="37"/>
  <c r="P82" i="37"/>
  <c r="Q121" i="37"/>
  <c r="P121" i="37"/>
  <c r="P170" i="37"/>
  <c r="Q170" i="37"/>
  <c r="Q164" i="37"/>
  <c r="P164" i="37"/>
  <c r="K21" i="39"/>
  <c r="K126" i="39" s="1"/>
  <c r="L21" i="39"/>
  <c r="L126" i="39" s="1"/>
  <c r="P87" i="37"/>
  <c r="Q87" i="37"/>
  <c r="P85" i="37"/>
  <c r="Q85" i="37"/>
  <c r="Q127" i="37"/>
  <c r="P127" i="37"/>
  <c r="G67" i="16"/>
  <c r="K67" i="16" s="1"/>
  <c r="G72" i="16"/>
  <c r="K72" i="16" s="1"/>
  <c r="P84" i="37"/>
  <c r="Q84" i="37"/>
  <c r="P92" i="37"/>
  <c r="Q92" i="37"/>
  <c r="P187" i="37"/>
  <c r="Q187" i="37"/>
  <c r="P96" i="37"/>
  <c r="Q96" i="37"/>
  <c r="P95" i="37"/>
  <c r="Q95" i="37"/>
  <c r="N229" i="37"/>
  <c r="O229" i="37"/>
  <c r="AB126" i="39"/>
  <c r="AC126" i="39"/>
  <c r="H67" i="37"/>
  <c r="R101" i="37"/>
  <c r="F777" i="64" s="1"/>
  <c r="K777" i="64" s="1"/>
  <c r="L97" i="46"/>
  <c r="O188" i="37"/>
  <c r="F798" i="64" s="1"/>
  <c r="K798" i="64" s="1"/>
  <c r="N188" i="37"/>
  <c r="F795" i="64" s="1"/>
  <c r="K795" i="64" s="1"/>
  <c r="N268" i="37"/>
  <c r="O268" i="37"/>
  <c r="N110" i="37"/>
  <c r="O110" i="37"/>
  <c r="O145" i="37" s="1"/>
  <c r="F787" i="64" s="1"/>
  <c r="K787" i="64" s="1"/>
  <c r="H145" i="37"/>
  <c r="F780" i="64" s="1"/>
  <c r="K780" i="64" s="1"/>
  <c r="C273" i="37"/>
  <c r="E21" i="37"/>
  <c r="J360" i="37"/>
  <c r="V322" i="37"/>
  <c r="M84" i="59"/>
  <c r="K101" i="37"/>
  <c r="F772" i="64" s="1"/>
  <c r="K772" i="64" s="1"/>
  <c r="L67" i="37"/>
  <c r="L101" i="37" s="1"/>
  <c r="I67" i="37"/>
  <c r="M101" i="37"/>
  <c r="J110" i="37"/>
  <c r="J145" i="37" s="1"/>
  <c r="F782" i="64" s="1"/>
  <c r="K782" i="64" s="1"/>
  <c r="I145" i="37"/>
  <c r="F781" i="64" s="1"/>
  <c r="K781" i="64" s="1"/>
  <c r="H46" i="56" l="1"/>
  <c r="K137" i="16"/>
  <c r="H17" i="58"/>
  <c r="D16" i="26"/>
  <c r="P84" i="59"/>
  <c r="K830" i="64"/>
  <c r="G160" i="71" s="1"/>
  <c r="G91" i="16"/>
  <c r="K91" i="16" s="1"/>
  <c r="G33" i="16"/>
  <c r="K33" i="16" s="1"/>
  <c r="F749" i="64"/>
  <c r="K749" i="64" s="1"/>
  <c r="G32" i="16"/>
  <c r="K32" i="16" s="1"/>
  <c r="F748" i="64"/>
  <c r="K748" i="64" s="1"/>
  <c r="G29" i="16"/>
  <c r="K29" i="16" s="1"/>
  <c r="F745" i="64"/>
  <c r="K745" i="64" s="1"/>
  <c r="K746" i="64" s="1"/>
  <c r="G103" i="71" s="1"/>
  <c r="G102" i="16"/>
  <c r="K102" i="16" s="1"/>
  <c r="K806" i="64"/>
  <c r="F807" i="64"/>
  <c r="K807" i="64" s="1"/>
  <c r="G101" i="16"/>
  <c r="K101" i="16" s="1"/>
  <c r="G147" i="16"/>
  <c r="K147" i="16" s="1"/>
  <c r="G146" i="16"/>
  <c r="K146" i="16" s="1"/>
  <c r="G124" i="16"/>
  <c r="K124" i="16" s="1"/>
  <c r="K127" i="16" s="1"/>
  <c r="F817" i="64"/>
  <c r="K817" i="64" s="1"/>
  <c r="K21" i="37"/>
  <c r="G111" i="16"/>
  <c r="K111" i="16" s="1"/>
  <c r="G28" i="16"/>
  <c r="K28" i="16" s="1"/>
  <c r="H43" i="56"/>
  <c r="H48" i="56"/>
  <c r="I161" i="16"/>
  <c r="J161" i="16" s="1"/>
  <c r="K161" i="16" s="1"/>
  <c r="K162" i="16" s="1"/>
  <c r="G92" i="16"/>
  <c r="K92" i="16" s="1"/>
  <c r="G34" i="16"/>
  <c r="K34" i="16" s="1"/>
  <c r="F750" i="64"/>
  <c r="K750" i="64" s="1"/>
  <c r="N67" i="37"/>
  <c r="N101" i="37" s="1"/>
  <c r="F773" i="64" s="1"/>
  <c r="K773" i="64" s="1"/>
  <c r="G79" i="16"/>
  <c r="K79" i="16" s="1"/>
  <c r="Q188" i="37"/>
  <c r="P188" i="37"/>
  <c r="G82" i="16"/>
  <c r="K82" i="16" s="1"/>
  <c r="G66" i="16"/>
  <c r="K66" i="16" s="1"/>
  <c r="G65" i="16"/>
  <c r="K65" i="16" s="1"/>
  <c r="G71" i="16"/>
  <c r="K71" i="16" s="1"/>
  <c r="G64" i="16"/>
  <c r="K64" i="16" s="1"/>
  <c r="G61" i="16"/>
  <c r="K61" i="16" s="1"/>
  <c r="G56" i="16"/>
  <c r="K56" i="16" s="1"/>
  <c r="O67" i="37"/>
  <c r="O101" i="37" s="1"/>
  <c r="F776" i="64" s="1"/>
  <c r="K776" i="64" s="1"/>
  <c r="H101" i="37"/>
  <c r="F769" i="64" s="1"/>
  <c r="K769" i="64" s="1"/>
  <c r="N145" i="37"/>
  <c r="F784" i="64" s="1"/>
  <c r="K784" i="64" s="1"/>
  <c r="Q110" i="37"/>
  <c r="Q145" i="37" s="1"/>
  <c r="P110" i="37"/>
  <c r="P145" i="37" s="1"/>
  <c r="H21" i="37"/>
  <c r="S21" i="37"/>
  <c r="M21" i="37"/>
  <c r="L84" i="59"/>
  <c r="J273" i="37"/>
  <c r="J67" i="37"/>
  <c r="J101" i="37" s="1"/>
  <c r="F771" i="64" s="1"/>
  <c r="K771" i="64" s="1"/>
  <c r="I101" i="37"/>
  <c r="F770" i="64" s="1"/>
  <c r="K770" i="64" s="1"/>
  <c r="K756" i="64" l="1"/>
  <c r="J84" i="59"/>
  <c r="D26" i="26"/>
  <c r="AN26" i="26" s="1"/>
  <c r="D20" i="26"/>
  <c r="F16" i="26"/>
  <c r="N84" i="59"/>
  <c r="K837" i="64"/>
  <c r="AJ16" i="26"/>
  <c r="AH16" i="26"/>
  <c r="AF16" i="26"/>
  <c r="AL16" i="26"/>
  <c r="P67" i="37"/>
  <c r="P101" i="37" s="1"/>
  <c r="G58" i="16" s="1"/>
  <c r="K58" i="16" s="1"/>
  <c r="Q67" i="37"/>
  <c r="Q101" i="37" s="1"/>
  <c r="G59" i="16" s="1"/>
  <c r="K59" i="16" s="1"/>
  <c r="X16" i="26"/>
  <c r="AD16" i="26"/>
  <c r="R16" i="26"/>
  <c r="J16" i="26"/>
  <c r="H16" i="26"/>
  <c r="T16" i="26"/>
  <c r="Z16" i="26"/>
  <c r="P16" i="26"/>
  <c r="V16" i="26"/>
  <c r="AB16" i="26"/>
  <c r="N16" i="26"/>
  <c r="L16" i="26"/>
  <c r="K30" i="16"/>
  <c r="K39" i="16"/>
  <c r="K148" i="16"/>
  <c r="G81" i="16"/>
  <c r="K81" i="16" s="1"/>
  <c r="F797" i="64"/>
  <c r="K797" i="64" s="1"/>
  <c r="G69" i="16"/>
  <c r="K69" i="16" s="1"/>
  <c r="F785" i="64"/>
  <c r="K785" i="64" s="1"/>
  <c r="G70" i="16"/>
  <c r="K70" i="16" s="1"/>
  <c r="F786" i="64"/>
  <c r="K786" i="64" s="1"/>
  <c r="G80" i="16"/>
  <c r="K80" i="16" s="1"/>
  <c r="F796" i="64"/>
  <c r="K796" i="64" s="1"/>
  <c r="G68" i="16"/>
  <c r="K68" i="16" s="1"/>
  <c r="G60" i="16"/>
  <c r="K60" i="16" s="1"/>
  <c r="G54" i="16"/>
  <c r="K54" i="16" s="1"/>
  <c r="G55" i="16"/>
  <c r="K55" i="16" s="1"/>
  <c r="G53" i="16"/>
  <c r="K53" i="16" s="1"/>
  <c r="G57" i="16"/>
  <c r="K57" i="16" s="1"/>
  <c r="V273" i="37"/>
  <c r="I21" i="37"/>
  <c r="L21" i="37"/>
  <c r="N21" i="37"/>
  <c r="O21" i="37"/>
  <c r="G127" i="71" l="1"/>
  <c r="G162" i="71"/>
  <c r="H24" i="58" s="1"/>
  <c r="H19" i="58"/>
  <c r="H23" i="58"/>
  <c r="D28" i="26"/>
  <c r="V28" i="26" s="1"/>
  <c r="AJ26" i="26"/>
  <c r="AB26" i="26"/>
  <c r="T26" i="26"/>
  <c r="L26" i="26"/>
  <c r="V26" i="26"/>
  <c r="N26" i="26"/>
  <c r="F26" i="26"/>
  <c r="AH26" i="26"/>
  <c r="Z26" i="26"/>
  <c r="R26" i="26"/>
  <c r="J26" i="26"/>
  <c r="AF26" i="26"/>
  <c r="X26" i="26"/>
  <c r="P26" i="26"/>
  <c r="H26" i="26"/>
  <c r="AL26" i="26"/>
  <c r="AD26" i="26"/>
  <c r="D22" i="26"/>
  <c r="AD20" i="26"/>
  <c r="V20" i="26"/>
  <c r="N20" i="26"/>
  <c r="T20" i="26"/>
  <c r="Z20" i="26"/>
  <c r="L20" i="26"/>
  <c r="P20" i="26"/>
  <c r="AB20" i="26"/>
  <c r="R20" i="26"/>
  <c r="X20" i="26"/>
  <c r="F774" i="64"/>
  <c r="K774" i="64" s="1"/>
  <c r="F775" i="64"/>
  <c r="K775" i="64" s="1"/>
  <c r="J21" i="37"/>
  <c r="Q21" i="37"/>
  <c r="Q58" i="37" s="1"/>
  <c r="P21" i="37"/>
  <c r="P58" i="37" s="1"/>
  <c r="N317" i="37"/>
  <c r="Y273" i="37"/>
  <c r="AN28" i="26" l="1"/>
  <c r="L28" i="26"/>
  <c r="R28" i="26"/>
  <c r="AH28" i="26"/>
  <c r="F28" i="26"/>
  <c r="AB28" i="26"/>
  <c r="AD28" i="26"/>
  <c r="H28" i="26"/>
  <c r="N28" i="26"/>
  <c r="AL28" i="26"/>
  <c r="Z28" i="26"/>
  <c r="X28" i="26"/>
  <c r="P28" i="26"/>
  <c r="J28" i="26"/>
  <c r="AJ28" i="26"/>
  <c r="T28" i="26"/>
  <c r="H20" i="58"/>
  <c r="AF28" i="26"/>
  <c r="AN22" i="26"/>
  <c r="AF22" i="26"/>
  <c r="X22" i="26"/>
  <c r="P22" i="26"/>
  <c r="H22" i="26"/>
  <c r="AL22" i="26"/>
  <c r="AD22" i="26"/>
  <c r="V22" i="26"/>
  <c r="N22" i="26"/>
  <c r="F22" i="26"/>
  <c r="AJ22" i="26"/>
  <c r="AB22" i="26"/>
  <c r="T22" i="26"/>
  <c r="L22" i="26"/>
  <c r="AH22" i="26"/>
  <c r="Z22" i="26"/>
  <c r="R22" i="26"/>
  <c r="J22" i="26"/>
  <c r="O84" i="59"/>
  <c r="G47" i="16"/>
  <c r="K47" i="16" s="1"/>
  <c r="F764" i="64"/>
  <c r="K764" i="64" s="1"/>
  <c r="G48" i="16"/>
  <c r="K48" i="16" s="1"/>
  <c r="F765" i="64"/>
  <c r="K765" i="64" s="1"/>
  <c r="G113" i="16"/>
  <c r="K113" i="16" s="1"/>
  <c r="AB322" i="37"/>
  <c r="T360" i="37"/>
  <c r="G112" i="16" l="1"/>
  <c r="K112" i="16" s="1"/>
  <c r="E20" i="37" l="1"/>
  <c r="H20" i="37" s="1"/>
  <c r="C272" i="37"/>
  <c r="C317" i="37" s="1"/>
  <c r="G106" i="16" l="1"/>
  <c r="K106" i="16" s="1"/>
  <c r="F802" i="64"/>
  <c r="K802" i="64" s="1"/>
  <c r="H58" i="37"/>
  <c r="M20" i="37"/>
  <c r="O20" i="37" s="1"/>
  <c r="O58" i="37" s="1"/>
  <c r="E58" i="37"/>
  <c r="F758" i="64" s="1"/>
  <c r="J272" i="37"/>
  <c r="J317" i="37" s="1"/>
  <c r="K20" i="37"/>
  <c r="S20" i="37"/>
  <c r="S58" i="37" s="1"/>
  <c r="N20" i="37" l="1"/>
  <c r="N58" i="37" s="1"/>
  <c r="M58" i="37"/>
  <c r="F767" i="64"/>
  <c r="K758" i="64"/>
  <c r="G49" i="16"/>
  <c r="K49" i="16" s="1"/>
  <c r="F766" i="64"/>
  <c r="K766" i="64" s="1"/>
  <c r="G42" i="16"/>
  <c r="K42" i="16" s="1"/>
  <c r="F759" i="64"/>
  <c r="K759" i="64" s="1"/>
  <c r="G41" i="16"/>
  <c r="K41" i="16" s="1"/>
  <c r="I20" i="37"/>
  <c r="J20" i="37" s="1"/>
  <c r="G108" i="16"/>
  <c r="K108" i="16" s="1"/>
  <c r="F804" i="64"/>
  <c r="K804" i="64" s="1"/>
  <c r="V272" i="37"/>
  <c r="K58" i="37"/>
  <c r="L20" i="37"/>
  <c r="L58" i="37" s="1"/>
  <c r="G45" i="16" l="1"/>
  <c r="K45" i="16" s="1"/>
  <c r="F762" i="64"/>
  <c r="K762" i="64" s="1"/>
  <c r="G51" i="16"/>
  <c r="M51" i="16" s="1"/>
  <c r="K767" i="64"/>
  <c r="I58" i="37"/>
  <c r="G46" i="16"/>
  <c r="K46" i="16" s="1"/>
  <c r="F763" i="64"/>
  <c r="K763" i="64" s="1"/>
  <c r="J58" i="37"/>
  <c r="K51" i="16" l="1"/>
  <c r="L51" i="16" s="1"/>
  <c r="N51" i="16" s="1"/>
  <c r="G43" i="16"/>
  <c r="K43" i="16" s="1"/>
  <c r="F760" i="64"/>
  <c r="K760" i="64" s="1"/>
  <c r="G44" i="16"/>
  <c r="K44" i="16" s="1"/>
  <c r="F761" i="64"/>
  <c r="K761" i="64" s="1"/>
  <c r="K117" i="16" l="1"/>
  <c r="K163" i="16" s="1"/>
  <c r="K820" i="64"/>
  <c r="K84" i="59"/>
  <c r="R84" i="59"/>
  <c r="G139" i="71" l="1"/>
  <c r="D24" i="26"/>
  <c r="E10" i="16"/>
  <c r="AJ24" i="26" l="1"/>
  <c r="AB24" i="26"/>
  <c r="T24" i="26"/>
  <c r="L24" i="26"/>
  <c r="AF24" i="26"/>
  <c r="P24" i="26"/>
  <c r="AL24" i="26"/>
  <c r="V24" i="26"/>
  <c r="F24" i="26"/>
  <c r="AH24" i="26"/>
  <c r="Z24" i="26"/>
  <c r="R24" i="26"/>
  <c r="J24" i="26"/>
  <c r="AN24" i="26"/>
  <c r="X24" i="26"/>
  <c r="H24" i="26"/>
  <c r="AD24" i="26"/>
  <c r="N24" i="26"/>
  <c r="H22" i="58"/>
  <c r="I852" i="64" l="1"/>
  <c r="K852" i="64" l="1"/>
  <c r="K853" i="64" s="1"/>
  <c r="K874" i="64" s="1"/>
  <c r="G170" i="71" l="1"/>
  <c r="D34" i="26"/>
  <c r="D40" i="26" s="1"/>
  <c r="AN38" i="26"/>
  <c r="G174" i="71" l="1"/>
  <c r="AN34" i="26"/>
  <c r="AN40" i="26" s="1"/>
  <c r="D10" i="64"/>
  <c r="N34" i="26"/>
  <c r="N40" i="26" s="1"/>
  <c r="J34" i="26"/>
  <c r="J40" i="26" s="1"/>
  <c r="AB34" i="26"/>
  <c r="AB40" i="26" s="1"/>
  <c r="T34" i="26"/>
  <c r="T40" i="26" s="1"/>
  <c r="L34" i="26"/>
  <c r="L40" i="26" s="1"/>
  <c r="Z34" i="26"/>
  <c r="Z40" i="26" s="1"/>
  <c r="H34" i="26"/>
  <c r="H40" i="26" s="1"/>
  <c r="AH34" i="26"/>
  <c r="AH40" i="26" s="1"/>
  <c r="AD34" i="26"/>
  <c r="AD40" i="26" s="1"/>
  <c r="R34" i="26"/>
  <c r="R40" i="26" s="1"/>
  <c r="AJ34" i="26"/>
  <c r="AJ40" i="26" s="1"/>
  <c r="F34" i="26"/>
  <c r="F40" i="26" s="1"/>
  <c r="F41" i="26" s="1"/>
  <c r="AF34" i="26"/>
  <c r="AF40" i="26" s="1"/>
  <c r="P34" i="26"/>
  <c r="P40" i="26" s="1"/>
  <c r="V34" i="26"/>
  <c r="V40" i="26" s="1"/>
  <c r="X34" i="26"/>
  <c r="X40" i="26" s="1"/>
  <c r="AL34" i="26"/>
  <c r="AL40" i="26" s="1"/>
  <c r="H27" i="58"/>
  <c r="H29" i="58" s="1"/>
  <c r="H172" i="71" l="1"/>
  <c r="C36" i="26"/>
  <c r="E10" i="58"/>
  <c r="B9" i="71"/>
  <c r="C30" i="26"/>
  <c r="H41" i="26"/>
  <c r="J41" i="26" s="1"/>
  <c r="L41" i="26" s="1"/>
  <c r="N41" i="26" s="1"/>
  <c r="P41" i="26" s="1"/>
  <c r="R41" i="26" s="1"/>
  <c r="T41" i="26" s="1"/>
  <c r="V41" i="26" s="1"/>
  <c r="X41" i="26" s="1"/>
  <c r="Z41" i="26" s="1"/>
  <c r="AB41" i="26" s="1"/>
  <c r="AD41" i="26" s="1"/>
  <c r="AF41" i="26" s="1"/>
  <c r="AH41" i="26" s="1"/>
  <c r="AJ41" i="26" s="1"/>
  <c r="AL41" i="26" s="1"/>
  <c r="AN41" i="26" s="1"/>
  <c r="AM41" i="26" s="1"/>
  <c r="E41" i="26"/>
  <c r="Y40" i="26"/>
  <c r="C24" i="26"/>
  <c r="E40" i="26"/>
  <c r="C34" i="26"/>
  <c r="AM40" i="26"/>
  <c r="C26" i="26"/>
  <c r="O40" i="26"/>
  <c r="C16" i="26"/>
  <c r="C22" i="26"/>
  <c r="I40" i="26"/>
  <c r="C20" i="26"/>
  <c r="AG40" i="26"/>
  <c r="AA40" i="26"/>
  <c r="W40" i="26"/>
  <c r="H13" i="71"/>
  <c r="H20" i="71"/>
  <c r="H139" i="71"/>
  <c r="H103" i="71"/>
  <c r="H164" i="71"/>
  <c r="C18" i="26"/>
  <c r="K40" i="26"/>
  <c r="C28" i="26"/>
  <c r="Q40" i="26"/>
  <c r="AI40" i="26"/>
  <c r="S40" i="26"/>
  <c r="C38" i="26"/>
  <c r="AE40" i="26"/>
  <c r="AK40" i="26"/>
  <c r="C32" i="26"/>
  <c r="U40" i="26"/>
  <c r="G40" i="26"/>
  <c r="M40" i="26"/>
  <c r="AC40" i="26"/>
  <c r="H127" i="71"/>
  <c r="H162" i="71"/>
  <c r="H160" i="71"/>
  <c r="H166" i="71"/>
  <c r="H170" i="71"/>
  <c r="C40" i="26" l="1"/>
  <c r="H174" i="71"/>
  <c r="F172" i="71"/>
  <c r="G41" i="26"/>
  <c r="S41" i="26"/>
  <c r="I41" i="26"/>
  <c r="Q41" i="26"/>
  <c r="O41" i="26"/>
  <c r="AA41" i="26"/>
  <c r="AE41" i="26"/>
  <c r="K41" i="26"/>
  <c r="M41" i="26"/>
  <c r="AC41" i="26"/>
  <c r="AK41" i="26"/>
  <c r="U41" i="26"/>
  <c r="W41" i="26"/>
  <c r="AI41" i="26"/>
  <c r="AG41" i="26"/>
  <c r="Y41" i="26"/>
  <c r="F20" i="71" l="1"/>
  <c r="F127" i="71"/>
  <c r="F160" i="71"/>
  <c r="F103" i="71"/>
  <c r="F162" i="71"/>
  <c r="F170" i="71"/>
  <c r="F139" i="71"/>
  <c r="F166" i="71"/>
  <c r="F164" i="71" l="1"/>
  <c r="F13" i="71"/>
  <c r="E174" i="71"/>
  <c r="F174" i="7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jeniffer nascimento</author>
  </authors>
  <commentList>
    <comment ref="U12" authorId="0" shapeId="0" xr:uid="{00000000-0006-0000-0000-000001000000}">
      <text>
        <r>
          <rPr>
            <b/>
            <sz val="9"/>
            <color indexed="81"/>
            <rFont val="Segoe UI"/>
            <family val="2"/>
          </rPr>
          <t>jeniffer nascimento:</t>
        </r>
        <r>
          <rPr>
            <sz val="9"/>
            <color indexed="81"/>
            <rFont val="Segoe UI"/>
            <family val="2"/>
          </rPr>
          <t xml:space="preserve">
ATUALIZAR CONFORME QTDE DE RUAS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jeniffer nascimento</author>
  </authors>
  <commentList>
    <comment ref="B133" authorId="0" shapeId="0" xr:uid="{00000000-0006-0000-0200-000001000000}">
      <text>
        <r>
          <rPr>
            <b/>
            <sz val="12"/>
            <color indexed="81"/>
            <rFont val="Segoe UI"/>
            <family val="2"/>
          </rPr>
          <t>jeniffer nascimento:</t>
        </r>
        <r>
          <rPr>
            <sz val="12"/>
            <color indexed="81"/>
            <rFont val="Segoe UI"/>
            <family val="2"/>
          </rPr>
          <t xml:space="preserve">
reforço de bordo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jeniffer nascimento</author>
  </authors>
  <commentList>
    <comment ref="F144" authorId="0" shapeId="0" xr:uid="{00000000-0006-0000-0500-000001000000}">
      <text>
        <r>
          <rPr>
            <b/>
            <sz val="12"/>
            <color indexed="81"/>
            <rFont val="Segoe UI"/>
            <family val="2"/>
          </rPr>
          <t>jeniffer nascimento:</t>
        </r>
        <r>
          <rPr>
            <sz val="12"/>
            <color indexed="81"/>
            <rFont val="Segoe UI"/>
            <family val="2"/>
          </rPr>
          <t xml:space="preserve">
reforço de bordo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jeniffer nascimento</author>
  </authors>
  <commentList>
    <comment ref="F42" authorId="0" shapeId="0" xr:uid="{00000000-0006-0000-0F00-000001000000}">
      <text>
        <r>
          <rPr>
            <b/>
            <sz val="9"/>
            <color indexed="81"/>
            <rFont val="Segoe UI"/>
            <family val="2"/>
          </rPr>
          <t>jeniffer nascimento:</t>
        </r>
        <r>
          <rPr>
            <sz val="9"/>
            <color indexed="81"/>
            <rFont val="Segoe UI"/>
            <family val="2"/>
          </rPr>
          <t xml:space="preserve">
informação de acordo com o cronograma definido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jeniffer nascimento</author>
  </authors>
  <commentList>
    <comment ref="F33" authorId="0" shapeId="0" xr:uid="{00000000-0006-0000-1100-000001000000}">
      <text>
        <r>
          <rPr>
            <b/>
            <sz val="9"/>
            <color indexed="81"/>
            <rFont val="Segoe UI"/>
            <family val="2"/>
          </rPr>
          <t>jeniffer nascimento:</t>
        </r>
        <r>
          <rPr>
            <sz val="9"/>
            <color indexed="81"/>
            <rFont val="Segoe UI"/>
            <family val="2"/>
          </rPr>
          <t xml:space="preserve">
informação de acordo com o cronograma definido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jeniffer nascimento</author>
  </authors>
  <commentList>
    <comment ref="B10" authorId="0" shapeId="0" xr:uid="{00000000-0006-0000-1600-000001000000}">
      <text>
        <r>
          <rPr>
            <b/>
            <sz val="9"/>
            <color indexed="81"/>
            <rFont val="Segoe UI"/>
            <family val="2"/>
          </rPr>
          <t>jeniffer nascimento:</t>
        </r>
        <r>
          <rPr>
            <sz val="9"/>
            <color indexed="81"/>
            <rFont val="Segoe UI"/>
            <family val="2"/>
          </rPr>
          <t xml:space="preserve">
ATUALIZAR JANEIRO-23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Jeniffer Nascimento</author>
  </authors>
  <commentList>
    <comment ref="B6" authorId="0" shapeId="0" xr:uid="{00000000-0006-0000-1D00-000001000000}">
      <text>
        <r>
          <rPr>
            <b/>
            <sz val="9"/>
            <color indexed="81"/>
            <rFont val="Segoe UI"/>
            <family val="2"/>
          </rPr>
          <t>Jeniffer Nascimento:</t>
        </r>
        <r>
          <rPr>
            <sz val="9"/>
            <color indexed="81"/>
            <rFont val="Segoe UI"/>
            <family val="2"/>
          </rPr>
          <t xml:space="preserve">
Não desonerado!</t>
        </r>
      </text>
    </comment>
  </commentList>
</comments>
</file>

<file path=xl/sharedStrings.xml><?xml version="1.0" encoding="utf-8"?>
<sst xmlns="http://schemas.openxmlformats.org/spreadsheetml/2006/main" count="8432" uniqueCount="3768">
  <si>
    <t>m³</t>
  </si>
  <si>
    <t>SERVIÇOS PRELIMINARES</t>
  </si>
  <si>
    <t>m²</t>
  </si>
  <si>
    <t>m</t>
  </si>
  <si>
    <t>2.1</t>
  </si>
  <si>
    <t>DESCRIÇÃO</t>
  </si>
  <si>
    <t>ITEM</t>
  </si>
  <si>
    <t>D</t>
  </si>
  <si>
    <t>TOTAL DO  ITEM 1:</t>
  </si>
  <si>
    <t>3.1</t>
  </si>
  <si>
    <t>LIMPEZA FINAL</t>
  </si>
  <si>
    <t>TOTAL DO ITEM 3:</t>
  </si>
  <si>
    <t>TOTAL DO ITEM 4:</t>
  </si>
  <si>
    <t>5.1</t>
  </si>
  <si>
    <t>C</t>
  </si>
  <si>
    <t>TOTAL DO ITEM 5:</t>
  </si>
  <si>
    <t>DEPARTAMENTO DE OBRAS</t>
  </si>
  <si>
    <t>PREFEITURA MUNICIPAL DE ANANINDEUA</t>
  </si>
  <si>
    <t>1.1</t>
  </si>
  <si>
    <t>1.2</t>
  </si>
  <si>
    <t>UNIDADE</t>
  </si>
  <si>
    <t>TOTAL</t>
  </si>
  <si>
    <t>PLANILHA ORÇAMENTÁRIA</t>
  </si>
  <si>
    <t>PREÇO UNITÁRIO</t>
  </si>
  <si>
    <t>TOTAL DA OBRA COM BDI:</t>
  </si>
  <si>
    <t>ton</t>
  </si>
  <si>
    <t>3.2</t>
  </si>
  <si>
    <t>94992</t>
  </si>
  <si>
    <t>SERVIÇOS DE CAIXA PRIMÁRIA</t>
  </si>
  <si>
    <t>4.1</t>
  </si>
  <si>
    <t>4.2</t>
  </si>
  <si>
    <t>4.3</t>
  </si>
  <si>
    <t>A - Mão-de-obra</t>
  </si>
  <si>
    <t>Item</t>
  </si>
  <si>
    <t>Descriminação</t>
  </si>
  <si>
    <t>Unidade</t>
  </si>
  <si>
    <t>Preço Unitário</t>
  </si>
  <si>
    <t>Custo</t>
  </si>
  <si>
    <t>90781</t>
  </si>
  <si>
    <t>Topógrafo com engargos complementares</t>
  </si>
  <si>
    <t>h</t>
  </si>
  <si>
    <t>88316</t>
  </si>
  <si>
    <t>A - Custo Total Mão-de-obra:</t>
  </si>
  <si>
    <t>B – Equipamentos</t>
  </si>
  <si>
    <t>B - Custo Total de Equipamentos:</t>
  </si>
  <si>
    <t>C – Materiais</t>
  </si>
  <si>
    <t>C - Custo Total de Materiais:</t>
  </si>
  <si>
    <t>Resumo da Composição do Custo Unitário</t>
  </si>
  <si>
    <t>Descrição</t>
  </si>
  <si>
    <t>A</t>
  </si>
  <si>
    <t>Mão de Obra</t>
  </si>
  <si>
    <t>[transportar subtotal A]</t>
  </si>
  <si>
    <t>B</t>
  </si>
  <si>
    <t>Equipamentos</t>
  </si>
  <si>
    <t>[transportar subtotal B]</t>
  </si>
  <si>
    <t>Materiais</t>
  </si>
  <si>
    <t>[transportar subtotal C]</t>
  </si>
  <si>
    <t>A+B+C</t>
  </si>
  <si>
    <t>Subtotal:</t>
  </si>
  <si>
    <t>E</t>
  </si>
  <si>
    <t>Preço Global:</t>
  </si>
  <si>
    <t>94287</t>
  </si>
  <si>
    <t>Execução de sarjeta de concreto usinado, moldada in loco em trecho reto, 30 cm base x 10 cm altura. AF_06/2016</t>
  </si>
  <si>
    <t>3.3</t>
  </si>
  <si>
    <t>CÓDIGO</t>
  </si>
  <si>
    <t xml:space="preserve"> DESCRIÇÃO</t>
  </si>
  <si>
    <t>HORISTA</t>
  </si>
  <si>
    <t>MENSALISTA</t>
  </si>
  <si>
    <t>GRUPO A</t>
  </si>
  <si>
    <t>A1</t>
  </si>
  <si>
    <t>INSS</t>
  </si>
  <si>
    <t>A2</t>
  </si>
  <si>
    <t>SESI</t>
  </si>
  <si>
    <t>A3</t>
  </si>
  <si>
    <t>SENAI</t>
  </si>
  <si>
    <t>A4</t>
  </si>
  <si>
    <t>INCEA</t>
  </si>
  <si>
    <t>A5</t>
  </si>
  <si>
    <t>SEBRAE</t>
  </si>
  <si>
    <t>A6</t>
  </si>
  <si>
    <t>Salário Educação</t>
  </si>
  <si>
    <t>A7</t>
  </si>
  <si>
    <t>Seguro Contra Acidentes de Trabalho</t>
  </si>
  <si>
    <t>A8</t>
  </si>
  <si>
    <t>FGTS</t>
  </si>
  <si>
    <t>A9</t>
  </si>
  <si>
    <t>SECONCI</t>
  </si>
  <si>
    <t>Total dos Encargos Sociais Básicos</t>
  </si>
  <si>
    <t>GRUPO B</t>
  </si>
  <si>
    <t>B1</t>
  </si>
  <si>
    <t>Repouso Semanal Remunerado</t>
  </si>
  <si>
    <t>B2</t>
  </si>
  <si>
    <t>Feriados</t>
  </si>
  <si>
    <t>B3</t>
  </si>
  <si>
    <t>Auxílio - Enfremidade</t>
  </si>
  <si>
    <t>B4</t>
  </si>
  <si>
    <t>13º Salário</t>
  </si>
  <si>
    <t>B5</t>
  </si>
  <si>
    <t>Liçença Paternidade</t>
  </si>
  <si>
    <t>B6</t>
  </si>
  <si>
    <t>Faltas Justificadas</t>
  </si>
  <si>
    <t>B7</t>
  </si>
  <si>
    <t>Dias de Chuva</t>
  </si>
  <si>
    <t>B8</t>
  </si>
  <si>
    <t>Auxílio - Acidente de Trabalho</t>
  </si>
  <si>
    <t>B9</t>
  </si>
  <si>
    <t>Férias Gozadas</t>
  </si>
  <si>
    <t>B10</t>
  </si>
  <si>
    <t>Salário Maternidade</t>
  </si>
  <si>
    <t>Total dos Encargos Sociais que recebem incidências de A</t>
  </si>
  <si>
    <t>GRUPO C</t>
  </si>
  <si>
    <t>C1</t>
  </si>
  <si>
    <t>Aviso Prévio Indenizado</t>
  </si>
  <si>
    <t>C2</t>
  </si>
  <si>
    <t>Aviso Prévio Trabalho</t>
  </si>
  <si>
    <t>C3</t>
  </si>
  <si>
    <t>Férias Indenizadas</t>
  </si>
  <si>
    <t>C4</t>
  </si>
  <si>
    <t>Depósito Rescisão sem Justa Causa</t>
  </si>
  <si>
    <t>C5</t>
  </si>
  <si>
    <t>Indenização Adicional</t>
  </si>
  <si>
    <t>Total dos Encargos Sociais que não recebem incidências de A</t>
  </si>
  <si>
    <t>GRUPO D</t>
  </si>
  <si>
    <t>D1</t>
  </si>
  <si>
    <t>Reincidência de Grupo A</t>
  </si>
  <si>
    <t>D2</t>
  </si>
  <si>
    <t>Total de Reincidência de um Grupo sobre o outro</t>
  </si>
  <si>
    <t>*GRUPO E</t>
  </si>
  <si>
    <t>E1</t>
  </si>
  <si>
    <t>Total dos Encargos Sociais Complementares</t>
  </si>
  <si>
    <t>Fonte: Informação Dias de Chuva - INMET</t>
  </si>
  <si>
    <t>DISCRIMINAÇÃO DOS CUSTOS INDIRETOS</t>
  </si>
  <si>
    <t>PORCENTAGEM (%) ADOTADA</t>
  </si>
  <si>
    <t>VARIÁVEIS ACRESCIDAS DE ACORDO COM DIÁRIO OFICIAL DA UNIÃO DO DIA 20 DE SETEMBRO DE 2011</t>
  </si>
  <si>
    <t>CUSTOS TRIBUTÁRIOS</t>
  </si>
  <si>
    <t>TRIBUTOS FEDERAIS</t>
  </si>
  <si>
    <t>PIS</t>
  </si>
  <si>
    <t>PROGRAMAÇÃO DE INTEGRAÇÃO SOCIAL</t>
  </si>
  <si>
    <t>CONFINS</t>
  </si>
  <si>
    <t>FINANC. DA SEGURIDADE SOCIAL</t>
  </si>
  <si>
    <t>TRIBUTO MUNICIPAL</t>
  </si>
  <si>
    <t>ISS</t>
  </si>
  <si>
    <t>5.2</t>
  </si>
  <si>
    <t>5.3</t>
  </si>
  <si>
    <t>TOTAL DO ITEM 6:</t>
  </si>
  <si>
    <t>Limpeza geral e entrega da obra</t>
  </si>
  <si>
    <t>QTDE.</t>
  </si>
  <si>
    <t>90099</t>
  </si>
  <si>
    <t xml:space="preserve">Escavação mecanizada de vala com prof. até 1,5 m, com retroescavadeira, larg. menor que 0,80 m, em solo de 1A categoria. </t>
  </si>
  <si>
    <t>Coeficiente</t>
  </si>
  <si>
    <t>Areia média</t>
  </si>
  <si>
    <t>Seixo fino lavado</t>
  </si>
  <si>
    <t>Pá carregadeira sobre rodas, potência 197 HP, capacidade da caçamba 2,5 A 3,5 m³, peso operacional 18338 kg</t>
  </si>
  <si>
    <t>Tanque de asfalto estacionário com serpentina, capacidade 30.000 L</t>
  </si>
  <si>
    <t>Cimento asfáltico de petróleo granel (CAP) 50/70 (coletado caixa na ANP acrescido de ICMS)</t>
  </si>
  <si>
    <t>Usina de mistura asfáltica à quente, tipo contra fluxo, prod 40 a 80ton/hora</t>
  </si>
  <si>
    <t>Grupo gerador com carenagem, motor diesel potência standart entre 250 e 260 KVA</t>
  </si>
  <si>
    <t>Óleo diesel S 500 - comum</t>
  </si>
  <si>
    <t>Óleo residual com baixo ponto de fluidez (BPF). Para queima</t>
  </si>
  <si>
    <t>Operador de usina de asfalto</t>
  </si>
  <si>
    <t>Operador de pá carregadeira</t>
  </si>
  <si>
    <t>Servente com encargos complementares</t>
  </si>
  <si>
    <t>Vibroacabadora de asfalto sobre esteira, largura de pavimentação 1,90M a 5,30M. Potência 105 HP capacidade 450 T/H - CHP DIURNO. AF_11/2014</t>
  </si>
  <si>
    <t>Vibroacabadora de asfalto sobre esteira, largura de pavimentação 1,90M a 5,30M. Potência 105 HP capacidade 450 T/H - CHI DIURNO. AF_11/2015</t>
  </si>
  <si>
    <t>Rasteleiro com encargos complementares</t>
  </si>
  <si>
    <t>Caminhão basculante 10m³ trucado cabine simples, peso bruto total 23.000 kg carga útil máxima 15.935 kg distância entre eixos 4,80m, potência 230 C, inclusive caçamba metálica - CHP DIURNO. AF_06/2014</t>
  </si>
  <si>
    <t>Rolo compactador vibratório tandem, aço liso, potência 125 HP, peso sem/com lastro 10.20/11,65 T, largura de trabalho 1,73m - CHP DIURNO. AF_11/2016</t>
  </si>
  <si>
    <t>Rolo compactador vibratório tandem, aço liso, potência 125 HP, peso sem/com lastro 10.20/11,65 T, largura de trabalho 1,73m - CHI DIURNO. AF_11/2017</t>
  </si>
  <si>
    <t>Trator de pneus com potência de 85 CV, tração 4x4, com vassoura mecânica acoplada - CHI DIURNO. AF_02/2017</t>
  </si>
  <si>
    <t>Trator de pneus com potência de 85 CV, tração 4x4, com vassoura mecânica acoplada - CHP DIURNO. AF_03/2017</t>
  </si>
  <si>
    <t>Rolo compactador de pneus estático, pressão variável, potência 110HP, peso sem/com lastro 10,8/27 T, largura de rolagem 2,30m - CHP DIURNO. AF_06/2017</t>
  </si>
  <si>
    <t>Rolo compactador de pneus estático, pressão variável, potência 110HP, peso sem/com lastro 10,8/27 T, largura de rolagem 2,30m - CHI DIURNO. AF_06/2017</t>
  </si>
  <si>
    <t>CHP</t>
  </si>
  <si>
    <t>L</t>
  </si>
  <si>
    <t>CHI</t>
  </si>
  <si>
    <t>TOTAL DO ITEM 7:</t>
  </si>
  <si>
    <t>88301</t>
  </si>
  <si>
    <t>88304</t>
  </si>
  <si>
    <t>6.1</t>
  </si>
  <si>
    <t>6.2</t>
  </si>
  <si>
    <t>7.1</t>
  </si>
  <si>
    <t>FONTE</t>
  </si>
  <si>
    <t>SEDOP</t>
  </si>
  <si>
    <t>CPU</t>
  </si>
  <si>
    <t>SINAPI</t>
  </si>
  <si>
    <t>SECRETARIA MUNICIPAL DE SANEAMENTO E INFRAESTRUTURA</t>
  </si>
  <si>
    <t>MÃO DE OBRA</t>
  </si>
  <si>
    <t>SERVENTE COM ENCARGOS COMPLEMENTARES</t>
  </si>
  <si>
    <t xml:space="preserve">( A  )   T O T A L                                      </t>
  </si>
  <si>
    <t>MATERIAL</t>
  </si>
  <si>
    <t xml:space="preserve">                   </t>
  </si>
  <si>
    <t>( B  )   T O T A L</t>
  </si>
  <si>
    <t>EQUIPAMENTOS</t>
  </si>
  <si>
    <t>M3</t>
  </si>
  <si>
    <t>( C )   T O T A L</t>
  </si>
  <si>
    <t xml:space="preserve">CUSTO DIRETO TOTAL (A)+(B)+(C)     </t>
  </si>
  <si>
    <t>BDI</t>
  </si>
  <si>
    <t xml:space="preserve">       C U S T O   U N I T Á R I O     T O T A L</t>
  </si>
  <si>
    <t>Execução de Imprimação com asfálto diluído CM-30. AF_11/2019</t>
  </si>
  <si>
    <t>Execução de pintura de ligação com emulsão asfáltica RR-2C. AF_11/2019</t>
  </si>
  <si>
    <t>II</t>
  </si>
  <si>
    <t>III</t>
  </si>
  <si>
    <t>Execução de passeio (calçada) ou piso de concreto com concreto moldado in loco, feito em obra, acabamento convencional, espessura 6cm, armado. AF_07/2016</t>
  </si>
  <si>
    <t>CRONOGRAMA FÍSICO-FINANCEIRO</t>
  </si>
  <si>
    <t>DISCRIMINAÇÃO DOS SERVIÇOS</t>
  </si>
  <si>
    <t>PESO %</t>
  </si>
  <si>
    <t>VALOR BDI INCLUSO (R$)</t>
  </si>
  <si>
    <t>MESES</t>
  </si>
  <si>
    <t>%</t>
  </si>
  <si>
    <t>R$</t>
  </si>
  <si>
    <t>SIMPLES</t>
  </si>
  <si>
    <t>ACUMULADO</t>
  </si>
  <si>
    <t>97956</t>
  </si>
  <si>
    <t>Caixa para boca de lobo simples retangular, em alvenaria com blocos de concreto, dimensões internas: 0,6x1x1,2 m. AF_12/2020</t>
  </si>
  <si>
    <t>Demolição manual de concreto simples (para execução de calçada)</t>
  </si>
  <si>
    <t>VIA</t>
  </si>
  <si>
    <t>L=</t>
  </si>
  <si>
    <t>Quantidade (un)</t>
  </si>
  <si>
    <t>Preparo de fundo de vala com largura menor que 1.5 m (acerto do solo natural). AF_08/2020</t>
  </si>
  <si>
    <t xml:space="preserve">Execução de boca de lobo  </t>
  </si>
  <si>
    <t xml:space="preserve">Execução de poço de visita </t>
  </si>
  <si>
    <t>m³Xkm</t>
  </si>
  <si>
    <t>H</t>
  </si>
  <si>
    <t>5684</t>
  </si>
  <si>
    <t>5685</t>
  </si>
  <si>
    <t>88253</t>
  </si>
  <si>
    <t>Auxiliar de topográfo com engargos complementares</t>
  </si>
  <si>
    <t>h/dia</t>
  </si>
  <si>
    <t>dias/mês</t>
  </si>
  <si>
    <t>PREÇO UNIT. C/ BDI</t>
  </si>
  <si>
    <t>PORCENTAGEM (%) ADOTADA PELA MÉDIA DOS QUARTIS</t>
  </si>
  <si>
    <t>CPRB</t>
  </si>
  <si>
    <t>Variável de Desoneração de 4,5%</t>
  </si>
  <si>
    <t>DEMONSTRAÇÃO DOS TRIBUTOS MUNICIPAL</t>
  </si>
  <si>
    <t>AC =</t>
  </si>
  <si>
    <t>S+G =</t>
  </si>
  <si>
    <t>R =</t>
  </si>
  <si>
    <t>(1+AC+S+R+G)=</t>
  </si>
  <si>
    <t>DF=</t>
  </si>
  <si>
    <t>(1+DF)=</t>
  </si>
  <si>
    <t>(1+L)=</t>
  </si>
  <si>
    <t>I=</t>
  </si>
  <si>
    <t>(1-I)=</t>
  </si>
  <si>
    <t>BDI=</t>
  </si>
  <si>
    <t xml:space="preserve"> &lt; 24,23% (OK)</t>
  </si>
  <si>
    <t>Verificações: com a retirada de 4,5% de CPRB. O valor terá que ser menor que 24,23%</t>
  </si>
  <si>
    <t>Placa de obra em lona com plotagem de gráfica</t>
  </si>
  <si>
    <t>COM DESONERAÇÃO</t>
  </si>
  <si>
    <t>SEM DESONERAÇÃO</t>
  </si>
  <si>
    <t>TOTAL (A+B+C+D)</t>
  </si>
  <si>
    <t>SECRETARIA MUNICIAL DE SANEAMENTO E INFRAESTRUTURA</t>
  </si>
  <si>
    <t>IV</t>
  </si>
  <si>
    <t>Código</t>
  </si>
  <si>
    <t>CPU-02</t>
  </si>
  <si>
    <t>5901</t>
  </si>
  <si>
    <t>CAMINHÃO PIPA 10.000 L TRUCADO, PESO BRUTO TOTAL 23.000 KG, CARGA ÚTIL MÁXIMA 15.935 KG, DISTÂNCIA ENTRE EIXOS 4,8 M, POTÊNCIA 230 CV, INCLUSIVE TANQUE DE AÇO PARA TRANSPORTE DE ÁGUA - CHP DIURNO. AF_06/2014</t>
  </si>
  <si>
    <t>5903</t>
  </si>
  <si>
    <t>CAMINHÃO PIPA 10.000 L TRUCADO, PESO BRUTO TOTAL 23.000 KG, CARGA ÚTIL MÁXIMA 15.935 KG, DISTÂNCIA ENTRE EIXOS 4,8 M, POTÊNCIA 230 CV, INCLUSIVE TANQUE DE AÇO PARA TRANSPORTE DE ÁGUA - CHI DIURNO. AF_06/2014</t>
  </si>
  <si>
    <t>5932</t>
  </si>
  <si>
    <t>MOTONIVELADORA POTÊNCIA BÁSICA LÍQUIDA (PRIMEIRA MARCHA) 125 HP, PESO BRUTO 13032 KG, LARGURA DA LÂMINA DE 3,7 M - CHP DIURNO. AF_06/2014</t>
  </si>
  <si>
    <t>5934</t>
  </si>
  <si>
    <t>MOTONIVELADORA POTÊNCIA BÁSICA LÍQUIDA (PRIMEIRA MARCHA) 125 HP, PESO BRUTO 13032 KG, LARGURA DA LÂMINA DE 3,7 M - CHI DIURNO. AF_06/2014</t>
  </si>
  <si>
    <t>96463</t>
  </si>
  <si>
    <t>96464</t>
  </si>
  <si>
    <t>PEDREIRO COM ENCARGOS COMPLEMENTARES</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</si>
  <si>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</si>
  <si>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</si>
  <si>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ARGAMASSA TRAÇO 1:3 (EM VOLUME DE CIMENTO E AREIA GROSSA ÚMIDA) PARA CHAPISCO CONVENCIONAL, PREPARO MECÂNICO COM BETONEIRA 400 L. AF_08/2019</t>
  </si>
  <si>
    <t>MONTAGEM E DESMONTAGEM DE FÔRMA DE PILARES RETANGULARES E ESTRUTURAS SIMILARES, PÉ-DIREITO SIMPLES, EM CHAPA DE MADEIRA COMPENSADA RESINADA, 4 UTILIZAÇÕES. AF_09/2020</t>
  </si>
  <si>
    <t>M2</t>
  </si>
  <si>
    <t>ARMAÇÃO DE ESTRUTURAS DE CONCRETO ARMADO, EXCETO VIGAS, PILARES, LAJES E FUNDAÇÕES, UTILIZANDO AÇO CA-60 DE 5,0 MM - MONTAGEM. AF_12/2015</t>
  </si>
  <si>
    <t>KG</t>
  </si>
  <si>
    <t>CONCRETO FCK = 15MPA, TRAÇO 1:3,4:3,5 (CIMENTO/ AREIA MÉDIA/ BRITA 1)  - PREPARO MECÂNICO COM BETONEIRA 600 L. AF_07/2016</t>
  </si>
  <si>
    <t>PREPARO DE FUNDO DE VALA COM LARGURA MENOR QUE 1,5 M (ACERTO DO SOLO NATURAL). AF_08/2020</t>
  </si>
  <si>
    <t>Unidade: unid</t>
  </si>
  <si>
    <t>und.</t>
  </si>
  <si>
    <t>COTAÇÃO</t>
  </si>
  <si>
    <t>EAI CM ECOIMPRIMA (ASFALTO DILUÍDO)</t>
  </si>
  <si>
    <t xml:space="preserve"> 0,002</t>
  </si>
  <si>
    <t xml:space="preserve"> 5841 </t>
  </si>
  <si>
    <t xml:space="preserve"> 0,004</t>
  </si>
  <si>
    <t xml:space="preserve"> 0,001</t>
  </si>
  <si>
    <t xml:space="preserve"> 89035 </t>
  </si>
  <si>
    <t xml:space="preserve"> 0,0017</t>
  </si>
  <si>
    <t xml:space="preserve"> 89036 </t>
  </si>
  <si>
    <t xml:space="preserve"> 0,0041</t>
  </si>
  <si>
    <t xml:space="preserve"> 0,0049</t>
  </si>
  <si>
    <t>PREÇO POR KG</t>
  </si>
  <si>
    <t>Colchão de areia e=20 cm</t>
  </si>
  <si>
    <t>Transporte com caminhão basculante de 14 m³, em via em revestimento primário. AF_07/2020</t>
  </si>
  <si>
    <t>93379</t>
  </si>
  <si>
    <t>Carga, manobra e descarga de solos e materiais granulares em caminhão basculante 18 m³ - carga com escavadeira hidráulica (caçamba de 1,20 m³ / 155 hp) e descarga livre (unidade: t). Af_07/2020</t>
  </si>
  <si>
    <t>4.4</t>
  </si>
  <si>
    <t>93591</t>
  </si>
  <si>
    <t>Transporte com caminhão basculante 14 m³, em via urbana em leito natural. AF_07/2020</t>
  </si>
  <si>
    <t>Ø 400</t>
  </si>
  <si>
    <t>LARGURA</t>
  </si>
  <si>
    <t>(m)</t>
  </si>
  <si>
    <t>TRECHO</t>
  </si>
  <si>
    <t>BAIRRO</t>
  </si>
  <si>
    <t>(und.)</t>
  </si>
  <si>
    <t>PROFUNDIDADE</t>
  </si>
  <si>
    <t>TOTAL (A)</t>
  </si>
  <si>
    <t>PREPARO DE FUNDO</t>
  </si>
  <si>
    <t>VOLUME TUBOS</t>
  </si>
  <si>
    <t>COLCHÃO DE AREIA</t>
  </si>
  <si>
    <t>ASSENTAMENTO</t>
  </si>
  <si>
    <t>CÁLCULO PARA TUBULAÇÃO DE 400 MM</t>
  </si>
  <si>
    <t>CÁLCULO PARA TUBULAÇÃO DE 600 MM</t>
  </si>
  <si>
    <t>CÁLCULO PARA TUBULAÇÃO DE 800 MM</t>
  </si>
  <si>
    <t>CÁLCULO PARA TUBULAÇÃO DE 1000 MM</t>
  </si>
  <si>
    <t>VIA/TRECHO</t>
  </si>
  <si>
    <t>CAIXA PARA BOCA DE LOBO</t>
  </si>
  <si>
    <t>POÇOS DE VISITA</t>
  </si>
  <si>
    <t>Ø 600</t>
  </si>
  <si>
    <t>MEMÓRIA DE CÁLCULO PARA DRENAGEM PROFUNDA</t>
  </si>
  <si>
    <t>EXTENSÃO</t>
  </si>
  <si>
    <t xml:space="preserve">TOTAL </t>
  </si>
  <si>
    <t>DADOS</t>
  </si>
  <si>
    <t>TERRAPLENAGEM</t>
  </si>
  <si>
    <t>CAIXA PRIMÁRIA</t>
  </si>
  <si>
    <t>PAVIMENTAÇÃO ASFÁLTICA</t>
  </si>
  <si>
    <t>TRANSPORTE CBUQ</t>
  </si>
  <si>
    <t>RUAS</t>
  </si>
  <si>
    <t>ESPESSURA (m)</t>
  </si>
  <si>
    <t>LARGURA (m)</t>
  </si>
  <si>
    <t>DEMOLIÇÃO (m³)</t>
  </si>
  <si>
    <t>EXTENSÃO (m)</t>
  </si>
  <si>
    <t>CALÇADA  (m²)</t>
  </si>
  <si>
    <t>PASSEIO</t>
  </si>
  <si>
    <t>D = A x C x esp</t>
  </si>
  <si>
    <t>ESCAVAÇÃO PARA MEIO FIO (m³)</t>
  </si>
  <si>
    <t>LIMPEZA MECANIZADA (m²)</t>
  </si>
  <si>
    <t>IMPRIMAÇAO (m²)</t>
  </si>
  <si>
    <t>PINT. LIG.  (m²)</t>
  </si>
  <si>
    <t>MEMÓRIA DE CÁLCULO PARA INFRAESTRUTURA</t>
  </si>
  <si>
    <t>5921</t>
  </si>
  <si>
    <t>5923</t>
  </si>
  <si>
    <t>89035</t>
  </si>
  <si>
    <t>89036</t>
  </si>
  <si>
    <t>SINAPI DEZ/2021</t>
  </si>
  <si>
    <t>1.3</t>
  </si>
  <si>
    <t>I</t>
  </si>
  <si>
    <t>ENCARREGADO GERAL COM ENCARGOS COMPLEMENTARES</t>
  </si>
  <si>
    <t>Administração da obra</t>
  </si>
  <si>
    <t>V</t>
  </si>
  <si>
    <t>Assentamento de tubo de concreto para redes coletoras de águas pluviais, diâmetro de 1200 mm, junta rígida, instalado em local com alto nível de interferências. AF_12/2015</t>
  </si>
  <si>
    <t>Assentamento de tubo de concreto para redes coletoras de águas pluviais, diâmetro de 1500 mm, junta rígida, instalado em local com alto nível de interferências. AF_12/2015</t>
  </si>
  <si>
    <t>92821</t>
  </si>
  <si>
    <t>Assentamento de tubo de concreto para redes coletoras de águas pluviais, diâmetro de 400 mm, junta rígida, instalado em local com alto nível de interferências. AF_12/2015</t>
  </si>
  <si>
    <t>Assentamento de tubo de concreto para redes coletoras de águas pluviais, diâmetro de 600mm, junta rígida, instalado em local com baixo alto de interferências. AF_12/2015</t>
  </si>
  <si>
    <t>Assentamento de tubo de concreto para redes coletoras de águas pluviais, diâmetro de 800mm, junta rígida, instalado em local com alto nível de interferências. AF_12/2015</t>
  </si>
  <si>
    <t>Assentamento de tubo de concreto para redes coletoras de águas pluviais, diâmetro de 1000 mm, junta rígida, instalado em local com alto nível de interferências</t>
  </si>
  <si>
    <t>Locação de rede com auxílio de equipamento topográfico</t>
  </si>
  <si>
    <t>VALOR TOTAL</t>
  </si>
  <si>
    <t>DEMOLIÇÕES E RETIRADAS</t>
  </si>
  <si>
    <t>TOTAL DO  ITEM 2:</t>
  </si>
  <si>
    <t>00012574</t>
  </si>
  <si>
    <t>00012575</t>
  </si>
  <si>
    <t>4.1.1</t>
  </si>
  <si>
    <t>4.1.2</t>
  </si>
  <si>
    <t>4.1.3</t>
  </si>
  <si>
    <t>4.1.5</t>
  </si>
  <si>
    <t>4.1.6</t>
  </si>
  <si>
    <t>4.1.7</t>
  </si>
  <si>
    <t>4.2.1</t>
  </si>
  <si>
    <t>4.2.2</t>
  </si>
  <si>
    <t>4.2.3</t>
  </si>
  <si>
    <t>4.2.4</t>
  </si>
  <si>
    <t>4.2.5</t>
  </si>
  <si>
    <t>4.2.6</t>
  </si>
  <si>
    <t>4.2.7</t>
  </si>
  <si>
    <t>4.3.1</t>
  </si>
  <si>
    <t>4.3.2</t>
  </si>
  <si>
    <t>4.3.3</t>
  </si>
  <si>
    <t>4.3.4</t>
  </si>
  <si>
    <t>4.3.5</t>
  </si>
  <si>
    <t>4.3.6</t>
  </si>
  <si>
    <t>4.3.7</t>
  </si>
  <si>
    <t>4.4.1</t>
  </si>
  <si>
    <t>4.4.2</t>
  </si>
  <si>
    <t>4.4.3</t>
  </si>
  <si>
    <t>4.4.4</t>
  </si>
  <si>
    <t>4.4.5</t>
  </si>
  <si>
    <t>4.4.6</t>
  </si>
  <si>
    <t>4.4.7</t>
  </si>
  <si>
    <t>4.5</t>
  </si>
  <si>
    <t>4.5.1</t>
  </si>
  <si>
    <t>4.5.2</t>
  </si>
  <si>
    <t>4.5.3</t>
  </si>
  <si>
    <t>4.5.4</t>
  </si>
  <si>
    <t>4.5.5</t>
  </si>
  <si>
    <t>4.5.6</t>
  </si>
  <si>
    <t>4.5.7</t>
  </si>
  <si>
    <t>4.6</t>
  </si>
  <si>
    <t>4.6.1</t>
  </si>
  <si>
    <t>4.6.2</t>
  </si>
  <si>
    <t>4.6.3</t>
  </si>
  <si>
    <t>4.6.4</t>
  </si>
  <si>
    <t>4.6.5</t>
  </si>
  <si>
    <t>4.6.6</t>
  </si>
  <si>
    <t>4.6.7</t>
  </si>
  <si>
    <t xml:space="preserve">Execução de tampa de boca de lobo  </t>
  </si>
  <si>
    <t>MEIO FIO E SARJETA</t>
  </si>
  <si>
    <t>RETIRADAS</t>
  </si>
  <si>
    <t>ENTULHO (m³)</t>
  </si>
  <si>
    <t>CÁLCULO PARA TUBULAÇÃO DE 1200 MM</t>
  </si>
  <si>
    <t>CÁLCULO PARA TUBULAÇÃO DE 1500 MM</t>
  </si>
  <si>
    <t>TAMPA PARA BOCA DE LOBO</t>
  </si>
  <si>
    <t>TAMPA PARA POÇOS DE VISITA</t>
  </si>
  <si>
    <t>5.4</t>
  </si>
  <si>
    <t>TOTAL DO ITEM 8:</t>
  </si>
  <si>
    <t>7.2</t>
  </si>
  <si>
    <t>7.3</t>
  </si>
  <si>
    <t>7.4</t>
  </si>
  <si>
    <t>8.1</t>
  </si>
  <si>
    <t>T</t>
  </si>
  <si>
    <t xml:space="preserve">m³ </t>
  </si>
  <si>
    <t>CARGA E DESCARGA P/ TRANSPORTE (m³)</t>
  </si>
  <si>
    <t>ESPESSURA DE CORTE (m)</t>
  </si>
  <si>
    <t>90776</t>
  </si>
  <si>
    <t>GRADE DE DISCO CONTROLE REMOTO REBOCÁVEL, COM 24 DISCOS 24 X 6 MM COM PNEUS PARA TRANSPORTE - CHP DIURNO. AF_06/2014</t>
  </si>
  <si>
    <t>GRADE DE DISCO CONTROLE REMOTO REBOCÁVEL, COM 24 DISCOS 24 X 6 MM COM PNEUS PARA TRANSPORTE - CHI DIURNO. AF_06/2014</t>
  </si>
  <si>
    <t>1.4</t>
  </si>
  <si>
    <t>Barracão de madeira/Almoxarifado</t>
  </si>
  <si>
    <t>Aterro incluindo carga, descarga, transporte e apiloamento</t>
  </si>
  <si>
    <t>030675</t>
  </si>
  <si>
    <t>Escavação mecanizada</t>
  </si>
  <si>
    <t>4.1.8</t>
  </si>
  <si>
    <t>4.1.9</t>
  </si>
  <si>
    <t>fazer cpu p atualizar</t>
  </si>
  <si>
    <t>Limpeza do terreno</t>
  </si>
  <si>
    <t>4.2.8</t>
  </si>
  <si>
    <t>4.2.9</t>
  </si>
  <si>
    <t>4.3.8</t>
  </si>
  <si>
    <t>4.3.9</t>
  </si>
  <si>
    <t>4.4.8</t>
  </si>
  <si>
    <t>4.4.9</t>
  </si>
  <si>
    <t>4.5.8</t>
  </si>
  <si>
    <t>4.5.9</t>
  </si>
  <si>
    <t>4.6.8</t>
  </si>
  <si>
    <t>4.6.9</t>
  </si>
  <si>
    <t>CAMADA ARENOSO</t>
  </si>
  <si>
    <t>UNID.</t>
  </si>
  <si>
    <t xml:space="preserve">$ UNIT. </t>
  </si>
  <si>
    <t>CÁLCULO DA MÉDIA  =</t>
  </si>
  <si>
    <t>ESCAVAÇÃO MECANIZADA</t>
  </si>
  <si>
    <t>CARGA  E DESCARGA</t>
  </si>
  <si>
    <t>ATERRO</t>
  </si>
  <si>
    <t>ESCORAMENTO</t>
  </si>
  <si>
    <t>TRANSPORTE ESCAVAÇÃO</t>
  </si>
  <si>
    <t>Execução de ala de lançamento</t>
  </si>
  <si>
    <t>ALA DE LANÇAMENTO</t>
  </si>
  <si>
    <t>$</t>
  </si>
  <si>
    <t>DRENAGEM PROFUNDA</t>
  </si>
  <si>
    <t>PAVIMENTAÇÃO</t>
  </si>
  <si>
    <t>MEIO FIO / SARJETA</t>
  </si>
  <si>
    <t>CALÇADA</t>
  </si>
  <si>
    <t>C = A x (B+1)</t>
  </si>
  <si>
    <t>LISTA DE RUAS (DADOS GERAIS)</t>
  </si>
  <si>
    <t>Ø 1500</t>
  </si>
  <si>
    <t>Ø 1200</t>
  </si>
  <si>
    <t>Ø 1000</t>
  </si>
  <si>
    <t>Ø 800</t>
  </si>
  <si>
    <t>95877</t>
  </si>
  <si>
    <t>Transporte com caminhão basculante 18 m³, em via urbana pavimentada até DMT 30 km. AF_07/2020</t>
  </si>
  <si>
    <t>m³ x Km</t>
  </si>
  <si>
    <t>E = C x D</t>
  </si>
  <si>
    <t>G = E x 1,3 x DMT</t>
  </si>
  <si>
    <t>M</t>
  </si>
  <si>
    <t>L = I x 1,3 x DMT</t>
  </si>
  <si>
    <t>Aterro arenoso</t>
  </si>
  <si>
    <t>EXECUÇÃO E COMPACTAÇÃO (m³)</t>
  </si>
  <si>
    <t xml:space="preserve">CÓDIGO DESONERADO </t>
  </si>
  <si>
    <t>Locação de pavimentação. AF_10/2018</t>
  </si>
  <si>
    <t>95995</t>
  </si>
  <si>
    <t>Execução de pavimento com aplicação de concreto asfáltico, camada de rolamento - exclusive carga e transporte. AF_11/2019</t>
  </si>
  <si>
    <t>M³</t>
  </si>
  <si>
    <t>Øext  + 0,5</t>
  </si>
  <si>
    <t>ROLO COMPACTADOR DE PNEUS ESTÁTICO, PRESSÃO VARIÁVEL, POTÊNCIA 111 HP, PESO SEM/COM LASTRO 9,5 / 26 T, LARGURA DE TRABALHO 1,90 M - CHI DIURNO. AF_07/2014</t>
  </si>
  <si>
    <t>ROLO COMPACTADOR DE PNEUS ESTÁTICO, PRESSÃO VARIÁVEL, POTÊNCIA 111 HP, PESO SEM/COM LASTRO 9,5 / 26 T, LARGURA DE TRABALHO 1,90 M - CHP DIURNO. AF_07/2014</t>
  </si>
  <si>
    <t>TRATOR DE PNEUS COM POTÊNCIA DE 122 CV, TRAÇÃO 4X4, COM GRADE DE DISCOS ACOPLADA - CHI DIURNO. AF_02/2017</t>
  </si>
  <si>
    <t>TRATOR DE PNEUS COM POTÊNCIA DE 122 CV, TRAÇÃO 4X4, COM GRADE DE DISCOS ACOPLADA - CHP DIURNO. AF_02/2017</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</si>
  <si>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</si>
  <si>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CHP DIURNO. AF_06/2014</t>
  </si>
  <si>
    <t>00006079</t>
  </si>
  <si>
    <t>ARGILA, ARGILA VERMELHA OU ARGILA ARENOSA (RETIRADA NA JAZIDA, SEM TRANSPORTE)</t>
  </si>
  <si>
    <t>D – Serviços</t>
  </si>
  <si>
    <t>100980</t>
  </si>
  <si>
    <t>D - Custo Total de Serviços:</t>
  </si>
  <si>
    <t>Serviços</t>
  </si>
  <si>
    <t>[transportar subtotal D]</t>
  </si>
  <si>
    <t>A+B+C+D</t>
  </si>
  <si>
    <t>7.5</t>
  </si>
  <si>
    <t>VI</t>
  </si>
  <si>
    <t>1,5 ≤ H ≥ 3,0 e 1,5 ≤ L ≥ 2,5</t>
  </si>
  <si>
    <t>CBUQ (m³)</t>
  </si>
  <si>
    <t>REATERRO</t>
  </si>
  <si>
    <t>Escoramento de vala, tipo descontínuo, com profundidade de 1,5 A 3,0 m, largura maior ou igual A 1,5 M e menor que 2,5 M. AF_08/2020</t>
  </si>
  <si>
    <t>Reaterro mecanizado de vala com retroescavadeira, largura de 0,8 m até 1,5 m, profundidade até 1,5 m, com solo de 1 categoria em locais com baixo nível de interferência. AF_04/2016</t>
  </si>
  <si>
    <t>Q = E x 1,3 x DMT</t>
  </si>
  <si>
    <t>6.3</t>
  </si>
  <si>
    <t>6.4</t>
  </si>
  <si>
    <t>6.5</t>
  </si>
  <si>
    <t>6.6</t>
  </si>
  <si>
    <t>CPU - VI</t>
  </si>
  <si>
    <t>DEMONSTRAÇÕES DAS VARIÁVEIS DA FÓRMULAS ADOTADA PELO TCU</t>
  </si>
  <si>
    <t>COMPOSIÇÃO DE ENCARGOS SOCIAIS</t>
  </si>
  <si>
    <t>ENCARGOS SOCIAIS SOBRE A MÃO DE OBRA</t>
  </si>
  <si>
    <t>Reincidência de Grupo A sobre Aviso Prévio Trabalho e Reincidência do FGTS sobre Aviso Prévio Indenizado</t>
  </si>
  <si>
    <t>COMPOSIÇÃO DE TAXA DE BDI</t>
  </si>
  <si>
    <t>ADMINISTRAÇÃO CENTRAL DA OBRA - AC</t>
  </si>
  <si>
    <t>RISCO - R</t>
  </si>
  <si>
    <t>DESPESAS FINANCEIRAS - DF</t>
  </si>
  <si>
    <t>Subtotal</t>
  </si>
  <si>
    <t>SEGURO - S + GARANTIA - G</t>
  </si>
  <si>
    <t xml:space="preserve"> LUCRO - L</t>
  </si>
  <si>
    <t>DEMONSTRAÇÃO DOS TRIBUTOS FEDERAIS</t>
  </si>
  <si>
    <t>TRIBUTOS FEDERAIS - TF *</t>
  </si>
  <si>
    <t>* TF</t>
  </si>
  <si>
    <t>TRIBUTOS MUNICIPAIS - TM **</t>
  </si>
  <si>
    <t>** TM</t>
  </si>
  <si>
    <t>(A)</t>
  </si>
  <si>
    <t>(B)</t>
  </si>
  <si>
    <t>(C)</t>
  </si>
  <si>
    <t>(D)</t>
  </si>
  <si>
    <t>Serviço: Usinagem de concreto betuminoso usinado a quente (CBUQ), CAP 50/70, para capa de rolamento</t>
  </si>
  <si>
    <t>Serviço: Reforço de bordo</t>
  </si>
  <si>
    <t xml:space="preserve">A - Custo Total Mão-de-obra:                     </t>
  </si>
  <si>
    <t xml:space="preserve">B - Custo Total de Equipamentos:            </t>
  </si>
  <si>
    <t xml:space="preserve">C - Custo Total de Materiais:                </t>
  </si>
  <si>
    <t xml:space="preserve">Unidade: </t>
  </si>
  <si>
    <t>OBRA:</t>
  </si>
  <si>
    <t>VALOR DA OBRA:</t>
  </si>
  <si>
    <t>Unidade:</t>
  </si>
  <si>
    <t xml:space="preserve">SINAPI </t>
  </si>
  <si>
    <t>Tubo em concreto simples d= 400mm (fornecimento)</t>
  </si>
  <si>
    <t>Tubo em concreto armado d= 600mm (fornecimento)</t>
  </si>
  <si>
    <t>Tubo em concreto armado d= 800mm (fornecimento)</t>
  </si>
  <si>
    <t>Tubo em concreto armado d= 1000mm (fornecimento)</t>
  </si>
  <si>
    <t>Tubo de concreto armado para águas pluviais, classe PA-3, diâmetro nominal de 1200 mm (fornecimento)</t>
  </si>
  <si>
    <t>Tubo de concreto armado para águas pluviais, classe PA-3, diâmetro nominal de 1500 mm (fornecimento)</t>
  </si>
  <si>
    <t>ATERRO (m³)</t>
  </si>
  <si>
    <t xml:space="preserve">Execução e compactação de base e ou sub base para pavimentação de solo estabilizado granulometricamente sem mistura de solos - exclusive escavação, carga e transporte. AF_11/2019. </t>
  </si>
  <si>
    <t>ESPARGIDOR DE ASFALTO PRESSURIZADO, TANQUE 6 M3 COM ISOLAÇÃO TÉRMICA, AQUECIDO COM 2 MAÇARICOS, COM BARRA ESPARGIDORA 3,60 M, MONTADO SOBRE CAMINHÃO TOCO, PBT 14.300 KG, POTÊNCIA 185 CV - CHP DIURNO. AF_08/2015</t>
  </si>
  <si>
    <t xml:space="preserve">CBAA - ASFALTOS LTDA </t>
  </si>
  <si>
    <t>DATA</t>
  </si>
  <si>
    <t>Eco- Imprima E.A.I</t>
  </si>
  <si>
    <t>EMAM ASFALTOS (Acará/PA)</t>
  </si>
  <si>
    <t>WBL - NKN</t>
  </si>
  <si>
    <t>7.6</t>
  </si>
  <si>
    <t>Fresagem de pavimento asfaltico (profundidade até 5,0 cm) - exclusive transporte. AF_11/2019</t>
  </si>
  <si>
    <t>FRESAGEM (m²)</t>
  </si>
  <si>
    <t>E = D</t>
  </si>
  <si>
    <t>G = H x 0,43 x 0,10</t>
  </si>
  <si>
    <t>H = A x 2</t>
  </si>
  <si>
    <t>K = A x B</t>
  </si>
  <si>
    <t>Q = A x B</t>
  </si>
  <si>
    <t>TOTAL DO ITEM 9:</t>
  </si>
  <si>
    <t>SINALIZAÇÃO VIÁRIA</t>
  </si>
  <si>
    <t xml:space="preserve">Sinalização Horizontal </t>
  </si>
  <si>
    <t>SICRO</t>
  </si>
  <si>
    <t>5213405</t>
  </si>
  <si>
    <t>Pintura setas/zebrados - tinta b. acrílica - espessura 0,6 mm (manual)</t>
  </si>
  <si>
    <t>5213401</t>
  </si>
  <si>
    <t>Pintura de faixa - tinta b. acrílica - espessura - 0,4 mm (mecânica)</t>
  </si>
  <si>
    <t>Sinalização  Vertical</t>
  </si>
  <si>
    <t>5213440</t>
  </si>
  <si>
    <t>Fornecimento e implantação de placa de regulamentação em aço D = 0,60 m - película retrorrefletiva tipo I + SI</t>
  </si>
  <si>
    <t>5216111</t>
  </si>
  <si>
    <t>Fornecimento e implantação de suporte e travessa para placa de sinalização em madeira de lei tratada 8 x 8 cm</t>
  </si>
  <si>
    <t>8.1.1</t>
  </si>
  <si>
    <t>8.1.2</t>
  </si>
  <si>
    <t>8.2</t>
  </si>
  <si>
    <t>8.2.1</t>
  </si>
  <si>
    <t>8.2.2</t>
  </si>
  <si>
    <t>SARJETA (m)</t>
  </si>
  <si>
    <t>MEIO FIO (m)</t>
  </si>
  <si>
    <t>I = A x 2</t>
  </si>
  <si>
    <t>J = D + G</t>
  </si>
  <si>
    <t>L = A x B</t>
  </si>
  <si>
    <t>N= L x M</t>
  </si>
  <si>
    <t>O = N x DMT</t>
  </si>
  <si>
    <t>R = A x B</t>
  </si>
  <si>
    <t>TERRAPLENAGEM / CAIXA PRIMÁRIA</t>
  </si>
  <si>
    <t>TRANSPORTE (m³ x km) bf</t>
  </si>
  <si>
    <t xml:space="preserve">ESCAVAÇÃO E CARGA (m³) REFORÇO SUBLEITO </t>
  </si>
  <si>
    <t>TRANSPORTE (m³ x km) &lt;30KM</t>
  </si>
  <si>
    <t>TRANSPORTE (m³ x km) &gt;30KM</t>
  </si>
  <si>
    <t xml:space="preserve">COMPACTAÇÃO (m³) REFORÇO SUBLEITO </t>
  </si>
  <si>
    <t>H = C x D</t>
  </si>
  <si>
    <t>I = F x 1,3 x DMT</t>
  </si>
  <si>
    <t>J = H</t>
  </si>
  <si>
    <t>5.5</t>
  </si>
  <si>
    <t>5.6</t>
  </si>
  <si>
    <t>5.7</t>
  </si>
  <si>
    <t>Escavacao e carga material 1a categoria, utilizando trator de esteiras de 110 a 160hp com lamina, peso operacional * 13t e pa carregadeira com 170 hp.</t>
  </si>
  <si>
    <t>Transporte com caminhão basculante de 6 m3, em via urbana pavimentada, dmt até 30 km (unidade: m3xkm). Af_01/2018</t>
  </si>
  <si>
    <t>Argila, argila vermelha ou argila arenosa (retirada na jazida, sem transporte)</t>
  </si>
  <si>
    <t>Transporte com caminhão basculante de 18 m3, em via urbana pavimentada , dmt até 30 km (unidade: m3xkm). Af_12/2016</t>
  </si>
  <si>
    <t>Transporte com caminhão basculante de 18 m3, em via urbana pavimentada, dmt acima de 30km (unidade: m3xkm). Af_04/2016</t>
  </si>
  <si>
    <t>Execução e compactação de aterro com solo predominantemente argiloso - exclusive escavação, carga e transporte e solo. Af_09/2017</t>
  </si>
  <si>
    <t>m³ x km</t>
  </si>
  <si>
    <t>REMENDO PROFUNDO</t>
  </si>
  <si>
    <t>DEMOLIÇÃO PAV</t>
  </si>
  <si>
    <t>EXECUÇÃO (m³)</t>
  </si>
  <si>
    <t>H = A x B x %</t>
  </si>
  <si>
    <t>I = A x B x 0,70 x %</t>
  </si>
  <si>
    <t>K = (H+J) x 0,05 + I</t>
  </si>
  <si>
    <t>L = J x 1,3 x DMT</t>
  </si>
  <si>
    <t>101835</t>
  </si>
  <si>
    <t>Recomposição de base e ou sub-base para remendo profundo de brita gruada simples - incluso retirada e colocação do material. Af_12/2020</t>
  </si>
  <si>
    <t>97636</t>
  </si>
  <si>
    <t>Demolição parcial de pavimento asfáltico, de forma mecanizada, sem reaproveitamento. Af_12/2017</t>
  </si>
  <si>
    <t>Carga e descarga mecanizadas de entulho em caminhao basculante 6 m3</t>
  </si>
  <si>
    <t>7.7</t>
  </si>
  <si>
    <t>CAMADA PEDREGULHO</t>
  </si>
  <si>
    <t>VIAS</t>
  </si>
  <si>
    <t>ÁREA</t>
  </si>
  <si>
    <t>SERVIÇOS DE DRENAGEM PROFUNDA</t>
  </si>
  <si>
    <t>SERVIÇOS DE DRENAGEM SUPERFICIAL</t>
  </si>
  <si>
    <t>D = AxBxC</t>
  </si>
  <si>
    <t>F = E x empolamento 25% x DMT</t>
  </si>
  <si>
    <t>G = AxB</t>
  </si>
  <si>
    <t>H = G</t>
  </si>
  <si>
    <t>I = (πxr²)xA</t>
  </si>
  <si>
    <t>E = I</t>
  </si>
  <si>
    <t>J = (D - I) x 70%</t>
  </si>
  <si>
    <t>K = (D - I) x 30%</t>
  </si>
  <si>
    <t>L = AxCx2</t>
  </si>
  <si>
    <t>M = A</t>
  </si>
  <si>
    <t>((Øext +0,6)+((Øext +0,6)+(Ax0,5%)))/2</t>
  </si>
  <si>
    <t>ESCAVAÇÃO (m³)             BF</t>
  </si>
  <si>
    <t>ESPESSURA DE ATERRO (m)</t>
  </si>
  <si>
    <t xml:space="preserve">ESCAVAÇÃO E MATERIAL (m³) REFORÇO SUBLEITO </t>
  </si>
  <si>
    <t>ESPALHAMENTO (m³)</t>
  </si>
  <si>
    <t>K</t>
  </si>
  <si>
    <t>L = C x K</t>
  </si>
  <si>
    <t>M = L</t>
  </si>
  <si>
    <t>N = L x 1,3 x DMT</t>
  </si>
  <si>
    <t>O</t>
  </si>
  <si>
    <t>P = C x O</t>
  </si>
  <si>
    <t>Q = P</t>
  </si>
  <si>
    <t>P = N</t>
  </si>
  <si>
    <t>R = P x 1,3 x DMT</t>
  </si>
  <si>
    <t>Escavacao e carga material 1a categoria, utilizando trator de esteiras de 110 a 160hp com lamina, peso operacional * 13t e pa carregadeira com 170 hp.  (Jazida)</t>
  </si>
  <si>
    <t>5.8</t>
  </si>
  <si>
    <t>6.7</t>
  </si>
  <si>
    <t>6.8</t>
  </si>
  <si>
    <t>ESCAVAÇÃO E CARGA (m³)  (m³)</t>
  </si>
  <si>
    <t>ESCAVAÇÃO E CARGA (m³)</t>
  </si>
  <si>
    <t>TRANSPORTE  (m³ x km) &lt;30KM</t>
  </si>
  <si>
    <t>Discriminação</t>
  </si>
  <si>
    <t>OBS: Vigência a partir de 12/2022</t>
  </si>
  <si>
    <t>OBJETO:</t>
  </si>
  <si>
    <t xml:space="preserve">REF - SINAPI </t>
  </si>
  <si>
    <t xml:space="preserve">Serviço: </t>
  </si>
  <si>
    <t>Custo Total</t>
  </si>
  <si>
    <t>Totais</t>
  </si>
  <si>
    <t>DEMONSTRAÇÃO DE COEFICIENTE</t>
  </si>
  <si>
    <t>meses</t>
  </si>
  <si>
    <t>total</t>
  </si>
  <si>
    <t>Referência</t>
  </si>
  <si>
    <t>Topógrafo</t>
  </si>
  <si>
    <t xml:space="preserve">Auxiliar de topográfo </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</si>
  <si>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</si>
  <si>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</si>
  <si>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</si>
  <si>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</si>
  <si>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</si>
  <si>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</si>
  <si>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</si>
  <si>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</si>
  <si>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Trator de pneus, potência 85 cv, tração 4x4, peso com lastro de 4.675 kg - chp diurno. Af_06/2014</t>
  </si>
  <si>
    <t>Trator de pneus, potência 85 cv, tração 4x4, peso com lastro de 4.675 kg - chi diurno. Af_06/2014</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</si>
  <si>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</si>
  <si>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</si>
  <si>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 xml:space="preserve">Execução e compactação de base e ou sub base para pavimentação de solo arenoso (SOLO MELHORADO COM PEDREGULHO) - exclusive escavação, carga e transporte. </t>
  </si>
  <si>
    <t>Pedregulho ou picarra de jazida, ao natural, para base de pavimentacao</t>
  </si>
  <si>
    <t>Rolo compactador vibratório pé de carneiro para solos, potência 80 hp, peso operacional sem/com lastro 7,4 / 8,8 t, largura de trabalho 1,68 m - chp diurno. Af_02/2016</t>
  </si>
  <si>
    <t>Rolo compactador vibratório pé de carneiro para solos, potência 80 hp, peso operacional sem/com lastro 7,4 / 8,8 t, largura de trabalho 1,68 m - chi diurno. Af_02/2016</t>
  </si>
  <si>
    <t>Vassoura mecânica rebocável com escova cilíndrica, largura útil de varrimento de 2,44 m - chp diurno. Af_06/2014</t>
  </si>
  <si>
    <t>Vassoura mecânica rebocável com escova cilíndrica, largura útil de varrimento de 2,44 m - chi diurno. Af_06/2014</t>
  </si>
  <si>
    <t>Espargidor de asfalto pressurizado, tanque 6 m3 com isolação térmica, aquecido com 2 maçaricos, com barra espargidora 3,60 m, montado sobre caminhão  toco, pbt 14.300 kg, potência 185 cv - chp diurno. Af_08/2015</t>
  </si>
  <si>
    <t>Espargidor de asfalto pressurizado, tanque 6 m3 com isolação térmica, aquecido com 2 maçaricos, com barra espargidora 3,60 m, montado sobre caminhão  toco, pbt 14.300 kg, potência 185 cv - chi diurno. Af_08/2015</t>
  </si>
  <si>
    <t>Emulsao asfaltica cationica rr-2c para uso em pavimentacao asfaltica (coletado caixa na anp acrescido de icms)</t>
  </si>
  <si>
    <t>I - (CPRB/100)</t>
  </si>
  <si>
    <t>(1 - I)=</t>
  </si>
  <si>
    <t>RECUPERAÇÃO DE BL</t>
  </si>
  <si>
    <t>COMP</t>
  </si>
  <si>
    <t>Recuperação de PV´s ou Caixas de águas pluviais para bueiros simples</t>
  </si>
  <si>
    <t>Recuperação de BL´s simples</t>
  </si>
  <si>
    <t>REF - SEDOP</t>
  </si>
  <si>
    <t>VII</t>
  </si>
  <si>
    <t xml:space="preserve">UN </t>
  </si>
  <si>
    <t>AJUDANTE DE PEDREIRO COM ENCARGOS COMPLEMENTARES</t>
  </si>
  <si>
    <t>C – Materiais / Serviços</t>
  </si>
  <si>
    <t>Retirada de entulho - manualmente (incluindo caixa coletora)</t>
  </si>
  <si>
    <t>Concreto armado Fck=15 MPA c/forma mad. branca (incl. lançamento e adensamento)</t>
  </si>
  <si>
    <t>Escavação manual ate 1.50m de profundidade</t>
  </si>
  <si>
    <t>Reaterro compactado</t>
  </si>
  <si>
    <t>Alvenaria tijolo de barro a singelo</t>
  </si>
  <si>
    <t>H00292</t>
  </si>
  <si>
    <t>Tubo em concreto armado d=1000mm</t>
  </si>
  <si>
    <t xml:space="preserve">un </t>
  </si>
  <si>
    <t>REF - SINAPI</t>
  </si>
  <si>
    <t>VIII</t>
  </si>
  <si>
    <t>RETROESCAVADEIRA SOBRE RODAS COM CARREGADEIRA, TRAÇÃO 4X4, POTÊNCIA LÍQ. 8 CHP 
8 HP, CAÇAMBA CARREG. CAP. MÍN. 1 M3, CAÇAMBA RETRO CAP. 0,26 M3, PESO OPE
RACIONAL MÍN. 6.674 KG, PROFUNDIDADE ESCAVAÇÃO MÁX. 4,37 M -  DIURNO. A
F_06/2014</t>
  </si>
  <si>
    <t>CANALETA DE CONCRETO 19 X 19 X 19 CM (CLASSE C - NBR 6136)</t>
  </si>
  <si>
    <t>DESMOLDANTE PROTETOR PARA FORMAS DE MADEIRA, DE BASE OLEOSA EMULSIONADA EM</t>
  </si>
  <si>
    <t>PONTALETE *7,5 X 7,5* CM EM PINUS, MISTA OU EQUIVALENTE DA REGIAO - BRUTA</t>
  </si>
  <si>
    <t>SARRAFO *2,5 X 7,5* CM EM PINUS, MISTA OU EQUIVALENTE DA REGIAO - BRUTA</t>
  </si>
  <si>
    <t>PREGO DE ACO POLIDO COM CABECA 17 X 27 (2 1/2 X 11)</t>
  </si>
  <si>
    <t>TABUA NAO APARELHADA *2,5 X 20* CM, EM MACARANDUBA/MASSARANDUBA, ANGELIM O
U EQUIVALENTE DA REGIAO - BRUTA</t>
  </si>
  <si>
    <t xml:space="preserve"> M</t>
  </si>
  <si>
    <t>BLOCO DE CONCRETO ESTRUTURAL 19 X 19 X 39 CM, FBK 4,5 MPA (NBR 6136)</t>
  </si>
  <si>
    <t>MEIO-FIO OU GUIA DE CONCRETO PRE-MOLDADO, TIPO CHAPEU PARA BOCA DE LOBO, DIMENSOES *1,20* X 0,15 X 0,30 M</t>
  </si>
  <si>
    <t>ARGAMASSA TRAÇO 1:4 (EM VOLUME DE CIMENTO E AREIA GROSSA ÚMIDA) PARA CHAPISCO CONVENCIONAL, PREPARO MECÂNICO COM BETONEIRA 400 L. AF_08/2019</t>
  </si>
  <si>
    <t>ARGAMASSA TRAÇO 1:3 (EM VOLUME DE CIMENTO E AREIA MÉDIA ÚMIDA), PREPARO MECÂNICO COM BETONEIRA 400 L. AF_08/2019</t>
  </si>
  <si>
    <t>GRAUTEAMENTO VERTICAL EM ALVENARIA ESTRUTURAL. AF_09/2021</t>
  </si>
  <si>
    <t>GRAUTEAMENTO DE CINTA SUPERIOR OU DE VERGA EM ALVENARIA ESTRUTURAL. AF_09/2021</t>
  </si>
  <si>
    <t>ARMAÇÃO VERTICAL DE ALVENARIA ESTRUTURAL; DIÂMETRO DE 10,0 MM. AF_09/202</t>
  </si>
  <si>
    <t>ARMAÇÃO DE CINTA DE ALVENARIA ESTRUTURAL; DIÂMETRO DE 10,0 MM. AF_09/2021</t>
  </si>
  <si>
    <t>CONCRETO FCK = 20MPA, TRAÇO 1:2,7:3 (EM MASSA SECA DE CIMENTO/ AREIA MÉDIA / BRITA 1) - PREPARO MECÂNICO COM BETONEIRA 600 L. AF_05/2021</t>
  </si>
  <si>
    <t>PEÇA RETANGULAR PRÉ-MOLDADA, VOLUME DE CONCRETO DE 30 A 100 LITROS, TAXA DE AÇO APROXIMADA DE 30KG/M³. AF_01/2018</t>
  </si>
  <si>
    <t>PREPARO DE FUNDO DE VALA COM LARGURA MENOR QUE 1,5 M (ACERTO DO SOLO NATUR</t>
  </si>
  <si>
    <t>RECUPERAÇÃO DE PV´S</t>
  </si>
  <si>
    <t>9.1</t>
  </si>
  <si>
    <t>OBRAS DE ARTES ESPECIAIS</t>
  </si>
  <si>
    <t>und</t>
  </si>
  <si>
    <t>PROJETO SANEAR ANANINDEUA - JADERLÂNDIA/MAGUARIAÇÚ</t>
  </si>
  <si>
    <t>DESCRIÇÃO E CÁLCULO</t>
  </si>
  <si>
    <t>QUANT.</t>
  </si>
  <si>
    <t xml:space="preserve">PONTE </t>
  </si>
  <si>
    <t>1</t>
  </si>
  <si>
    <t>SERVIÇOS INICIAIS</t>
  </si>
  <si>
    <t>Locação da Obra, com uso de Equipamentos Topográficos, inclusive nivelador</t>
  </si>
  <si>
    <t>m2</t>
  </si>
  <si>
    <t>COMPRIMENTO</t>
  </si>
  <si>
    <t>ALTURA</t>
  </si>
  <si>
    <t>FUNDAÇÕES</t>
  </si>
  <si>
    <t>ESTACAS</t>
  </si>
  <si>
    <t>QUANT</t>
  </si>
  <si>
    <t>7</t>
  </si>
  <si>
    <t>BLOCOS DE COROAMENTO</t>
  </si>
  <si>
    <t>Execucao De Cimbramento Para Escoramento De Formas Elevadas De Madeira (Lajes E Vigas), Acima De 3,30 M De Pe Direito, Com Pontaletes (8,0 X 8,0 Cm) De Madeira De Lei 1A Qualidade E Pecas De Madeira De 2,5 X 10,0 Cm De 2A Qualidade, Nao Aparelhada.</t>
  </si>
  <si>
    <t>FUNDO</t>
  </si>
  <si>
    <t>Kg</t>
  </si>
  <si>
    <t>9</t>
  </si>
  <si>
    <t>9.2</t>
  </si>
  <si>
    <t>10</t>
  </si>
  <si>
    <t>10.1</t>
  </si>
  <si>
    <t>10.2</t>
  </si>
  <si>
    <t>10.3</t>
  </si>
  <si>
    <t xml:space="preserve"> </t>
  </si>
  <si>
    <t>Ponte em concreto armado sobre o Igarapé Ariri (vão 20 m)</t>
  </si>
  <si>
    <t>UND</t>
  </si>
  <si>
    <t>P UNIT S/ BDI</t>
  </si>
  <si>
    <t>P UNIT C/ BDI</t>
  </si>
  <si>
    <t>PREÇO TOTAL</t>
  </si>
  <si>
    <t>LOCACAO CONVENCIONAL DE OBRA, UTILIZANDO GABARITO DE TÁBUAS CORRIDAS PONTALETADAS A CADA 2,00M - 2 UTILIZAÇÕES. AF_10/2018</t>
  </si>
  <si>
    <t>FABRICAÇÃO, MONTAGEM E DESMONTAGEM DE FÔRMA PARA BLOCO DE COROAMENTO, EM CHAPA DE MADEIRA COMPENSADA RESINADA, E=17 MM, 2 UTILIZAÇÕES. AF_06/2017</t>
  </si>
  <si>
    <t>ARMAÇÃO DE BLOCO, VIGA BALDRAME E SAPATA UTILIZANDO AÇO CA-60 DE 5 MM</t>
  </si>
  <si>
    <t>kg</t>
  </si>
  <si>
    <t>CONCRETAGEM DE BLOCOS DE COROAMENTO E VIGAS BALDRAMES, FCK 30 MPA, COM USO DE BOMBA LANÇAMENTO, ADENSAMENTO E ACABAMENTO.</t>
  </si>
  <si>
    <t>PILARES</t>
  </si>
  <si>
    <t xml:space="preserve">Já esta incluso na armação dos blocos </t>
  </si>
  <si>
    <t>LONGARINAS E TRANSVERSINAS</t>
  </si>
  <si>
    <t>FABRICAÇÃO DE FÔRMA PARA VIGAS, EM CHAPA DE MADEIRA COMPENSADA PLASTIFICADA, E = 18 MM.</t>
  </si>
  <si>
    <t>ARMAÇÃO DE PILAR OU VIGA DE UMA ESTRUTURA CONVENCIONAL DE CONCRETO ARMADO EM UMA EDIFICAÇÃO TÉRREA OU SOBRADO UTILIZANDO AÇO CA-50 DE 8,0 MM - MONTAGEM. AF_12/2015</t>
  </si>
  <si>
    <t>CONCRETO USINADO BOMBEAVEL, CLASSE DE RESISTENCIA C30, COM BRITA 0 E 1, SLUMP =100 +/- 20 MM, INCLUI SERVICO DE BOMBEAMENTO (NBR 8953)</t>
  </si>
  <si>
    <t>LAJE DE PLATAFORMA</t>
  </si>
  <si>
    <t>ESCORAMENTO DE VALA, TIPO CONTÍNUO COM PERFIL METÁLICO "U", COM PROFUNDIDADE DE 3,0 A 4,5 M, LARGURA MAIOR OU IGUAL A 1,5 M E MENOR QUE 2,5</t>
  </si>
  <si>
    <t>FABRICAÇÃO DE FÔRMA PARA LAJES, EM CHAPA DE MADEIRA COMPENSADA PLASTIFICADA, E = 18 MM.</t>
  </si>
  <si>
    <t>ESCORAMENTO DE FÔRMAS DE LAJE EM MADEIRA NÃO APARELHADA, PÉ-DIREITO DUPLO, INCLUSO TRAVAMENTO, 4 UTILIZAÇÕES. AF_09/2020</t>
  </si>
  <si>
    <t>Laje de transição</t>
  </si>
  <si>
    <t>FUNDAÇÃO</t>
  </si>
  <si>
    <t>ESTACA PRÉ-MOLDADA DE CONCRETO, SEÇÃO QUADRADA, CAPACIDADE DE 50 TONELADAS, COMPRIMENTO TOTAL CRAVADO ACIMA DE 5M ATÉ 12M, BATE-ESTACAS POR GRAVIDADE SOBRE ROLOS (EXCLUSIVE MOBILIZAÇÃO E DESMOBILIZAÇÃO)</t>
  </si>
  <si>
    <t>Mobilização e desmobilização de bate-estaca</t>
  </si>
  <si>
    <t>unid</t>
  </si>
  <si>
    <t>CORTINA DE CONTENÇÃO DE CABECEIRAS</t>
  </si>
  <si>
    <t>ALA DE CONTENÇÃO</t>
  </si>
  <si>
    <t>GUARDA-CORPO</t>
  </si>
  <si>
    <t>LIMPEZA GERA FINAL</t>
  </si>
  <si>
    <t>Limpeza Final Da Obra</t>
  </si>
  <si>
    <t>MEMÓRIA DE CÁLCULO - 16ª REPROGRAMAÇÃO</t>
  </si>
  <si>
    <t>PONTE - 1; 2 ; 3 e 4</t>
  </si>
  <si>
    <t>DIMENÇÕES</t>
  </si>
  <si>
    <t>TOTAL (m)</t>
  </si>
  <si>
    <t xml:space="preserve">COMPRIMENTO </t>
  </si>
  <si>
    <t>9,40 m</t>
  </si>
  <si>
    <t>20 m</t>
  </si>
  <si>
    <t>9,40 x 20,0</t>
  </si>
  <si>
    <t>QUANTIDADE</t>
  </si>
  <si>
    <t>Forma Tabuas Madeira 3A P/ Pecas Concreto Arm, Reapr 2X, Incl Montagem E Desmontagem.</t>
  </si>
  <si>
    <t>FORMA DOS BLOCOS</t>
  </si>
  <si>
    <t>BLOCOS DE   [ 2,80 x 0,80 x 0,70 ]   ( x4 )</t>
  </si>
  <si>
    <t>COMPRIMENTO (m)</t>
  </si>
  <si>
    <t>LARGURA  (m)</t>
  </si>
  <si>
    <t>TOTAL ( M² )</t>
  </si>
  <si>
    <t>LATERAIS</t>
  </si>
  <si>
    <t>PERIMETRO DAS LATERAIS (m)</t>
  </si>
  <si>
    <t xml:space="preserve">ALTURA </t>
  </si>
  <si>
    <t>2,80+2,80+0,84+0,84 =</t>
  </si>
  <si>
    <t>BLOCOS DE   [ 1,80 x 0,80 x 0,65 ]   ( x4 )</t>
  </si>
  <si>
    <t>1,80+1,80+0,84+0,84 =</t>
  </si>
  <si>
    <t>BLOCOS DE   [  0,80 x 0,80 x 0,40 ]   ( x8 )</t>
  </si>
  <si>
    <t>0,80+0,80+0,84+0,84 =</t>
  </si>
  <si>
    <t xml:space="preserve"> TOTAL  GERAL</t>
  </si>
  <si>
    <t>Armacao De Aco Ca-60 Diam. 3,4 A 6,0Mm.- Fornecimento / Corte (C/Perda De 10%) / Dobra / Colocacao.</t>
  </si>
  <si>
    <t>ARMAÇÃO DOS BLOCOS  ( Kg )</t>
  </si>
  <si>
    <t>VER PROJETO - FUN / 03   ( PRANCHA 03/04 )</t>
  </si>
  <si>
    <t>→</t>
  </si>
  <si>
    <t>TOTAL ( MENOS OS 10% DE PROJETO )</t>
  </si>
  <si>
    <t>Concreto Usinado Bombeado Fck=25Mpa, Inclusive Lancamento E Adensamento</t>
  </si>
  <si>
    <t xml:space="preserve">CONCRETO DOS BLOCOS </t>
  </si>
  <si>
    <t>TOTAL ( M³ )</t>
  </si>
  <si>
    <t xml:space="preserve"> TOTAL </t>
  </si>
  <si>
    <t>ARMAÇÃO DOS PILARES  ( Kg )</t>
  </si>
  <si>
    <t>VER PROJETO - PRANCHA 01/03</t>
  </si>
  <si>
    <t>LONGARINAS E TRASVERSINAS</t>
  </si>
  <si>
    <t>FORMA DAS VIGAS</t>
  </si>
  <si>
    <t>LONGARINAS</t>
  </si>
  <si>
    <t>PERIMETRO DA SEÇAO DE FORMA</t>
  </si>
  <si>
    <t>1,04 + 0,20 + 1,04 =</t>
  </si>
  <si>
    <t>1,24 + 0,20 + 1,24 =</t>
  </si>
  <si>
    <t>TRANSVERSINAS</t>
  </si>
  <si>
    <t>1,04 + 0,25 + 1,04 =</t>
  </si>
  <si>
    <t>0,64 + 0,30 + 0,64 =</t>
  </si>
  <si>
    <t>Armacao Aco Ca-50 Diam.16,0 (5/8) À 25,0Mm (1) - Fornecimento/ Corte(Perda De 10%) / Dobra / Colocação.</t>
  </si>
  <si>
    <t>VER PROJETO - PRANCHA EST. 02/03</t>
  </si>
  <si>
    <t>CONCRETO DAS VIGAS</t>
  </si>
  <si>
    <t>11</t>
  </si>
  <si>
    <t>LAJE DE PLATARFORMA</t>
  </si>
  <si>
    <t>11.1</t>
  </si>
  <si>
    <t xml:space="preserve">Escoramento De Valas Continuo </t>
  </si>
  <si>
    <t>ESCORAMENTO DE VALAS</t>
  </si>
  <si>
    <t>ALTURA (m)</t>
  </si>
  <si>
    <t>11.2</t>
  </si>
  <si>
    <t>FORMA DAS LAJES</t>
  </si>
  <si>
    <t>LAJES</t>
  </si>
  <si>
    <t>L1</t>
  </si>
  <si>
    <t>L2</t>
  </si>
  <si>
    <t>L3</t>
  </si>
  <si>
    <t>L4</t>
  </si>
  <si>
    <t>L5</t>
  </si>
  <si>
    <t>L6</t>
  </si>
  <si>
    <t>L7</t>
  </si>
  <si>
    <t>L8</t>
  </si>
  <si>
    <t>L9</t>
  </si>
  <si>
    <t>L10</t>
  </si>
  <si>
    <t>L11</t>
  </si>
  <si>
    <t>L12</t>
  </si>
  <si>
    <t>L13</t>
  </si>
  <si>
    <t>L14</t>
  </si>
  <si>
    <t>L15</t>
  </si>
  <si>
    <t>L16</t>
  </si>
  <si>
    <t>L17</t>
  </si>
  <si>
    <t>L18</t>
  </si>
  <si>
    <t>L19</t>
  </si>
  <si>
    <t>L20</t>
  </si>
  <si>
    <t>11.3</t>
  </si>
  <si>
    <t>ARMAÇÃO DAS LAJES  ( Kg )</t>
  </si>
  <si>
    <t>VER PROJETO - PRANCHA EST 001. ( PRANCHA  01/02)</t>
  </si>
  <si>
    <t>11.4</t>
  </si>
  <si>
    <t>CONCRETO DAS LAJES</t>
  </si>
  <si>
    <t>11.5</t>
  </si>
  <si>
    <t>LIMPEZA GERAL</t>
  </si>
  <si>
    <t>COMPRIMENTO ( M )</t>
  </si>
  <si>
    <t>LARGURA ( M )</t>
  </si>
  <si>
    <t>ALTURA MÉDIA ( M )                [ ( 3,56+5,10+4,84 ) /3 ]</t>
  </si>
  <si>
    <t>TOTAL ( m³ )</t>
  </si>
  <si>
    <t>12</t>
  </si>
  <si>
    <t>COMPLEMENTOS</t>
  </si>
  <si>
    <t>12.1</t>
  </si>
  <si>
    <t>Laje de Transição</t>
  </si>
  <si>
    <t>LAJE DE TRANSIÇÃO   (  m³  )</t>
  </si>
  <si>
    <t>AREA DA LAJE</t>
  </si>
  <si>
    <t>13</t>
  </si>
  <si>
    <t>13.1</t>
  </si>
  <si>
    <t>Estaca Premoldada Concreto Armado 25T Incl Cravacao/Emendas</t>
  </si>
  <si>
    <t>36 unds</t>
  </si>
  <si>
    <t>10,0m</t>
  </si>
  <si>
    <t>36 x 10,0</t>
  </si>
  <si>
    <t>COMPRIMENTO DAS  ESTACAS</t>
  </si>
  <si>
    <t>13.2</t>
  </si>
  <si>
    <t>14</t>
  </si>
  <si>
    <t>14.1</t>
  </si>
  <si>
    <t>FORMA</t>
  </si>
  <si>
    <t>LADO DIREITO</t>
  </si>
  <si>
    <t>PERIMETRO DAS LATERAIS</t>
  </si>
  <si>
    <t>9,40 + 9,40 + 0,29 + 0,29 =</t>
  </si>
  <si>
    <t>LADO ESQUERDO</t>
  </si>
  <si>
    <t>14.2</t>
  </si>
  <si>
    <t>ARMAÇÃO DAS CORTINAS DE CONTENÇÃO  ( Kg )</t>
  </si>
  <si>
    <t>VER PROJETO - PRANCHA EST.01  01/01</t>
  </si>
  <si>
    <t>14.3</t>
  </si>
  <si>
    <t>CONCRETO</t>
  </si>
  <si>
    <t>15</t>
  </si>
  <si>
    <t>ALAS DE CONTENÇÃO</t>
  </si>
  <si>
    <t>15.1</t>
  </si>
  <si>
    <t>FORMA DAS ALAS</t>
  </si>
  <si>
    <t>4,70 + 4,70 + 0,29 + 0,29 =</t>
  </si>
  <si>
    <t>15.2</t>
  </si>
  <si>
    <t>ARMAÇÃO DAS ALAS DE CONTENÇÃO  ( Kg )</t>
  </si>
  <si>
    <t>VER PROJETO - PRANCHA EST 1.  01/01</t>
  </si>
  <si>
    <t>15.3</t>
  </si>
  <si>
    <t>CONCRETO DAS ALAS</t>
  </si>
  <si>
    <t>16</t>
  </si>
  <si>
    <t>GUARDA - CORPO</t>
  </si>
  <si>
    <t>16.1</t>
  </si>
  <si>
    <t>FORMA GUARDA- CORPO</t>
  </si>
  <si>
    <t>PERIMETRO DA SEÇÃO</t>
  </si>
  <si>
    <t>0,20 +0,20 + 0,28 + 0,28 =</t>
  </si>
  <si>
    <t>VIGAS</t>
  </si>
  <si>
    <t>16.2</t>
  </si>
  <si>
    <t>VER DETALHE A CIMA</t>
  </si>
  <si>
    <t>16.3</t>
  </si>
  <si>
    <t xml:space="preserve">SEÇÃO DO PILAR </t>
  </si>
  <si>
    <t>SEÇÃO DA VIGA</t>
  </si>
  <si>
    <t>17</t>
  </si>
  <si>
    <t>LIMPEZA GERAL FINAL</t>
  </si>
  <si>
    <t>17.1</t>
  </si>
  <si>
    <t>M²</t>
  </si>
  <si>
    <t>ANEXO - PLANILHA ORÇAMENTÁRIA PONTE 20M (PROJETO BÁSICO)</t>
  </si>
  <si>
    <t>EXECUÇÃO DE SERVIÇOS DE OBRA DE ARTE, NO MUNICÍPIO DE ANANINDEUA/PA.</t>
  </si>
  <si>
    <t>SINAPI/ SEDOP</t>
  </si>
  <si>
    <t>OBRAS DE ARTE</t>
  </si>
  <si>
    <t>RESUMO</t>
  </si>
  <si>
    <t>EXTENSÃO (M)</t>
  </si>
  <si>
    <t>extensão</t>
  </si>
  <si>
    <t>largura faixa</t>
  </si>
  <si>
    <t>espessura</t>
  </si>
  <si>
    <t>subbase</t>
  </si>
  <si>
    <t>base</t>
  </si>
  <si>
    <t>DATA BASE: SEDOP - MAIO/2023 ; SINAPI - DEZ/2023 ; ORSE - JUNHO/2023; SICRO - ABRIL/2023.</t>
  </si>
  <si>
    <t>94275</t>
  </si>
  <si>
    <t>PREPARO DE FUNDO DE VALA COM LARGURA MENOR QUE 1,5 M, COM CAMADA DE AREIA, LANÇAMENTO MANUAL. AF_08/2020</t>
  </si>
  <si>
    <t>ATERRO MECANIZADO DE VALA COM ESCAVADEIRA HIDRÁULICA (CAPACIDADE DA CAÇAMBA: 0,8 M³ / POTÊNCIA: 111 HP), LARGURA ATÉ 2,5 M, PROFUNDIDADE ATÉ 1,5 M, COM SOLO ARGILO-ARENOSO. AF_08/2023</t>
  </si>
  <si>
    <t>CARGA, MANOBRA E DESCARGA DE SOLOS E MATERIAIS GRANULARES EM CAMINHÃO BASCULANTE 6 M³ - CARGA COM ESCAVADEIRA HIDRÁULICA (CAÇAMBA DE 1,20 M³ / 155 HP) E DESCARGA LIVRE (UNIDADE: M3). AF_07/2020</t>
  </si>
  <si>
    <t>90100</t>
  </si>
  <si>
    <t>ESCAVAÇÃO MECANIZADA DE VALA COM PROF. ATÉ 1,5 M (MÉDIA MONTANTE E JANTE/UMA COMPOSIÇÃO POR TRECHO), RETROESCAV. (0,26 M3), LARG. DE 0,8 M A 1,5 M, EM SOLO DE 1A CATEGORIA, EM LOCAIS COM ALTO NÍVEL DE INTERFERÊNCIA. AF_02/2021</t>
  </si>
  <si>
    <t>F = E x empolamento 30% x DMT</t>
  </si>
  <si>
    <t>TRANSPORTE DMT ATÉ 30 KM ATERRO</t>
  </si>
  <si>
    <t>TRANSPORTE DMT ACIMA 30 KM ATERRO</t>
  </si>
  <si>
    <t>4.1.10</t>
  </si>
  <si>
    <t>4.1.11</t>
  </si>
  <si>
    <t>12578</t>
  </si>
  <si>
    <t>12580</t>
  </si>
  <si>
    <t>12572</t>
  </si>
  <si>
    <t>99301</t>
  </si>
  <si>
    <t>99307</t>
  </si>
  <si>
    <t>ACRÉSCIMO PARA POÇO DE VISITA RETANGULAR PARA DRENAGEM, EM ALVENARIA COM BLOCOS DE CONCRETO, DIMENSÕES INTERNAS = 2X2 M. AF_12/2020</t>
  </si>
  <si>
    <t>BASE PARA POÇO DE VISITA RETANGULAR PARA DRENAGEM, EM ALVENARIA COM BLOCOS DE CONCRETO, DIMENSÕES INTERNAS = 2X2 M, PROFUNDIDADE = 1,40 M, E XCLUINDO TAMPÃO. AF_12/2020_PA</t>
  </si>
  <si>
    <t>98115</t>
  </si>
  <si>
    <t>TAMPA CIRCULAR PARA ESGOTO E DRENAGEM, EM CONCRETO PRÉ-MOLDADO, DIÂMETRO INTERNO = 0,60 M E ALTURA = 0,10 M. AF_12/2020</t>
  </si>
  <si>
    <t xml:space="preserve"> LISTA DE RUAS (DADOS GERAIS) </t>
  </si>
  <si>
    <t>EXECUÇÃO DOS SERVIÇOS DE DRENAGEM SUPERFICIAL (MEIO FIO E LINHA D'ÁGUA), DRENAGEM PROFUNDA, TERRAPLENAGEM, PAVIMENTAÇÃO E SINALIZAÇÃO VIÁRIA NO BAIRRO ICUÍ - NO MUNICÍPIO DE ANANINDEUA - PA.</t>
  </si>
  <si>
    <t xml:space="preserve">LARGURA - FAIXA DE </t>
  </si>
  <si>
    <t xml:space="preserve">TERRAPLENAGEM </t>
  </si>
  <si>
    <t>SINALIZAÇÃO</t>
  </si>
  <si>
    <t>R. PAULO ASSUNÇÃO / TV. FÉ EM DEUS</t>
  </si>
  <si>
    <t>ICUÍ LARANJEIRA</t>
  </si>
  <si>
    <t>PISCINÃO</t>
  </si>
  <si>
    <t>R. DA PUPUNHEIRA</t>
  </si>
  <si>
    <t>R. PAULO ASSUNÇÃO / ATÉ O FINAL</t>
  </si>
  <si>
    <t>R. TANGERINA</t>
  </si>
  <si>
    <t>PASS. LARANJEIRA</t>
  </si>
  <si>
    <t xml:space="preserve">TV. FÉ EM DEUS </t>
  </si>
  <si>
    <t>R. 21 DE ABRIL / R. PAULO ASSUNÇÃO</t>
  </si>
  <si>
    <t>LARGURA REV</t>
  </si>
  <si>
    <t xml:space="preserve">DRENAGEM PROFUNDA </t>
  </si>
  <si>
    <t>LARGURA - FAIXA DE REVESTIMENTO</t>
  </si>
  <si>
    <t>RUA PAULO ASSUNÇÃO</t>
  </si>
  <si>
    <t>RUA DO PISCINÃO</t>
  </si>
  <si>
    <t>TV DEUS PROVERÁ</t>
  </si>
  <si>
    <t>RUA HUM</t>
  </si>
  <si>
    <t>RUA DOIS</t>
  </si>
  <si>
    <t>RUA TRÊS</t>
  </si>
  <si>
    <t>PASS DA LUZ</t>
  </si>
  <si>
    <t>RUA FÉ EM DEUS</t>
  </si>
  <si>
    <t>PASS PRINCIPAL</t>
  </si>
  <si>
    <t>PASSAGEM BACELAR</t>
  </si>
  <si>
    <t>PASS DEUS TEM PODER</t>
  </si>
  <si>
    <t>PASS UNIÃO</t>
  </si>
  <si>
    <t>PASS SÃO JORGE</t>
  </si>
  <si>
    <t>PASS AIRTON SENA</t>
  </si>
  <si>
    <t>RUA AMINTAS PINHEIRO</t>
  </si>
  <si>
    <t>PASS PRINC ISABEL</t>
  </si>
  <si>
    <t>PASS SANTA CLARA</t>
  </si>
  <si>
    <t>PASS AIRTON SENA 1</t>
  </si>
  <si>
    <t>PASS TIM LOPES</t>
  </si>
  <si>
    <t>RUA DAS ORQUIDEAS</t>
  </si>
  <si>
    <t>4.2.10</t>
  </si>
  <si>
    <t>4.3.10</t>
  </si>
  <si>
    <t>4.4.10</t>
  </si>
  <si>
    <t>102740</t>
  </si>
  <si>
    <t>3.4</t>
  </si>
  <si>
    <t>3.5</t>
  </si>
  <si>
    <t>3.6</t>
  </si>
  <si>
    <t>3.7</t>
  </si>
  <si>
    <t>ASSENTAMENTO DE GUIA (MEIO-FIO) EM TRECHO RETO, CONFECCIONADA EM CONCRETO PRÉ-FABRICADO, DIMENSÕES 100X15X13X20 CM (COMPRIMENTO X BASE INFERIOR X BASE SUPERIOR X ALTURA), PARA URBANIZAÇÃO INTERNA DE EMPREENDIMENTOS. AF_06/2016</t>
  </si>
  <si>
    <t>Ala de lançamento para rede tubular 1000mm</t>
  </si>
  <si>
    <t>Ala de lançamento para rede tubular 800mm</t>
  </si>
  <si>
    <t>102739</t>
  </si>
  <si>
    <t>104789</t>
  </si>
  <si>
    <t>2.2</t>
  </si>
  <si>
    <t>2.3</t>
  </si>
  <si>
    <t>CARGA, MANOBRA E DESCARGA DE ENTULHO EM CAMINHÃO BASCULANTE 6 M³ - CARGA COM ESCAVADEIRA HIDRÁULICA (CAÇAMBA DE 0,80 M³ / 111 HP) E DESCARGA LIVRE (UNIDADE: M3). AF_07/2020</t>
  </si>
  <si>
    <t>99814</t>
  </si>
  <si>
    <t>PASS PAULO ASSUNÇÃO</t>
  </si>
  <si>
    <t>1.5</t>
  </si>
  <si>
    <t>90779</t>
  </si>
  <si>
    <t>ENGENHEIRO CIVIL DE OBRA SENIOR COM ENCARGOS COMPLEMENTARES</t>
  </si>
  <si>
    <t>88255</t>
  </si>
  <si>
    <t>AUXILIAR TÉCNICO DE ENGENHARIA COM ENCARGOS COMPLEMENTARES</t>
  </si>
  <si>
    <t>90780</t>
  </si>
  <si>
    <t>MESTRE DE OBRAS COM ENCARGOS COMPLEMENTARES</t>
  </si>
  <si>
    <t>VIGIA NOTURNO COM ENCARGOS COMPLEMENTARES</t>
  </si>
  <si>
    <t>90772</t>
  </si>
  <si>
    <t>AUXILIAR DE ESCRITORIO COM ENCARGOS COMPLEMENTARES</t>
  </si>
  <si>
    <t>90766</t>
  </si>
  <si>
    <t>ALMOXARIFE COM ENCARGOS COMPLEMENTARES</t>
  </si>
  <si>
    <t>14250</t>
  </si>
  <si>
    <t>ENERGIA ELETRICA COMERCIAL, BAIXA TENSAO, RELATIVA AO CONSUMO DE ATE 100 KWH, INCLUINDO ICMS, PIS/PASEP E COFINS</t>
  </si>
  <si>
    <t>KW/H</t>
  </si>
  <si>
    <t>44480</t>
  </si>
  <si>
    <t>TARIFA "A" ENTRE  0 E 20M3 FORNECIMENTO  D'AGUA</t>
  </si>
  <si>
    <t>C – Materiais e Serviços</t>
  </si>
  <si>
    <t>Materiais e serviços</t>
  </si>
  <si>
    <t>mês</t>
  </si>
  <si>
    <t>EDITAL:</t>
  </si>
  <si>
    <t>PROC. Nº:</t>
  </si>
  <si>
    <t>DATA:</t>
  </si>
  <si>
    <t>PLANILHAS DE COMPOSIÇÕES DE PREÇOS UNITÁRIOS</t>
  </si>
  <si>
    <t>MOBILIZAÇÃO DE EQUIPAMENTOS</t>
  </si>
  <si>
    <t>Encargos sociais:</t>
  </si>
  <si>
    <t>87,48%(H) / 47,94%(M)</t>
  </si>
  <si>
    <t>DATA BASE:</t>
  </si>
  <si>
    <t>UNIDADE:</t>
  </si>
  <si>
    <t>Códigos</t>
  </si>
  <si>
    <t>COEFICIENTE</t>
  </si>
  <si>
    <t>MATERIAIS</t>
  </si>
  <si>
    <t>EQUIPAMENTO</t>
  </si>
  <si>
    <t xml:space="preserve">EQUIPAMENTOS/TRANSPORTES (ATÉ 50KM) </t>
  </si>
  <si>
    <t>DMT</t>
  </si>
  <si>
    <t>FU</t>
  </si>
  <si>
    <t>CUSTO</t>
  </si>
  <si>
    <t>CUSTO TOTAL</t>
  </si>
  <si>
    <t>TRANSPORTE EQUIPAMENTO (ESCAVADEIRA - 22 T 5X)</t>
  </si>
  <si>
    <t>TRANSPORTE EQUIPAMENTO (ROLO PD - 15 T 2X)</t>
  </si>
  <si>
    <t>TRANSPORTE EQUIPAMENTO (PATROL - 13 T 1X)</t>
  </si>
  <si>
    <t>TRANSPORTE EQUIPAMENTO (VIBRO - 12 T 1X)</t>
  </si>
  <si>
    <t>5678</t>
  </si>
  <si>
    <t>TRANSPORTE EQUIPAMENTO (RETROESCAVADEIRA - 58KW 2X)</t>
  </si>
  <si>
    <t>TRANSPORTE EQUIPAMENTO (ROLO TANDEM - 15 T 2X)</t>
  </si>
  <si>
    <t>TRANSPORTE EQUIPAMENTO (ROLO PNEUS - 26 T 2X)</t>
  </si>
  <si>
    <t>TRANSPORTE EQUIPAMENTO (TRATOR PNEUS C/ VASSOURA MECÂNICA - 5 T 2X)</t>
  </si>
  <si>
    <t>TRANSPORTE EQUIPAMENTO (USINA DE ASFALTO À QUENTE)*</t>
  </si>
  <si>
    <t>TRANSPORTE EQUIPAMENTO (TANQUE DE ESTOCAGEM DE ASFALTO - 34T 1X)*</t>
  </si>
  <si>
    <t>TRANSPORTE EQUIPAMENTO (GRUPO GERADOR 340 KVA PARA USINA 1X)</t>
  </si>
  <si>
    <t>5928</t>
  </si>
  <si>
    <t>CAMINHÃO CARROCERIA COM GUINDAUTO</t>
  </si>
  <si>
    <t>CAMINHÃO BASCULANTE 10 M3, TRUCADO CABINE SIMPLES, PESO BRUTO TOTAL 23 (35 CAMINHÕES)</t>
  </si>
  <si>
    <t>SERVIÇOS</t>
  </si>
  <si>
    <t>TOTAL DA COMPOSIÇÃO SEM BDI</t>
  </si>
  <si>
    <t>TOTAL DA COMPOSIÇÃO COM BDI</t>
  </si>
  <si>
    <t>CPU Ia</t>
  </si>
  <si>
    <t>Mobilização e Desmobilização de Obras</t>
  </si>
  <si>
    <t>SISTEMA DE SANEAMENTO INTEGRADO NO BAIRRO DO ICUÍ: ABASTECIMENTO DE ÁGUA, DRENAGEM URBANA E MANEJO DE ÁGUAS PLUVIAIS E PAVIMENTAÇÃO NO MUNICÍPIO DE ANANINDEUA/ PA</t>
  </si>
  <si>
    <t xml:space="preserve"> 953772/2023</t>
  </si>
  <si>
    <t>Contrato de Repasse Nº:</t>
  </si>
  <si>
    <t>SERVIÇOS DE REVESTIMENTO (PAVIMENTAÇÃO)</t>
  </si>
  <si>
    <t>Readequação das Ruas após implantação da Rede de Drenagem (movimento de terra)</t>
  </si>
  <si>
    <t>DATA BASE: SEDOP - MAIO/2023 ; SINAPI - dezembro/2023 ; ORSE - JUNHO/2023; SICRO - ABRIL/2023.</t>
  </si>
  <si>
    <t xml:space="preserve">NÚCLEO GESTOR DE CONVÊNIOS </t>
  </si>
  <si>
    <t>8.1.3</t>
  </si>
  <si>
    <t xml:space="preserve">SISTEMA DE ABASTECIMENTO DE AGUA </t>
  </si>
  <si>
    <t>2.1.1</t>
  </si>
  <si>
    <t>2.1.2</t>
  </si>
  <si>
    <t>2.1.3</t>
  </si>
  <si>
    <t>2.1.4</t>
  </si>
  <si>
    <t>2.1.5</t>
  </si>
  <si>
    <t>2.1.6</t>
  </si>
  <si>
    <t>2.1.7</t>
  </si>
  <si>
    <t xml:space="preserve">93207 </t>
  </si>
  <si>
    <t>2.1.8</t>
  </si>
  <si>
    <t>93208</t>
  </si>
  <si>
    <t>2.1.9</t>
  </si>
  <si>
    <t>101201</t>
  </si>
  <si>
    <t>2.1.10</t>
  </si>
  <si>
    <t>064</t>
  </si>
  <si>
    <t>COT</t>
  </si>
  <si>
    <t>un</t>
  </si>
  <si>
    <t>2.1.11</t>
  </si>
  <si>
    <t>2.1.12</t>
  </si>
  <si>
    <t>011329</t>
  </si>
  <si>
    <t>2.2.1</t>
  </si>
  <si>
    <t>5131</t>
  </si>
  <si>
    <t>ORSE</t>
  </si>
  <si>
    <t>2.2.2</t>
  </si>
  <si>
    <t>6223</t>
  </si>
  <si>
    <t>2.2.3</t>
  </si>
  <si>
    <t>6222</t>
  </si>
  <si>
    <t>2.2.4</t>
  </si>
  <si>
    <t>00020989</t>
  </si>
  <si>
    <t>2.2.5</t>
  </si>
  <si>
    <t>6254</t>
  </si>
  <si>
    <t>2.2.6</t>
  </si>
  <si>
    <t>6266</t>
  </si>
  <si>
    <t>2.2.7</t>
  </si>
  <si>
    <t>066</t>
  </si>
  <si>
    <t>2.2.8</t>
  </si>
  <si>
    <t>13007</t>
  </si>
  <si>
    <t>2.2.9</t>
  </si>
  <si>
    <t>6305</t>
  </si>
  <si>
    <t>2.2.10</t>
  </si>
  <si>
    <t>6309</t>
  </si>
  <si>
    <t>2.2.11</t>
  </si>
  <si>
    <t>6312</t>
  </si>
  <si>
    <t>2.2.12</t>
  </si>
  <si>
    <t>067</t>
  </si>
  <si>
    <t>2.2.13</t>
  </si>
  <si>
    <t>11682</t>
  </si>
  <si>
    <t>2.2.14</t>
  </si>
  <si>
    <t>13061</t>
  </si>
  <si>
    <t>2.2.15</t>
  </si>
  <si>
    <t>13005</t>
  </si>
  <si>
    <t>2.3.1</t>
  </si>
  <si>
    <t>8219</t>
  </si>
  <si>
    <t>2.3.2</t>
  </si>
  <si>
    <t>068</t>
  </si>
  <si>
    <t>2.3.3</t>
  </si>
  <si>
    <t>069</t>
  </si>
  <si>
    <t>2.3.4</t>
  </si>
  <si>
    <t>070</t>
  </si>
  <si>
    <t>2.3.5</t>
  </si>
  <si>
    <t>5386</t>
  </si>
  <si>
    <t>2.3.6</t>
  </si>
  <si>
    <t>5722</t>
  </si>
  <si>
    <t>2.3.7</t>
  </si>
  <si>
    <t>11637</t>
  </si>
  <si>
    <t>2.3.8</t>
  </si>
  <si>
    <t>6439</t>
  </si>
  <si>
    <t>2.3.9</t>
  </si>
  <si>
    <t>060</t>
  </si>
  <si>
    <t>2.3.10</t>
  </si>
  <si>
    <t>5344</t>
  </si>
  <si>
    <t>2.3.11</t>
  </si>
  <si>
    <t>5874</t>
  </si>
  <si>
    <t>2.3.12</t>
  </si>
  <si>
    <t>5333</t>
  </si>
  <si>
    <t>2.3.13</t>
  </si>
  <si>
    <t>1637</t>
  </si>
  <si>
    <t>2.3.14</t>
  </si>
  <si>
    <t>046</t>
  </si>
  <si>
    <t>2.3.15</t>
  </si>
  <si>
    <t>1520</t>
  </si>
  <si>
    <t>2.3.16</t>
  </si>
  <si>
    <t>061</t>
  </si>
  <si>
    <t>2.3.17</t>
  </si>
  <si>
    <t>1426</t>
  </si>
  <si>
    <t>2.3.18</t>
  </si>
  <si>
    <t>8730</t>
  </si>
  <si>
    <t>2.3.19</t>
  </si>
  <si>
    <t>071</t>
  </si>
  <si>
    <t>2.3.20</t>
  </si>
  <si>
    <t>072</t>
  </si>
  <si>
    <t>2.4</t>
  </si>
  <si>
    <t>2.4.1</t>
  </si>
  <si>
    <t>2.4.1.1</t>
  </si>
  <si>
    <t>99063</t>
  </si>
  <si>
    <t>2.4.1.2</t>
  </si>
  <si>
    <t>98524</t>
  </si>
  <si>
    <t>2.4.2</t>
  </si>
  <si>
    <t>2.4.2.1</t>
  </si>
  <si>
    <t>102279</t>
  </si>
  <si>
    <t>2.4.2.2</t>
  </si>
  <si>
    <t>104737</t>
  </si>
  <si>
    <t>2.4.2.3</t>
  </si>
  <si>
    <t>93368</t>
  </si>
  <si>
    <t>2.4.2.4</t>
  </si>
  <si>
    <t>101616</t>
  </si>
  <si>
    <t>2.4.3</t>
  </si>
  <si>
    <t>2.4.3.1</t>
  </si>
  <si>
    <t>5403</t>
  </si>
  <si>
    <t>2.4.3.2</t>
  </si>
  <si>
    <t>5364</t>
  </si>
  <si>
    <t>2.4.4</t>
  </si>
  <si>
    <t>2.4.4.1</t>
  </si>
  <si>
    <t>2.4.4.2</t>
  </si>
  <si>
    <t>5404</t>
  </si>
  <si>
    <t>2.4.4.3</t>
  </si>
  <si>
    <t>5359</t>
  </si>
  <si>
    <t>2.4.4.4</t>
  </si>
  <si>
    <t>073</t>
  </si>
  <si>
    <t>2.5</t>
  </si>
  <si>
    <t>2.5.1</t>
  </si>
  <si>
    <t>2.5.2</t>
  </si>
  <si>
    <t>2.5.3</t>
  </si>
  <si>
    <t>2.5.4</t>
  </si>
  <si>
    <t>065</t>
  </si>
  <si>
    <t>2.5.5</t>
  </si>
  <si>
    <t>2.5.6</t>
  </si>
  <si>
    <t>2.5.7</t>
  </si>
  <si>
    <t>2.5.8</t>
  </si>
  <si>
    <t>2.5.9</t>
  </si>
  <si>
    <t>2.5.10</t>
  </si>
  <si>
    <t>2.5.11</t>
  </si>
  <si>
    <t>2.5.12</t>
  </si>
  <si>
    <t>2.5.13</t>
  </si>
  <si>
    <t>2.5.14</t>
  </si>
  <si>
    <t>2.5.15</t>
  </si>
  <si>
    <t>2.6</t>
  </si>
  <si>
    <t>2.6.1</t>
  </si>
  <si>
    <t>2.6.2</t>
  </si>
  <si>
    <t>2.6.3</t>
  </si>
  <si>
    <t>2.6.4</t>
  </si>
  <si>
    <t>2.6.5</t>
  </si>
  <si>
    <t>2.6.6</t>
  </si>
  <si>
    <t>2.6.7</t>
  </si>
  <si>
    <t>2.6.8</t>
  </si>
  <si>
    <t>2.6.9</t>
  </si>
  <si>
    <t>2.6.10</t>
  </si>
  <si>
    <t>2.6.11</t>
  </si>
  <si>
    <t>2.6.12</t>
  </si>
  <si>
    <t>2.6.13</t>
  </si>
  <si>
    <t>2.6.14</t>
  </si>
  <si>
    <t>2.6.15</t>
  </si>
  <si>
    <t>2.6.16</t>
  </si>
  <si>
    <t>2.6.17</t>
  </si>
  <si>
    <t>2.6.18</t>
  </si>
  <si>
    <t>2.6.19</t>
  </si>
  <si>
    <t>2.6.20</t>
  </si>
  <si>
    <t>2.7</t>
  </si>
  <si>
    <t>2.7.1</t>
  </si>
  <si>
    <t>2.7.1.1</t>
  </si>
  <si>
    <t>2.7.1.2</t>
  </si>
  <si>
    <t>2.7.2</t>
  </si>
  <si>
    <t>2.7.2.1</t>
  </si>
  <si>
    <t>2.7.2.2</t>
  </si>
  <si>
    <t>2.7.2.3</t>
  </si>
  <si>
    <t xml:space="preserve">100974 </t>
  </si>
  <si>
    <t>2.7.2.4</t>
  </si>
  <si>
    <t>2.7.3</t>
  </si>
  <si>
    <t>2.7.3.1</t>
  </si>
  <si>
    <t>2.7.3.2</t>
  </si>
  <si>
    <t>2.7.4</t>
  </si>
  <si>
    <t>2.7.4.1</t>
  </si>
  <si>
    <t>2.7.4.2</t>
  </si>
  <si>
    <t>2.7.4.3</t>
  </si>
  <si>
    <t>2.8</t>
  </si>
  <si>
    <t>2.8.1</t>
  </si>
  <si>
    <t>074</t>
  </si>
  <si>
    <t>2.8.2</t>
  </si>
  <si>
    <t>2.8.2.1</t>
  </si>
  <si>
    <t>2.8.2.1.1</t>
  </si>
  <si>
    <t>2.8.2.2</t>
  </si>
  <si>
    <t>2.8.2.2.1</t>
  </si>
  <si>
    <t>2.8.2.2.2</t>
  </si>
  <si>
    <t>2.8.2.2.3</t>
  </si>
  <si>
    <t>100974</t>
  </si>
  <si>
    <t>2.8.2.2.4</t>
  </si>
  <si>
    <t>2.8.2.3</t>
  </si>
  <si>
    <t>2.8.2.3.1</t>
  </si>
  <si>
    <t>94972</t>
  </si>
  <si>
    <t>2.8.2.3.2</t>
  </si>
  <si>
    <t>140</t>
  </si>
  <si>
    <t>2.8.2.3.3</t>
  </si>
  <si>
    <t>108</t>
  </si>
  <si>
    <t>2.8.2.3.4</t>
  </si>
  <si>
    <t>103670</t>
  </si>
  <si>
    <t>2.8.2.3.5</t>
  </si>
  <si>
    <t>92759</t>
  </si>
  <si>
    <t>2.8.2.3.6</t>
  </si>
  <si>
    <t>050037</t>
  </si>
  <si>
    <t>2.8.2.3.7</t>
  </si>
  <si>
    <t xml:space="preserve">102487 </t>
  </si>
  <si>
    <t>2.8.4</t>
  </si>
  <si>
    <t>2.8.4.1</t>
  </si>
  <si>
    <t>2.8.4.1.1</t>
  </si>
  <si>
    <t>2.8.4.1.2</t>
  </si>
  <si>
    <t>2.8.4.1.3</t>
  </si>
  <si>
    <t>2.8.4.1.4</t>
  </si>
  <si>
    <t>2.8.4.2</t>
  </si>
  <si>
    <t>2.8.4.2.1</t>
  </si>
  <si>
    <t>5850</t>
  </si>
  <si>
    <t>2.8.4.2.2</t>
  </si>
  <si>
    <t>2.8.5</t>
  </si>
  <si>
    <t>2.8.5.1</t>
  </si>
  <si>
    <t>2.8.5.1.1</t>
  </si>
  <si>
    <t>2.8.5.1.2</t>
  </si>
  <si>
    <t>2.8.5.1.3</t>
  </si>
  <si>
    <t>2.8.5.1.4</t>
  </si>
  <si>
    <t>2.8.5.2</t>
  </si>
  <si>
    <t>2.8.5.2.1</t>
  </si>
  <si>
    <t>5389</t>
  </si>
  <si>
    <t>2.8.5.2.2</t>
  </si>
  <si>
    <t>2.8.5.2.3</t>
  </si>
  <si>
    <t>5733</t>
  </si>
  <si>
    <t>2.8.5.2.4</t>
  </si>
  <si>
    <t>5470</t>
  </si>
  <si>
    <t>2.8.5.2.5</t>
  </si>
  <si>
    <t>2.9</t>
  </si>
  <si>
    <t>2.9.1</t>
  </si>
  <si>
    <t>2.9.1.1</t>
  </si>
  <si>
    <t>7300</t>
  </si>
  <si>
    <t>2.9.1.2</t>
  </si>
  <si>
    <t>2497</t>
  </si>
  <si>
    <t>2.9.1.3</t>
  </si>
  <si>
    <t>2.9.1.4</t>
  </si>
  <si>
    <t>100574</t>
  </si>
  <si>
    <t>2.9.1.5</t>
  </si>
  <si>
    <t>101576</t>
  </si>
  <si>
    <t>2.9.1.6</t>
  </si>
  <si>
    <t>101582</t>
  </si>
  <si>
    <t>2.9.1.7</t>
  </si>
  <si>
    <t xml:space="preserve">104482 </t>
  </si>
  <si>
    <t>2.9.1.8</t>
  </si>
  <si>
    <t>2.9.2</t>
  </si>
  <si>
    <t>2.9.2.1</t>
  </si>
  <si>
    <t>94971</t>
  </si>
  <si>
    <t>2.9.2.2</t>
  </si>
  <si>
    <t>4721</t>
  </si>
  <si>
    <t>2.9.2.3</t>
  </si>
  <si>
    <t>2.9.2.4</t>
  </si>
  <si>
    <t>2.9.2.5</t>
  </si>
  <si>
    <t>2.9.2.6</t>
  </si>
  <si>
    <t>103673</t>
  </si>
  <si>
    <t>2.9.2.7</t>
  </si>
  <si>
    <t>051294</t>
  </si>
  <si>
    <t>2.9.2.8</t>
  </si>
  <si>
    <t>141</t>
  </si>
  <si>
    <t>2.9.2.9</t>
  </si>
  <si>
    <t>2.9.2.10</t>
  </si>
  <si>
    <t>075</t>
  </si>
  <si>
    <t>2.9.2.11</t>
  </si>
  <si>
    <t>94969</t>
  </si>
  <si>
    <t>2.9.2.12</t>
  </si>
  <si>
    <t>10377</t>
  </si>
  <si>
    <t>ML</t>
  </si>
  <si>
    <t>2.9.2.13</t>
  </si>
  <si>
    <t>7166</t>
  </si>
  <si>
    <t>2.9.3</t>
  </si>
  <si>
    <t>2.9.3.1</t>
  </si>
  <si>
    <t>10083</t>
  </si>
  <si>
    <t>2.9.3.2</t>
  </si>
  <si>
    <t>12437</t>
  </si>
  <si>
    <t>2.9.3.3</t>
  </si>
  <si>
    <t>076</t>
  </si>
  <si>
    <t>2.9.3.4</t>
  </si>
  <si>
    <t>2557</t>
  </si>
  <si>
    <t>2.9.3.5</t>
  </si>
  <si>
    <t>2.9.3.6</t>
  </si>
  <si>
    <t>4917</t>
  </si>
  <si>
    <t>077</t>
  </si>
  <si>
    <t>2.9.4</t>
  </si>
  <si>
    <t>2.9.4.1</t>
  </si>
  <si>
    <t>103332</t>
  </si>
  <si>
    <t>2.9.4.2</t>
  </si>
  <si>
    <t xml:space="preserve">101162 </t>
  </si>
  <si>
    <t>2.9.4.3</t>
  </si>
  <si>
    <t>103334</t>
  </si>
  <si>
    <t>2.9.5</t>
  </si>
  <si>
    <t>2.9.5.1</t>
  </si>
  <si>
    <t>1907</t>
  </si>
  <si>
    <t>2.9.5.2</t>
  </si>
  <si>
    <t>110762</t>
  </si>
  <si>
    <t>2.9.5.3</t>
  </si>
  <si>
    <t xml:space="preserve">88489 </t>
  </si>
  <si>
    <t>2.9.5.4</t>
  </si>
  <si>
    <t xml:space="preserve">102217 </t>
  </si>
  <si>
    <t>2.9.5.5</t>
  </si>
  <si>
    <t>100754</t>
  </si>
  <si>
    <t>2.9.5.6</t>
  </si>
  <si>
    <t>150130</t>
  </si>
  <si>
    <t>2.9.5.7</t>
  </si>
  <si>
    <t>92543</t>
  </si>
  <si>
    <t>2.9.5.8</t>
  </si>
  <si>
    <t xml:space="preserve">94207 </t>
  </si>
  <si>
    <t>2.9.5.9</t>
  </si>
  <si>
    <t>2341</t>
  </si>
  <si>
    <t>2.9.5.10</t>
  </si>
  <si>
    <t>2.9.5.11</t>
  </si>
  <si>
    <t>2.9.5.12</t>
  </si>
  <si>
    <t>13532</t>
  </si>
  <si>
    <t>2.9.6</t>
  </si>
  <si>
    <t>2.9.6.1</t>
  </si>
  <si>
    <t>11743</t>
  </si>
  <si>
    <t>2.9.6.2</t>
  </si>
  <si>
    <t>5407</t>
  </si>
  <si>
    <t>2.9.6.3</t>
  </si>
  <si>
    <t>5444</t>
  </si>
  <si>
    <t>2.9.6.4</t>
  </si>
  <si>
    <t>2.9.6.5</t>
  </si>
  <si>
    <t>078</t>
  </si>
  <si>
    <t>2.9.6.6</t>
  </si>
  <si>
    <t>5388</t>
  </si>
  <si>
    <t>2.9.6.7</t>
  </si>
  <si>
    <t>5443</t>
  </si>
  <si>
    <t>2.9.6.8</t>
  </si>
  <si>
    <t>2.9.6.9</t>
  </si>
  <si>
    <t>5441</t>
  </si>
  <si>
    <t>2.9.6.10</t>
  </si>
  <si>
    <t>2.9.6.11</t>
  </si>
  <si>
    <t>2.9.7</t>
  </si>
  <si>
    <t>2.9.7.1</t>
  </si>
  <si>
    <t>2.9.7.2</t>
  </si>
  <si>
    <t>5765</t>
  </si>
  <si>
    <t>2.9.7.3</t>
  </si>
  <si>
    <t>079</t>
  </si>
  <si>
    <t>2.9.7.4</t>
  </si>
  <si>
    <t>2.9.7.5</t>
  </si>
  <si>
    <t>5586</t>
  </si>
  <si>
    <t>2.9.7.6</t>
  </si>
  <si>
    <t>5525</t>
  </si>
  <si>
    <t>2.9.7.7</t>
  </si>
  <si>
    <t>12348</t>
  </si>
  <si>
    <t>2.9.7.8</t>
  </si>
  <si>
    <t>062</t>
  </si>
  <si>
    <t>2.9.7.9</t>
  </si>
  <si>
    <t>5845</t>
  </si>
  <si>
    <t>2.9.7.10</t>
  </si>
  <si>
    <t>2.9.7.11</t>
  </si>
  <si>
    <t>2.9.7.12</t>
  </si>
  <si>
    <t>5724</t>
  </si>
  <si>
    <t>2.9.7.13</t>
  </si>
  <si>
    <t>5387</t>
  </si>
  <si>
    <t>2.9.7.14</t>
  </si>
  <si>
    <t>2.9.7.15</t>
  </si>
  <si>
    <t>080</t>
  </si>
  <si>
    <t>2.9.7.16</t>
  </si>
  <si>
    <t>063</t>
  </si>
  <si>
    <t>2.9.7.17</t>
  </si>
  <si>
    <t>081</t>
  </si>
  <si>
    <t>2.9.7.18</t>
  </si>
  <si>
    <t>2.9.7.19</t>
  </si>
  <si>
    <t>5725</t>
  </si>
  <si>
    <t>2.9.7.20</t>
  </si>
  <si>
    <t>5762</t>
  </si>
  <si>
    <t>2.9.7.21</t>
  </si>
  <si>
    <t>2.9.7.22</t>
  </si>
  <si>
    <t>2.9.7.23</t>
  </si>
  <si>
    <t>2.9.8</t>
  </si>
  <si>
    <t>2.9.8.1</t>
  </si>
  <si>
    <t>2.9.8.2</t>
  </si>
  <si>
    <t>2.9.8.3</t>
  </si>
  <si>
    <t>2.9.8.4</t>
  </si>
  <si>
    <t>2.9.8.5</t>
  </si>
  <si>
    <t>2.9.8.5.1</t>
  </si>
  <si>
    <t>2.9.8.5.2</t>
  </si>
  <si>
    <t>5365</t>
  </si>
  <si>
    <t>2.9.8.6</t>
  </si>
  <si>
    <t>2.9.8.6.1</t>
  </si>
  <si>
    <t>5875</t>
  </si>
  <si>
    <t>2.9.8.6.2</t>
  </si>
  <si>
    <t>082</t>
  </si>
  <si>
    <t>2.9.8.6.3</t>
  </si>
  <si>
    <t>2.9.8.7</t>
  </si>
  <si>
    <t>2.9.8.7.1</t>
  </si>
  <si>
    <t>083</t>
  </si>
  <si>
    <t>2.9.8.7.2</t>
  </si>
  <si>
    <t>2.9.8.7.3</t>
  </si>
  <si>
    <t>2.9.8.7.4</t>
  </si>
  <si>
    <t>2.9.8.7.5</t>
  </si>
  <si>
    <t>084</t>
  </si>
  <si>
    <t>2.9.8.7.6</t>
  </si>
  <si>
    <t>2.9.8.7.7</t>
  </si>
  <si>
    <t>2.9.8.7.8</t>
  </si>
  <si>
    <t>085</t>
  </si>
  <si>
    <t>2.9.8.7.9</t>
  </si>
  <si>
    <t>2.9.8.7.10</t>
  </si>
  <si>
    <t>2.9.8.7.11</t>
  </si>
  <si>
    <t>2.9.8.7.12</t>
  </si>
  <si>
    <t>2.9.8.7.13</t>
  </si>
  <si>
    <t>2.9.8.7.14</t>
  </si>
  <si>
    <t>2.9.8.7.15</t>
  </si>
  <si>
    <t>2.9.8.7.16</t>
  </si>
  <si>
    <t>2.9.8.7.17</t>
  </si>
  <si>
    <t>2.9.8.7.18</t>
  </si>
  <si>
    <t>2.9.8.7.19</t>
  </si>
  <si>
    <t>086</t>
  </si>
  <si>
    <t>2.9.8.7.20</t>
  </si>
  <si>
    <t>2.9.8.7.21</t>
  </si>
  <si>
    <t>2.9.8.7.22</t>
  </si>
  <si>
    <t>2.10</t>
  </si>
  <si>
    <t>2.10.1</t>
  </si>
  <si>
    <t>2.10.1.1</t>
  </si>
  <si>
    <t>2.10.1.2</t>
  </si>
  <si>
    <t>2.10.1.3</t>
  </si>
  <si>
    <t>2.10.1.4</t>
  </si>
  <si>
    <t>2.10.2</t>
  </si>
  <si>
    <t>2.10.2.1</t>
  </si>
  <si>
    <t>5877</t>
  </si>
  <si>
    <t>2.10.2.2</t>
  </si>
  <si>
    <t>2.10.2.3</t>
  </si>
  <si>
    <t>2.10.2.4</t>
  </si>
  <si>
    <t>2.10.2.5</t>
  </si>
  <si>
    <t>2.10.2.6</t>
  </si>
  <si>
    <t>2.11</t>
  </si>
  <si>
    <t>2.11.1</t>
  </si>
  <si>
    <t>2.11.1.1</t>
  </si>
  <si>
    <t>010175</t>
  </si>
  <si>
    <t>2.11.2</t>
  </si>
  <si>
    <t>2.11.2.1</t>
  </si>
  <si>
    <t>2.11.2.2</t>
  </si>
  <si>
    <t>2.11.2.3</t>
  </si>
  <si>
    <t>m3</t>
  </si>
  <si>
    <t>2.11.3</t>
  </si>
  <si>
    <t>2.11.3.1</t>
  </si>
  <si>
    <t>2.11.3.2</t>
  </si>
  <si>
    <t>40257</t>
  </si>
  <si>
    <t>2.11.3.3</t>
  </si>
  <si>
    <t>2.11.3.4</t>
  </si>
  <si>
    <t>2.11.3.5</t>
  </si>
  <si>
    <t>3358</t>
  </si>
  <si>
    <t>2.11.3.6</t>
  </si>
  <si>
    <t>2.11.3.7</t>
  </si>
  <si>
    <t>2.11.3.8</t>
  </si>
  <si>
    <t>2.11.4</t>
  </si>
  <si>
    <t>2.11.4.1</t>
  </si>
  <si>
    <t>2.11.4.2</t>
  </si>
  <si>
    <t>12354</t>
  </si>
  <si>
    <t>2.11.4.3</t>
  </si>
  <si>
    <t>10026</t>
  </si>
  <si>
    <t>2.11.4.4</t>
  </si>
  <si>
    <t>10020</t>
  </si>
  <si>
    <t>2.11.4.5</t>
  </si>
  <si>
    <t>2.11.4.6</t>
  </si>
  <si>
    <t>98563</t>
  </si>
  <si>
    <t>2.11.4.7</t>
  </si>
  <si>
    <t>2656</t>
  </si>
  <si>
    <t>2.11.5</t>
  </si>
  <si>
    <t>2.11.5.1</t>
  </si>
  <si>
    <t>388</t>
  </si>
  <si>
    <t>2.11.5.2</t>
  </si>
  <si>
    <t>10084</t>
  </si>
  <si>
    <t>2.11.5.3</t>
  </si>
  <si>
    <t>5958</t>
  </si>
  <si>
    <t>2.11.5.4</t>
  </si>
  <si>
    <t>087</t>
  </si>
  <si>
    <t>2.11.6</t>
  </si>
  <si>
    <t>2.11.6.1</t>
  </si>
  <si>
    <t>270220</t>
  </si>
  <si>
    <t>2.11.7</t>
  </si>
  <si>
    <t>2.11.7.1</t>
  </si>
  <si>
    <t>2.11.7.1.1</t>
  </si>
  <si>
    <t>2.11.7.1.2</t>
  </si>
  <si>
    <t>2.11.7.1.3</t>
  </si>
  <si>
    <t>088</t>
  </si>
  <si>
    <t>2.11.7.1.4</t>
  </si>
  <si>
    <t>2.11.7.1.5</t>
  </si>
  <si>
    <t>2.11.7.1.6</t>
  </si>
  <si>
    <t>089</t>
  </si>
  <si>
    <t>2.11.7.1.7</t>
  </si>
  <si>
    <t>5789</t>
  </si>
  <si>
    <t>2.11.7.1.8</t>
  </si>
  <si>
    <t>2.11.7.2</t>
  </si>
  <si>
    <t>2.11.7.2.1</t>
  </si>
  <si>
    <t>5876</t>
  </si>
  <si>
    <t>2.11.7.2.2</t>
  </si>
  <si>
    <t>2.11.7.2.3</t>
  </si>
  <si>
    <t>5846</t>
  </si>
  <si>
    <t>2.11.7.2.4</t>
  </si>
  <si>
    <t>090</t>
  </si>
  <si>
    <t>2.11.7.2.5</t>
  </si>
  <si>
    <t>2.11.7.2.6</t>
  </si>
  <si>
    <t>2.11.7.2.7</t>
  </si>
  <si>
    <t>091</t>
  </si>
  <si>
    <t>2.11.7.2.8</t>
  </si>
  <si>
    <t>5798</t>
  </si>
  <si>
    <t>2.11.7.3</t>
  </si>
  <si>
    <t>2.11.7.3.1</t>
  </si>
  <si>
    <t>092</t>
  </si>
  <si>
    <t>2.11.7.3.2</t>
  </si>
  <si>
    <t>2.11.7.3.3</t>
  </si>
  <si>
    <t>2.11.7.3.4</t>
  </si>
  <si>
    <t>2.11.7.3.5</t>
  </si>
  <si>
    <t>2.11.7.3.6</t>
  </si>
  <si>
    <t>093</t>
  </si>
  <si>
    <t>2.11.7.3.7</t>
  </si>
  <si>
    <t>2.11.7.3.8</t>
  </si>
  <si>
    <t>2.11.7.3.9</t>
  </si>
  <si>
    <t>2.11.7.4</t>
  </si>
  <si>
    <t>2.11.7.4.1</t>
  </si>
  <si>
    <t>2.11.7.4.2</t>
  </si>
  <si>
    <t>12172</t>
  </si>
  <si>
    <t>2.11.7.4.3</t>
  </si>
  <si>
    <t>2.11.7.4.4</t>
  </si>
  <si>
    <t>2.11.7.4.5</t>
  </si>
  <si>
    <t>12534</t>
  </si>
  <si>
    <t>2.11.7.5</t>
  </si>
  <si>
    <t>2.11.7.5.1</t>
  </si>
  <si>
    <t>5423</t>
  </si>
  <si>
    <t>2.11.7.5.2</t>
  </si>
  <si>
    <t>2.11.7.6</t>
  </si>
  <si>
    <t>2.11.7.6.1</t>
  </si>
  <si>
    <t>5220</t>
  </si>
  <si>
    <t>2.12</t>
  </si>
  <si>
    <t>2.12.1</t>
  </si>
  <si>
    <t>2.12.1.1</t>
  </si>
  <si>
    <t>2.12.1.2</t>
  </si>
  <si>
    <t>2.12.1.3</t>
  </si>
  <si>
    <t>2.12.1.4</t>
  </si>
  <si>
    <t>2.12.2</t>
  </si>
  <si>
    <t>2.12.2.1</t>
  </si>
  <si>
    <t>2.12.2.2</t>
  </si>
  <si>
    <t>2.12.2.3</t>
  </si>
  <si>
    <t>2.12.2.4</t>
  </si>
  <si>
    <t>2.12.2.5</t>
  </si>
  <si>
    <t>2.12.2.6</t>
  </si>
  <si>
    <t>2.12.2.7</t>
  </si>
  <si>
    <t>2.12.2.8</t>
  </si>
  <si>
    <t>2.12.2.9</t>
  </si>
  <si>
    <t>2.12.3</t>
  </si>
  <si>
    <t>2.12.3.1</t>
  </si>
  <si>
    <t>094</t>
  </si>
  <si>
    <t>2.12.3.2</t>
  </si>
  <si>
    <t>095</t>
  </si>
  <si>
    <t>2.12.3.3</t>
  </si>
  <si>
    <t>096</t>
  </si>
  <si>
    <t>2.12.3.4</t>
  </si>
  <si>
    <t>2.12.3.5</t>
  </si>
  <si>
    <t>2.12.3.6</t>
  </si>
  <si>
    <t>2.12.3.7</t>
  </si>
  <si>
    <t>097</t>
  </si>
  <si>
    <t>2.12.3.8</t>
  </si>
  <si>
    <t>98679</t>
  </si>
  <si>
    <t>2.12.3.9</t>
  </si>
  <si>
    <t>110644</t>
  </si>
  <si>
    <t>2.12.3.10</t>
  </si>
  <si>
    <t>94993</t>
  </si>
  <si>
    <t>2.12.3.11</t>
  </si>
  <si>
    <t>2.12.4</t>
  </si>
  <si>
    <t>2.12.4.1</t>
  </si>
  <si>
    <t>2.12.4.2</t>
  </si>
  <si>
    <t>2.12.5</t>
  </si>
  <si>
    <t>2.12.5.1</t>
  </si>
  <si>
    <t>2.12.5.2</t>
  </si>
  <si>
    <t>2.12.5.3</t>
  </si>
  <si>
    <t>2.12.6</t>
  </si>
  <si>
    <t>2.12.6.1</t>
  </si>
  <si>
    <t>2.12.7</t>
  </si>
  <si>
    <t>2.12.7.1</t>
  </si>
  <si>
    <t>2.12.7.1.1</t>
  </si>
  <si>
    <t>98053</t>
  </si>
  <si>
    <t>2.12.7.1.2</t>
  </si>
  <si>
    <t>98059</t>
  </si>
  <si>
    <t>2.12.7.1.3</t>
  </si>
  <si>
    <t>98064</t>
  </si>
  <si>
    <t>2.12.7.2</t>
  </si>
  <si>
    <t>2.12.7.2.1</t>
  </si>
  <si>
    <t>10422</t>
  </si>
  <si>
    <t>CJ</t>
  </si>
  <si>
    <t>2.12.7.2.2</t>
  </si>
  <si>
    <t>10426</t>
  </si>
  <si>
    <t>2.12.7.2.3</t>
  </si>
  <si>
    <t>1746</t>
  </si>
  <si>
    <t>2.12.7.2.4</t>
  </si>
  <si>
    <t>098</t>
  </si>
  <si>
    <t>2.12.7.2.5</t>
  </si>
  <si>
    <t>001</t>
  </si>
  <si>
    <t>2.12.7.2.6</t>
  </si>
  <si>
    <t>002</t>
  </si>
  <si>
    <t>2.12.7.2.7</t>
  </si>
  <si>
    <t>099</t>
  </si>
  <si>
    <t>2.12.7.2.8</t>
  </si>
  <si>
    <t>100</t>
  </si>
  <si>
    <t>2.12.7.2.9</t>
  </si>
  <si>
    <t>101</t>
  </si>
  <si>
    <t>2.12.7.2.10</t>
  </si>
  <si>
    <t>003</t>
  </si>
  <si>
    <t>2.12.7.2.11</t>
  </si>
  <si>
    <t>004</t>
  </si>
  <si>
    <t>2.12.7.2.12</t>
  </si>
  <si>
    <t>005</t>
  </si>
  <si>
    <t>2.12.7.2.13</t>
  </si>
  <si>
    <t>102</t>
  </si>
  <si>
    <t>2.12.7.2.14</t>
  </si>
  <si>
    <t>103</t>
  </si>
  <si>
    <t>2.12.7.2.15</t>
  </si>
  <si>
    <t>006</t>
  </si>
  <si>
    <t>2.12.7.2.16</t>
  </si>
  <si>
    <t>007</t>
  </si>
  <si>
    <t>2.12.7.2.17</t>
  </si>
  <si>
    <t>008</t>
  </si>
  <si>
    <t>2.12.7.2.18</t>
  </si>
  <si>
    <t>009</t>
  </si>
  <si>
    <t>2.12.7.2.19</t>
  </si>
  <si>
    <t>010</t>
  </si>
  <si>
    <t>2.12.7.2.20</t>
  </si>
  <si>
    <t>011</t>
  </si>
  <si>
    <t>2.12.7.2.21</t>
  </si>
  <si>
    <t>104</t>
  </si>
  <si>
    <t>2.12.7.2.22</t>
  </si>
  <si>
    <t>105</t>
  </si>
  <si>
    <t>2.12.7.2.23</t>
  </si>
  <si>
    <t>106</t>
  </si>
  <si>
    <t>2.12.7.2.24</t>
  </si>
  <si>
    <t>012</t>
  </si>
  <si>
    <t>2.12.7.2.25</t>
  </si>
  <si>
    <t>013</t>
  </si>
  <si>
    <t>2.12.7.2.26</t>
  </si>
  <si>
    <t>014</t>
  </si>
  <si>
    <t>2.12.7.2.27</t>
  </si>
  <si>
    <t>107</t>
  </si>
  <si>
    <t>2.12.7.2.28</t>
  </si>
  <si>
    <t>015</t>
  </si>
  <si>
    <t>2.12.7.2.29</t>
  </si>
  <si>
    <t>016</t>
  </si>
  <si>
    <t>2.12.7.2.30</t>
  </si>
  <si>
    <t>017</t>
  </si>
  <si>
    <t>2.12.7.2.31</t>
  </si>
  <si>
    <t>018</t>
  </si>
  <si>
    <t>2.12.7.2.32</t>
  </si>
  <si>
    <t>019</t>
  </si>
  <si>
    <t>2.12.7.2.33</t>
  </si>
  <si>
    <t>2.12.7.2.34</t>
  </si>
  <si>
    <t>109</t>
  </si>
  <si>
    <t>2.12.7.2.35</t>
  </si>
  <si>
    <t>020</t>
  </si>
  <si>
    <t>2.12.7.2.36</t>
  </si>
  <si>
    <t>021</t>
  </si>
  <si>
    <t>2.12.7.2.37</t>
  </si>
  <si>
    <t>110</t>
  </si>
  <si>
    <t>2.12.7.3</t>
  </si>
  <si>
    <t>2.12.7.3.1</t>
  </si>
  <si>
    <t>10759</t>
  </si>
  <si>
    <t>2.13</t>
  </si>
  <si>
    <t>2.13.1</t>
  </si>
  <si>
    <t>2.13.2</t>
  </si>
  <si>
    <t>2.13.2.1</t>
  </si>
  <si>
    <t>90091</t>
  </si>
  <si>
    <t>2.13.2.2</t>
  </si>
  <si>
    <t>2.13.2.3</t>
  </si>
  <si>
    <t>2.13.2.4</t>
  </si>
  <si>
    <t>2.13.2.5</t>
  </si>
  <si>
    <t>2.13.3</t>
  </si>
  <si>
    <t>2.13.3.1</t>
  </si>
  <si>
    <t>2.13.3.2</t>
  </si>
  <si>
    <t>36377</t>
  </si>
  <si>
    <t>2.13.3.3</t>
  </si>
  <si>
    <t>36376</t>
  </si>
  <si>
    <t>2.13.3.4</t>
  </si>
  <si>
    <t>36375</t>
  </si>
  <si>
    <t>2.13.3.5</t>
  </si>
  <si>
    <t>2.13.3.6</t>
  </si>
  <si>
    <t>97126</t>
  </si>
  <si>
    <t>2.13.3.7</t>
  </si>
  <si>
    <t>97125</t>
  </si>
  <si>
    <t>2.13.3.8</t>
  </si>
  <si>
    <t>97124</t>
  </si>
  <si>
    <t>2.13.4</t>
  </si>
  <si>
    <t>2.13.4.1</t>
  </si>
  <si>
    <t>022</t>
  </si>
  <si>
    <t>2.13.4.2</t>
  </si>
  <si>
    <t>023</t>
  </si>
  <si>
    <t>2.13.4.3</t>
  </si>
  <si>
    <t>024</t>
  </si>
  <si>
    <t>2.13.4.4</t>
  </si>
  <si>
    <t>025</t>
  </si>
  <si>
    <t>2.13.4.5</t>
  </si>
  <si>
    <t>026</t>
  </si>
  <si>
    <t>2.13.4.6</t>
  </si>
  <si>
    <t>027</t>
  </si>
  <si>
    <t>2.13.4.7</t>
  </si>
  <si>
    <t>028</t>
  </si>
  <si>
    <t>2.13.4.8</t>
  </si>
  <si>
    <t>029</t>
  </si>
  <si>
    <t>2.13.4.9</t>
  </si>
  <si>
    <t>030</t>
  </si>
  <si>
    <t>2.13.4.10</t>
  </si>
  <si>
    <t>031</t>
  </si>
  <si>
    <t>2.13.4.11</t>
  </si>
  <si>
    <t>2.13.4.12</t>
  </si>
  <si>
    <t>2.13.4.13</t>
  </si>
  <si>
    <t>034</t>
  </si>
  <si>
    <t>2.13.4.14</t>
  </si>
  <si>
    <t>2.13.4.15</t>
  </si>
  <si>
    <t>2.13.4.16</t>
  </si>
  <si>
    <t>037</t>
  </si>
  <si>
    <t>2.13.4.17</t>
  </si>
  <si>
    <t>2.13.4.18</t>
  </si>
  <si>
    <t>2.13.4.19</t>
  </si>
  <si>
    <t>040</t>
  </si>
  <si>
    <t>041</t>
  </si>
  <si>
    <t>042</t>
  </si>
  <si>
    <t>045</t>
  </si>
  <si>
    <t>048</t>
  </si>
  <si>
    <t>111</t>
  </si>
  <si>
    <t>2.13.5</t>
  </si>
  <si>
    <t>2.13.5.1</t>
  </si>
  <si>
    <t>6465</t>
  </si>
  <si>
    <t>2.13.5.2</t>
  </si>
  <si>
    <t>2829</t>
  </si>
  <si>
    <t>2.13.5.3</t>
  </si>
  <si>
    <t>6098</t>
  </si>
  <si>
    <t>2.13.5.4</t>
  </si>
  <si>
    <t>2.13.5.5</t>
  </si>
  <si>
    <t>2600</t>
  </si>
  <si>
    <t>2.13.5.6</t>
  </si>
  <si>
    <t>180094</t>
  </si>
  <si>
    <t>2.14</t>
  </si>
  <si>
    <t>2.14.1</t>
  </si>
  <si>
    <t>2.14.1.1</t>
  </si>
  <si>
    <t>2.14.1.2</t>
  </si>
  <si>
    <t>2.14.2</t>
  </si>
  <si>
    <t>2.14.2.1</t>
  </si>
  <si>
    <t>049</t>
  </si>
  <si>
    <t>2.14.2.2</t>
  </si>
  <si>
    <t>050</t>
  </si>
  <si>
    <t>2.14.2.3</t>
  </si>
  <si>
    <t>051</t>
  </si>
  <si>
    <t>2.14.2.4</t>
  </si>
  <si>
    <t>2.14.2.5</t>
  </si>
  <si>
    <t>052</t>
  </si>
  <si>
    <t>2.14.2.6</t>
  </si>
  <si>
    <t>112</t>
  </si>
  <si>
    <t>2.14.2.7</t>
  </si>
  <si>
    <t>113</t>
  </si>
  <si>
    <t>2.14.2.8</t>
  </si>
  <si>
    <t>114</t>
  </si>
  <si>
    <t>2.14.2.9</t>
  </si>
  <si>
    <t>053</t>
  </si>
  <si>
    <t>2.14.2.10</t>
  </si>
  <si>
    <t>054</t>
  </si>
  <si>
    <t>2.14.2.11</t>
  </si>
  <si>
    <t>115</t>
  </si>
  <si>
    <t>2.14.2.12</t>
  </si>
  <si>
    <t>116</t>
  </si>
  <si>
    <t>2.14.2.13</t>
  </si>
  <si>
    <t>055</t>
  </si>
  <si>
    <t>2.14.2.14</t>
  </si>
  <si>
    <t>056</t>
  </si>
  <si>
    <t>2.14.2.15</t>
  </si>
  <si>
    <t>057</t>
  </si>
  <si>
    <t>2.14.2.16</t>
  </si>
  <si>
    <t>058</t>
  </si>
  <si>
    <t>2.14.2.17</t>
  </si>
  <si>
    <t>059</t>
  </si>
  <si>
    <t>2.14.3</t>
  </si>
  <si>
    <t>2.14.3.1</t>
  </si>
  <si>
    <t>2.14.3.2</t>
  </si>
  <si>
    <t>2.14.3.3</t>
  </si>
  <si>
    <t>20628</t>
  </si>
  <si>
    <t>2.14.3.4</t>
  </si>
  <si>
    <t>2.14.3.5</t>
  </si>
  <si>
    <t>117</t>
  </si>
  <si>
    <t>2.15</t>
  </si>
  <si>
    <t>2.15.1</t>
  </si>
  <si>
    <t>2.15.1.1</t>
  </si>
  <si>
    <t>2.15.1.2</t>
  </si>
  <si>
    <t>2.15.2</t>
  </si>
  <si>
    <t>2.15.2.1</t>
  </si>
  <si>
    <t>51450</t>
  </si>
  <si>
    <t>2.15.2.2</t>
  </si>
  <si>
    <t>2.15.2.3</t>
  </si>
  <si>
    <t>2.15.2.4</t>
  </si>
  <si>
    <t>2.15.3</t>
  </si>
  <si>
    <t>2.15.3.1</t>
  </si>
  <si>
    <t>4107</t>
  </si>
  <si>
    <t>2.15.3.2</t>
  </si>
  <si>
    <t>118</t>
  </si>
  <si>
    <t>2.15.3.3</t>
  </si>
  <si>
    <t>119</t>
  </si>
  <si>
    <t>2.15.3.4</t>
  </si>
  <si>
    <t>340</t>
  </si>
  <si>
    <t>2.15.4</t>
  </si>
  <si>
    <t>2.15.4.1</t>
  </si>
  <si>
    <t>260664</t>
  </si>
  <si>
    <t>2.15.4.2</t>
  </si>
  <si>
    <t>4555</t>
  </si>
  <si>
    <t>2.15.5</t>
  </si>
  <si>
    <t>2.15.5.1</t>
  </si>
  <si>
    <t>2.15.5.2</t>
  </si>
  <si>
    <t>2.15.5.3</t>
  </si>
  <si>
    <t>2.15.5.4</t>
  </si>
  <si>
    <t>2.15.5.5</t>
  </si>
  <si>
    <t>2.15.5.6</t>
  </si>
  <si>
    <t xml:space="preserve">90696 </t>
  </si>
  <si>
    <t>2.15.5.7</t>
  </si>
  <si>
    <t>90698</t>
  </si>
  <si>
    <t>2.15.5.8</t>
  </si>
  <si>
    <t>92210</t>
  </si>
  <si>
    <t>2.15.5.9</t>
  </si>
  <si>
    <t>92211</t>
  </si>
  <si>
    <t>2.15.5.10</t>
  </si>
  <si>
    <t>97949</t>
  </si>
  <si>
    <t>2.15.5.11</t>
  </si>
  <si>
    <t>12920</t>
  </si>
  <si>
    <t>2.15.5.12</t>
  </si>
  <si>
    <t xml:space="preserve">180687 </t>
  </si>
  <si>
    <t>2.1.13</t>
  </si>
  <si>
    <t>3.8</t>
  </si>
  <si>
    <t>3.9</t>
  </si>
  <si>
    <t>3.10</t>
  </si>
  <si>
    <t>3.11</t>
  </si>
  <si>
    <t>6.9</t>
  </si>
  <si>
    <t>13395</t>
  </si>
  <si>
    <t>13382</t>
  </si>
  <si>
    <t>12214</t>
  </si>
  <si>
    <t>12316</t>
  </si>
  <si>
    <t>2510</t>
  </si>
  <si>
    <t>5052</t>
  </si>
  <si>
    <t>170983</t>
  </si>
  <si>
    <t>3477</t>
  </si>
  <si>
    <t>2965</t>
  </si>
  <si>
    <t>3972</t>
  </si>
  <si>
    <t>766</t>
  </si>
  <si>
    <t>1419</t>
  </si>
  <si>
    <t>646</t>
  </si>
  <si>
    <t>644</t>
  </si>
  <si>
    <t>648</t>
  </si>
  <si>
    <t>2565</t>
  </si>
  <si>
    <t>9097</t>
  </si>
  <si>
    <t>1120</t>
  </si>
  <si>
    <t>9761</t>
  </si>
  <si>
    <t>400</t>
  </si>
  <si>
    <t>4382</t>
  </si>
  <si>
    <t>4376</t>
  </si>
  <si>
    <t>1021</t>
  </si>
  <si>
    <t>981</t>
  </si>
  <si>
    <t>1022</t>
  </si>
  <si>
    <t>1014</t>
  </si>
  <si>
    <t>180414</t>
  </si>
  <si>
    <t>93358</t>
  </si>
  <si>
    <t>76</t>
  </si>
  <si>
    <t>11447</t>
  </si>
  <si>
    <t>2962</t>
  </si>
  <si>
    <t>767</t>
  </si>
  <si>
    <t>1420</t>
  </si>
  <si>
    <t>2501</t>
  </si>
  <si>
    <t>39260</t>
  </si>
  <si>
    <t>39263</t>
  </si>
  <si>
    <t>39259</t>
  </si>
  <si>
    <t>1578</t>
  </si>
  <si>
    <t>1573</t>
  </si>
  <si>
    <t>1571</t>
  </si>
  <si>
    <t>4179</t>
  </si>
  <si>
    <t>180687</t>
  </si>
  <si>
    <t>180678</t>
  </si>
  <si>
    <t>39258</t>
  </si>
  <si>
    <t>7588</t>
  </si>
  <si>
    <t>3936</t>
  </si>
  <si>
    <t>Poste de concreto armado, seção transversal circular, altura de 11 metros, tração nominal de 300 decaNewtons.</t>
  </si>
  <si>
    <t>Alça dupla preformada de distribuição para cabo # 2 AWG CA.</t>
  </si>
  <si>
    <t>Isolador polimérico tipo pino para distribuição, classe 15 KV.</t>
  </si>
  <si>
    <t>Pino Isolador.</t>
  </si>
  <si>
    <t>Cruzeta de concreto com  (90x115x2400)mm.</t>
  </si>
  <si>
    <t>Cinta seção para fixação da caixa de medição.</t>
  </si>
  <si>
    <t>Sela de Cruzeta.</t>
  </si>
  <si>
    <t>Parafuso de cabeça abaulada de  Ø 16 x 150 mm.</t>
  </si>
  <si>
    <t>Arruela  quadrada de Ø 18 x 38 mm.</t>
  </si>
  <si>
    <t>Mão francesa plana de 726 mm.</t>
  </si>
  <si>
    <t>Parafuso de cabeça abaulada de  Ø 16 x 125 mm.</t>
  </si>
  <si>
    <t>Parafuso de cabeça abaulada de  Ø 16 x 45 mm.</t>
  </si>
  <si>
    <t>Parafuso de cabeça abaulada de  Ø 16 x 450 mm.</t>
  </si>
  <si>
    <t>Porca Quadrada de 24 mm - rosca M 16 x 2.</t>
  </si>
  <si>
    <t>Pára - Raios de distribuição, polimérico tensão de 12KV, 5KA, c/ suporte L.</t>
  </si>
  <si>
    <t>Conector a compressão, bimetálico, para conexão do ramal de ligação aérea (T) com fio de cobre nu de # 16 mm² (D) (Pára-Raios e chaves fusíveis)</t>
  </si>
  <si>
    <t>Fio de cobre nu, # 16 mm².</t>
  </si>
  <si>
    <t>Conector tipo parafuso fendido  para conexão dos fios de cobre de # 16mm² entre si e com cabo de cobre de #50mm².</t>
  </si>
  <si>
    <t>Cabo de cobre nu, # 50 mm², para aterramento.</t>
  </si>
  <si>
    <t>Haste de terra cobreada (Alta camada), núcleo de aço, de Ø 5/8" x 3000 mm, com conector para cabo nu # 50 mm².</t>
  </si>
  <si>
    <t>Conector parafuso fendido com separador de cabos bimetálicos de cobre para cabo de cobre  nu # 50 mm².</t>
  </si>
  <si>
    <t>Chave fusível de distribuição, classe 15KV, 100 Ampères, 15 KA, com suporte L.</t>
  </si>
  <si>
    <t>Elo fusível de Distribuição, 10K.</t>
  </si>
  <si>
    <t>Transformador trifásico, de distribuição banhado a óleo , 75KVA, classe 15 KV, secundário em 380V - 127V, 60Hz, ligação Triangulo/ Estrela com neutro acessível, zeq = 4,0%, com no mínimo três tapes no enrolamento primário.</t>
  </si>
  <si>
    <t>Cabo de cobre, extra flexível, (encordoamento classe 5), tipo EPR 90º, #35mm²/1000V, fab. PRYSMIAN ou similar, capa externa na cor preta.</t>
  </si>
  <si>
    <t>Cabo de cobre, extra flexível, (encordoamento classe 5), tipo EPR 90º, #25mm²/1000V, fab. PRYSMIAN ou similar, capa externa na cor preta.</t>
  </si>
  <si>
    <t xml:space="preserve">Disjuntor tripolar termomagnético de 125A, instalado em caixa moldada. </t>
  </si>
  <si>
    <t>Eletroduto de Ferro Galvanizado de Ø 1.1/4".</t>
  </si>
  <si>
    <t>Luva p/ eletroduto de FG Ø 1.1/4".</t>
  </si>
  <si>
    <t>Curva 135º de FG Ø 1.1/4”.</t>
  </si>
  <si>
    <t>Fita de aço inoxidável de 32 m,m com fecho.</t>
  </si>
  <si>
    <t>Conjunto de bucha e arruela para eletroduto de FG, Ø 4"</t>
  </si>
  <si>
    <t>Caixa de alvenaria com tampa de concreto, dimensões (0,8 m x 0,8 m x 0,8 m)</t>
  </si>
  <si>
    <t>Caixa para inspeção do aterramento, em PVC, tampa de ferro, fundo em brita para drenagem. (30x30x30)cm</t>
  </si>
  <si>
    <t>Placa de advertência -  Perigo de Morte- Alta Tensão. Instalado na porta da mureta.</t>
  </si>
  <si>
    <t>Suporte DT 185 x 95mm x 5/16" para transformador</t>
  </si>
  <si>
    <t>Caixa p/ medição padrão medindo 1500X700x250mm, pata transformadores de corrente, proteção e medidor, conforme Desenho 9 da NTD. 31002 07 da Celpa.</t>
  </si>
  <si>
    <t>Terminal de compressão em cobre estanhado para cabo de # 35mm².</t>
  </si>
  <si>
    <t>Terminal de compressão em cobre estanhado para cabo de # 25mm².</t>
  </si>
  <si>
    <t>Mureta em alvenaria para medição medindo 2500mm de largura por 2200 de altura, conforme Desenho 9 da NTD. 31002 07 da Celpa</t>
  </si>
  <si>
    <t>ILUINAÇÃO EXTERNA E INTENA</t>
  </si>
  <si>
    <t>Quadro de iluminação e tomadas Distribuição,  QLF-AL-01, classe 0.6 /1Kv,- confeccionado em chapa de aço No 14 USG, proteção IP54, espaço proteção geral trifázica de 100A DIN, barramento 3P+PE de 15A, espaço para 18 disjuntores monofásico DIN, com porta de fecho rápido, e espelho, contento: 1 x 3P-15A;1X 3P-15A; 3 X 3P-10A; 3 X 2P-10A; 3X2P-10A; 5 x 1P-10A.</t>
  </si>
  <si>
    <t>Luminária fechada tipo iluminação pública, corpo refletor em alumínio fundido, porta lâmpada com base e com braço metálico.</t>
  </si>
  <si>
    <t>Lâmpada de  vapor metálico com tecnologia cerâmica 150 W, 220V, 60Hz.</t>
  </si>
  <si>
    <t>Reator/ignitor para lâmpada vapor metálico tecnologia cerâmica de 150W, uso externo.</t>
  </si>
  <si>
    <t>Relé fotoelétrico 1000W, 220V, 60Hz.</t>
  </si>
  <si>
    <t>Poste em ferro galvanizado flangeado curvo simples, com base altura mínima de 7m, para luminária pública do tipo aberta.</t>
  </si>
  <si>
    <t>Luminária tipo arandela em aluminio fundido com grande e lente transparente, 45º, a prova de explosão com caixa na base para entrada de 3/4", com lâmpada fluorescente compácta de 25W, 127V.</t>
  </si>
  <si>
    <t>Sinalizador noturno automático para lâmpadas incandescente de 127 V, 60 W, 60 Hz, ref. TEL-600, fabricante Termotécnica ou similar (completo).</t>
  </si>
  <si>
    <t>Duto de PEAD (Polietileno de alta densidade), seção circular Ø1.1/4". Fab.KANAFLEX, ou similar.</t>
  </si>
  <si>
    <t>Eletroduto em aço galvanizado eletrolítico Ø3/4”, com costura e rebarbas removidas, tipo pesado, fornecido em barras de 3 (três) metros, com luva, conforme NBR 5624.</t>
  </si>
  <si>
    <t>Curva 90º para eletroduto de FG tipo pesado, galvanizado  Ø 3/4" a fogo.</t>
  </si>
  <si>
    <t>Luva para eletroduto de FG tipo pesado, galvanizado a fogo  Ø 3/4".</t>
  </si>
  <si>
    <t>Caixa de aluminio fundido  entrada rosqueada de 3/4", tipo "L"</t>
  </si>
  <si>
    <t>Caixa de aluminio fundido  entrada rosqueada de 3/4", tipo "C"</t>
  </si>
  <si>
    <t>Caixa de aluminio fundido  entrada rosqueada de 3/4", tipo "T"</t>
  </si>
  <si>
    <t>Caixa de aluminio fundido  entrada rosqueada de 3/4", tipo "E"</t>
  </si>
  <si>
    <t>Tomada 2P-T, 20A, padrão brasileiro em tampa para condulete de 3/4"</t>
  </si>
  <si>
    <t>Interruptor simples de duas alavancas de 10A em tampa de condulete de 3/4".</t>
  </si>
  <si>
    <t>Tomada tipo industrial 3P+T, para 20A em caixa termoplática com o plug correspondente.</t>
  </si>
  <si>
    <t>Braçadeira metálica galvanizada tipo "D"</t>
  </si>
  <si>
    <t>Parafuso rosca soberaba cabeça cabeça sextavada   tamanho 8</t>
  </si>
  <si>
    <t>Bucha de nylon para fixar parafuso rosca soberba em alvenaria e concreto tamanho 8.</t>
  </si>
  <si>
    <t>Cabo de cobre de 4,0 mm², PVC, isolamento 1KV, Classe 5, na cor preto.</t>
  </si>
  <si>
    <t>Cabo de cobre de 4,0 mm², PVC, isolamento 1KV, Classe 5, na cor vermelha.</t>
  </si>
  <si>
    <t>Cabo de cobre de 4,0 mm², PVC, isolamento 750V, Classe 5, na cor verde.</t>
  </si>
  <si>
    <t>Cabo de cobre de 2,5 mm², PVC, isolamento 1KV, Classe 5, na cor preto.</t>
  </si>
  <si>
    <t>Cabo de cobre de 2,5 mm², PVC, isolamento 1KV, Classe 5, na cor vermelha.</t>
  </si>
  <si>
    <t>Cabo de cobre de 2,5 mm², PVC, isolamento 750V, Classe 5, na cor verde.</t>
  </si>
  <si>
    <t>Caixa de passagem em alvenaria ( 0,30 x 0,30 x 0,30 ) metro, tampa de concreto, fundo em brita Nº 02 para drenagem</t>
  </si>
  <si>
    <t>Escavação manual valas ou fundações rasas no solo, para lançamento de dutos de PEAD flexível;</t>
  </si>
  <si>
    <t>Reaterro manual de valas.</t>
  </si>
  <si>
    <t>Compactação de valas manualmente</t>
  </si>
  <si>
    <t>ALIMENTAÇÃO DAS BOMBAS</t>
  </si>
  <si>
    <t xml:space="preserve">MC-ST-01_Quadro de Comando Partida para 7 chaves compensadoras sendo:  2 x 20CV - 380V- 60 Hz para a BA-AL-AB-01/02;  2 x 15CV - 380V- 60 Hz, para a BA-AL-AT-01/02; 3 x 10CV - 380V- 60 Hz, para A BA-AL-AL-01/02/03; banco de capacitor 3 X 5,0kVAr automático; transformador de serviço trifásico 10kVA, 380/220/127V; classe de isolação 0.6/1 KV, confeccionado em chapa de aço Nº 14 USG, proteção IP54, contendo todos os compenentes conforme o diagrama unifilar SAA-AL-DU-01 mais Unidade de alarme sonoro para faltas, supressores de surto, iluminação interna comanadada por micro switch, acondicionado em módulos de acordo como proposto pelo fornecedor, obedecendo os espaços de acessibilidade conforme norma pertinente, a ser aprovado pela fiscalização. </t>
  </si>
  <si>
    <t>Duto de PEAD (Polietileno de alta densidade), seção circular Ø 2". Fab.KANAFLEX, ou similar.</t>
  </si>
  <si>
    <t>Duto de PEAD (Polietileno de alta densidade), seção circular Ø 1.1/4". Fab.KANAFLEX, ou similar.</t>
  </si>
  <si>
    <t>Eletroduto em aço galvanizado eletrolítico Ø 3/4”, com costura e rebarbas removidas, tipo pesado, fornecido em barras de 3 (três) metros, com luva, conforme NBR 5624.</t>
  </si>
  <si>
    <t>Curva 90º para eletroduto de FG tipo pesado, galvanizado  Ø 1" a fogo.</t>
  </si>
  <si>
    <t>Luva para eletroduto de FG tipo pesado, galvanizado a fogo  Ø 1".</t>
  </si>
  <si>
    <t>Eletroduto de FG flexivel coberto com PVC, com elementos roscáveis nas extermidades sendo um macho fixo  e outro fémea deslizante Ø 1" de 0,4m</t>
  </si>
  <si>
    <t>Cabo de cobre, extra flexível,( encordoamento classe 5), tipo EPR 90º, 1X#35mm²/1000V, fab. PRYSMIAN ou similar, capa externa na cor preta.</t>
  </si>
  <si>
    <t>Cabo de cobre, extra flexível,( encordoamento classe 5), tipo EPR 90º, 1X#25mm²/1000V, fab. PRYSMIAN ou similar, capa externa na cor preta.</t>
  </si>
  <si>
    <t>Cabo de cobre, extra flexível,( encordoamento classe 5), tipo EPR, 90º, 4x#6,0mm²/1000V, fab. PRYSMIAN ou similar, capa externa na cor azul claro.</t>
  </si>
  <si>
    <t>Cabo de cobre, extra flexível,( encordoamento classe 5), tipo EPR, 90º, 4x#25,0mm²/1000V, fab. PRYSMIAN ou similar, capa externa na cor azul claro.</t>
  </si>
  <si>
    <t>Cabo de cobre, extra flexível,( encordoamento classe 5), tipo EPR, 90º, 4x#4,0mm²/1000V, fab. PRYSMIAN ou similar, capa externa na cor azul claro.</t>
  </si>
  <si>
    <t>Terminal cabo barra a compressão para cabo # 50mm²</t>
  </si>
  <si>
    <t>Terminal cabo barra a compressão para cabo # 35mm²</t>
  </si>
  <si>
    <t>Terminal cabo barra a compressão para cabo # 25mm²</t>
  </si>
  <si>
    <t>Terminal cabo barra a compressão para cabo # 6,0mm²</t>
  </si>
  <si>
    <t>Terminal cabo barra a compressão para cabo # 4,0mm²</t>
  </si>
  <si>
    <t>Kit de emenda para cabo de bombas sobmersas, similaridade BS20 da 3M para cabo 3X#6mm².</t>
  </si>
  <si>
    <t>Kit de emenda para cabo de bombas sobmersas, similaridade BS20 da 3M para cabo 3X#25mm².</t>
  </si>
  <si>
    <t>Niple em ferro galvanizado com rosca de   Ø1"</t>
  </si>
  <si>
    <t>Caixa de alvenaria com tampa de concreto, dimensões (1,0 m x 1,0 m x 1.0 m)</t>
  </si>
  <si>
    <t>Caixa de passagem em alvenaria ( 0,60 x 0,60 x 0,60 ) metro, tampa de concreto, fundo em brita Nº 02 para drenagem</t>
  </si>
  <si>
    <t>CONTROLE DE NÍVEL</t>
  </si>
  <si>
    <t>Cabo de cobre 2X#2,5mm², 1KV</t>
  </si>
  <si>
    <t>Chave boia tipo pêra com contato reversível, 10A 250V</t>
  </si>
  <si>
    <t>Chave de Fluxo para inserção, contato NA e NF, para 10A, 250V, acionamento por palheta, para instalar em tubulação DE FO FO de 250mm, com todos os assessórios que possibilitem a instalação, como colar e etc.</t>
  </si>
  <si>
    <t>Caixa de aluminio fundido  entrada rosqueada de 3/4", tipo "TB"</t>
  </si>
  <si>
    <t xml:space="preserve">SPADA E ATERRAMENTO </t>
  </si>
  <si>
    <t>Para-raios tipo Franklin c/ 4 pontas, roscas 3/4" externo, aço inoxidável.</t>
  </si>
  <si>
    <t>Mastro simples em FG Ø1½", ref. TEL-465, comp. 3.0m.</t>
  </si>
  <si>
    <t>Suporte isolador reforçado duplo, p/ mastro Ø1½".</t>
  </si>
  <si>
    <t>Suporte isolador reforçado simples fixação parafusada.</t>
  </si>
  <si>
    <t>Conjunto de contraventagem, ref. TEL-440.</t>
  </si>
  <si>
    <t>Presilha em latão</t>
  </si>
  <si>
    <t>Terminal de pressão para cabo #50mm²</t>
  </si>
  <si>
    <t>Conector mecânico split-bolt para cabo de #50mm²</t>
  </si>
  <si>
    <t>Cabo de cobre nu # 50mm².</t>
  </si>
  <si>
    <t>Cabo de cobre nu # 35mm².</t>
  </si>
  <si>
    <t>Haste de terra cobreada, núcleo de aço, de Ø 3/4" x 3000 mm, com conector para cabo nu # 50 mm².</t>
  </si>
  <si>
    <t>Cartucho em pó para solda exotérmica, completo (palito ignitor e tampão)</t>
  </si>
  <si>
    <t>Molde em grafite cabo haste de 5/8".</t>
  </si>
  <si>
    <t>Molde em grafite cabo cabo.</t>
  </si>
  <si>
    <t>Alicate de manuseio de molde.</t>
  </si>
  <si>
    <t>Vergalhão galvanizado a fogo de 3/8" x 6m para SPDA estrutural.</t>
  </si>
  <si>
    <t>Clipes galvanizados para emendas de vergalhao estrutural de 3/8.</t>
  </si>
  <si>
    <t>Conector para conectar cabo # 35mm² a vergalhão de 3/8"</t>
  </si>
  <si>
    <t>CASA DE QUÍMICA</t>
  </si>
  <si>
    <t>Eletroduto de aço galvanizado, fornecido em peças de 3 metros com uma luva diâmetro 3/4".</t>
  </si>
  <si>
    <t>Curva 90º raio longo, para eletroduto de aço galvanizado, diâmetro 3/4"</t>
  </si>
  <si>
    <t>Bucha e arruela em alumínio, para eletroduto de aço galvanizado, Ø3/4”</t>
  </si>
  <si>
    <t>Condulete, para uso interno, entradas para eletroduto sem rosca, fabricado em liga de alumínio fundido, tampa  lisa, tipo T e diâmetro 3/4"</t>
  </si>
  <si>
    <t>Condulete, para uso interno, entradas para eletroduto sem rosca, fabricado em liga de alumínio fundido, tampa  lisa, tipo LR e diâmetro 3/4"</t>
  </si>
  <si>
    <t>Condulete, para uso interno, entradas para eletroduto sem rosca, fabricado em liga de alumínio fundido, tampa com equipamentos, Ø3/4”, “E”, com 1 tomada redonda 2P+T127V-15A</t>
  </si>
  <si>
    <t>Condulete, para uso interno, entradas para eletroduto sem rosca, fabricado em liga de alumínio fundido, tampa com equipamentos, Ø3/4”, “E”, com 1 interruptor bipolar 220V-60Hz</t>
  </si>
  <si>
    <t>Condulete, para uso interno, entradas para eletroduto sem rosca, fabricado em liga de alumínio fundido, tampa com equipamentos, Ø3/4”, “E”, com 1 interruptor bipolar 220V-60Hz e uma tomada redonda 2P+T127V-15A</t>
  </si>
  <si>
    <t>Luminária tipo comercial chanfrada, para 2 lâmpadas fluorescentes, 220V-60Hz,  2x32W</t>
  </si>
  <si>
    <t>Luminária tipo comercial chanfrada, para 2 lâmpadas fluorescentes, 220V-60Hz, 2x16W</t>
  </si>
  <si>
    <t>Lâmpada fluorescente tipo luz do dia 32W</t>
  </si>
  <si>
    <t xml:space="preserve">Lâmpada fluorescente tipo luz do dia 16W </t>
  </si>
  <si>
    <t>Soquete antivibratório para lâmpada fluorescente  32W</t>
  </si>
  <si>
    <t xml:space="preserve">Soquete antivibratório para lâmpada fluorescente   16W </t>
  </si>
  <si>
    <t>Reator para 2 lâmpadas fluorescentes, partida rápida, alto fator de potência, 220V-60Hz, 2x32W</t>
  </si>
  <si>
    <t>Reator para 2 lâmpadas fluorescentes, partida rápida, alto fator de potência, 220V-60Hz, 2x16W</t>
  </si>
  <si>
    <t>Suporte para fixação de luminária fluorescente à eletroduto Ø3/4”</t>
  </si>
  <si>
    <t>Braçadeira tipo “D”, para fixação de eletroduto galvanizado Ø3/4”</t>
  </si>
  <si>
    <t>Cabo de cobre, isolação para 750 Volts, #2,5mm²-preto</t>
  </si>
  <si>
    <t>Cabo de cobre, isolação para 750 Volts, #2,5mm²-azul claro</t>
  </si>
  <si>
    <t>Cabo de cobre, isolação para 750 Volts, #2,5mm²- verde amarelo</t>
  </si>
  <si>
    <t>Cabo de cobre, isolação para 750 Volts,  #4,0mm²-preto</t>
  </si>
  <si>
    <t>Cabo de cobre, isolação para 750 Volts,  #4,0mm²- verde amarelo</t>
  </si>
  <si>
    <t>Quadro de distribuição de circuitos, para 15 circuitos, sem disjuntor geral, para sobrepor em parede, com barramento 3Ø+N+PE</t>
  </si>
  <si>
    <t>Disjuntor monopolar 127V, 60 Hz – In=16 A, padrão Europeu.</t>
  </si>
  <si>
    <t>Disjuntor bipolar 220V, 60 Hz , padrão Europeu,   In = 16 A</t>
  </si>
  <si>
    <t>Disjuntor bipolar 220V, 60 Hz , padrão Europeu,   In = 25 A</t>
  </si>
  <si>
    <t>Disjuntor tripolar 220V, 60 Hz – In=16 A, padrão Europeu.</t>
  </si>
  <si>
    <t>vara</t>
  </si>
  <si>
    <t>pç</t>
  </si>
  <si>
    <t>un.</t>
  </si>
  <si>
    <t>8.2.3</t>
  </si>
  <si>
    <t xml:space="preserve">Suporte em aço galvânizado 2"x3,50m (Placas de Logradouros) </t>
  </si>
  <si>
    <t>Placa de logradouro 0,30x0,50 cm</t>
  </si>
  <si>
    <t>MERCADO</t>
  </si>
  <si>
    <t>CRESS</t>
  </si>
  <si>
    <t>Apoio Administrativo</t>
  </si>
  <si>
    <t>Assistente Social Campo</t>
  </si>
  <si>
    <t>Coordenador do PTS - Assistente Social</t>
  </si>
  <si>
    <t>Coordenador Ambiental - Cientista Ambiental</t>
  </si>
  <si>
    <t>Coordenador GTR- Assistente Social</t>
  </si>
  <si>
    <t>Mobilizador</t>
  </si>
  <si>
    <t>Água</t>
  </si>
  <si>
    <t>Copos descartáveis (180 ml)</t>
  </si>
  <si>
    <t>kit lanche (suco de caixinha 200ml, sanduíche)</t>
  </si>
  <si>
    <t>Hora</t>
  </si>
  <si>
    <t>Galão 20L</t>
  </si>
  <si>
    <t>unidade</t>
  </si>
  <si>
    <t>Pacote c/100</t>
  </si>
  <si>
    <t>Locação de cadeiras</t>
  </si>
  <si>
    <t>Divulgação em carro de som e rádio</t>
  </si>
  <si>
    <t>Pipoca</t>
  </si>
  <si>
    <t>Pula pula</t>
  </si>
  <si>
    <t>Facilitador / Palestrante/ Professor Oficina</t>
  </si>
  <si>
    <t>Estatístico</t>
  </si>
  <si>
    <t>Pesquisadores</t>
  </si>
  <si>
    <t>Cópia do informativo preto e branco</t>
  </si>
  <si>
    <t>hora</t>
  </si>
  <si>
    <t>carrinho</t>
  </si>
  <si>
    <t>Cartilha informativa</t>
  </si>
  <si>
    <t>Rodas de Conversa sobre consumo consciente de água e tarifa social - Meses 11 e 12</t>
  </si>
  <si>
    <t>Brinde ( Bloco de lembrete, itens de casa, brinquedos pedagógicos, dentre outros)</t>
  </si>
  <si>
    <t>Cadastro social para ligação de instalações intradomiciliares - Mês 08 a 09</t>
  </si>
  <si>
    <t>Conservação Patrimonial - Mês 12</t>
  </si>
  <si>
    <t>Desenvolvimento Socioeconômico</t>
  </si>
  <si>
    <t>Curso Design de Sobrancelhas - Mês 05</t>
  </si>
  <si>
    <t>Apostila - Cursos</t>
  </si>
  <si>
    <t>Lanche Encerramento (salgados, bolos, Refrigerante)</t>
  </si>
  <si>
    <t>Curso Design de Sobrancelhas</t>
  </si>
  <si>
    <t>Curso Biojoias - Mês 06</t>
  </si>
  <si>
    <t>Curso Biojoias</t>
  </si>
  <si>
    <t>Curso Barbeiro - Mês 07</t>
  </si>
  <si>
    <t>Curso Barbeiro</t>
  </si>
  <si>
    <t>cento</t>
  </si>
  <si>
    <t>valor por vaga</t>
  </si>
  <si>
    <t>TRABALHO SOCIAL</t>
  </si>
  <si>
    <t>3.2.1.</t>
  </si>
  <si>
    <t>3.2.3.</t>
  </si>
  <si>
    <t>3.1.1</t>
  </si>
  <si>
    <t>3.1.1.1</t>
  </si>
  <si>
    <t>3.1.2.1</t>
  </si>
  <si>
    <t>3.1.1.2</t>
  </si>
  <si>
    <t>3.1.1.3</t>
  </si>
  <si>
    <t>3.1.1.4</t>
  </si>
  <si>
    <t>3.1.1.5</t>
  </si>
  <si>
    <t>3.1.2.2</t>
  </si>
  <si>
    <t>3.1.2.3</t>
  </si>
  <si>
    <t>3.1.1.6</t>
  </si>
  <si>
    <t>3.1.1.7</t>
  </si>
  <si>
    <t>3.1.1.8</t>
  </si>
  <si>
    <t>3.1.2</t>
  </si>
  <si>
    <t>3.1.2.4</t>
  </si>
  <si>
    <t>3.1.2.5</t>
  </si>
  <si>
    <t>3.1.2.6</t>
  </si>
  <si>
    <t>3.1.2.7</t>
  </si>
  <si>
    <t>3.1.2.8</t>
  </si>
  <si>
    <t>3.1.3</t>
  </si>
  <si>
    <t>3.1.3.1</t>
  </si>
  <si>
    <t>3.1.3.2</t>
  </si>
  <si>
    <t>3.1.3.3</t>
  </si>
  <si>
    <t>3.1.3.4</t>
  </si>
  <si>
    <t>3.1.3.5</t>
  </si>
  <si>
    <t>3.1.4</t>
  </si>
  <si>
    <t>3.1.4.1</t>
  </si>
  <si>
    <t>3.1.4.2</t>
  </si>
  <si>
    <t>3.1.4.3</t>
  </si>
  <si>
    <t>3.1.4.4</t>
  </si>
  <si>
    <t>3.1.4.5</t>
  </si>
  <si>
    <t>3.1.4.6</t>
  </si>
  <si>
    <t>3.1.4.7</t>
  </si>
  <si>
    <t>3.1.4.8</t>
  </si>
  <si>
    <t>3.1.4.9</t>
  </si>
  <si>
    <t>3.1.4.10</t>
  </si>
  <si>
    <t>3.1.4.11</t>
  </si>
  <si>
    <t>3.1.4.12</t>
  </si>
  <si>
    <t>3.1.4.13</t>
  </si>
  <si>
    <t>3.1.4.14</t>
  </si>
  <si>
    <t>3.1.4.15</t>
  </si>
  <si>
    <t>3.1.4.16</t>
  </si>
  <si>
    <t>3.1.4.17</t>
  </si>
  <si>
    <t>3.1.4.18</t>
  </si>
  <si>
    <t>3.1.4.19</t>
  </si>
  <si>
    <t>3.1.4.20</t>
  </si>
  <si>
    <t>3.1.4.21</t>
  </si>
  <si>
    <t>3.1.5.</t>
  </si>
  <si>
    <t>3.1.5.1</t>
  </si>
  <si>
    <t>3.1.5.2</t>
  </si>
  <si>
    <t>3.1.5.3</t>
  </si>
  <si>
    <t>3.1.5.4</t>
  </si>
  <si>
    <t>3.1.5.5</t>
  </si>
  <si>
    <t>3.1.5.6</t>
  </si>
  <si>
    <t>3.1.5.7</t>
  </si>
  <si>
    <t>3.1.5.8</t>
  </si>
  <si>
    <t>3.1.5.9</t>
  </si>
  <si>
    <t>3.1.5.10</t>
  </si>
  <si>
    <t>3.1.5.11</t>
  </si>
  <si>
    <t>3.1.5.12</t>
  </si>
  <si>
    <t>3.1.5.13</t>
  </si>
  <si>
    <t>3.1.5.14</t>
  </si>
  <si>
    <t>3.1.5.15</t>
  </si>
  <si>
    <t>3.1.6.</t>
  </si>
  <si>
    <t>3.1.6.1</t>
  </si>
  <si>
    <t>3.1.6.2</t>
  </si>
  <si>
    <t>3.1.6.3</t>
  </si>
  <si>
    <t>3.1.6.4</t>
  </si>
  <si>
    <t>3.1.6.5</t>
  </si>
  <si>
    <t>3.1.6.6</t>
  </si>
  <si>
    <t>3.1.6.7</t>
  </si>
  <si>
    <t>3.1.6.8</t>
  </si>
  <si>
    <t>3.1.6.9</t>
  </si>
  <si>
    <t>3.1.6.10</t>
  </si>
  <si>
    <t>3.1.6.11</t>
  </si>
  <si>
    <t>3.1.6.12</t>
  </si>
  <si>
    <t>3.1.7.</t>
  </si>
  <si>
    <t>3.1.7.1</t>
  </si>
  <si>
    <t>3.1.7.2</t>
  </si>
  <si>
    <t>3.1.7.3</t>
  </si>
  <si>
    <t>3.1.7.4</t>
  </si>
  <si>
    <t>3.1.7.5</t>
  </si>
  <si>
    <t>3.1.7.6</t>
  </si>
  <si>
    <t>3.1.7.7</t>
  </si>
  <si>
    <t>3.1.7.8</t>
  </si>
  <si>
    <t>3.1.7.9</t>
  </si>
  <si>
    <t>3.1.7.10</t>
  </si>
  <si>
    <t>3.1.7.11</t>
  </si>
  <si>
    <t>3.1.8.</t>
  </si>
  <si>
    <t>3.1.8.1</t>
  </si>
  <si>
    <t>3.1.8.2</t>
  </si>
  <si>
    <t>3.1.8.3</t>
  </si>
  <si>
    <t>3.1.8.4</t>
  </si>
  <si>
    <t>3.1.8.5</t>
  </si>
  <si>
    <t>3.1.8.6</t>
  </si>
  <si>
    <t>3.1.9.</t>
  </si>
  <si>
    <t>3.1.9.1</t>
  </si>
  <si>
    <t>3.1.9.2</t>
  </si>
  <si>
    <t>3.1.9.3</t>
  </si>
  <si>
    <t>3.1.9.4</t>
  </si>
  <si>
    <t>3.1.9.5</t>
  </si>
  <si>
    <t>3.1.9.6</t>
  </si>
  <si>
    <t>3.2.1.1</t>
  </si>
  <si>
    <t>3.2.1.2</t>
  </si>
  <si>
    <t>3.2.1.3</t>
  </si>
  <si>
    <t>3.2.2</t>
  </si>
  <si>
    <t>3.2.2.1</t>
  </si>
  <si>
    <t>3.2.3.1</t>
  </si>
  <si>
    <t>3.2.3.2</t>
  </si>
  <si>
    <t>3.2.3.3</t>
  </si>
  <si>
    <t>3.2.3.4</t>
  </si>
  <si>
    <t>3.2.3.5</t>
  </si>
  <si>
    <t>3.3.1</t>
  </si>
  <si>
    <t>3.3.1.1</t>
  </si>
  <si>
    <t>3.3.1.2</t>
  </si>
  <si>
    <t>3.3.1.3</t>
  </si>
  <si>
    <t>3.3.1.4</t>
  </si>
  <si>
    <t>3.3.1.5</t>
  </si>
  <si>
    <t>3.3.1.6</t>
  </si>
  <si>
    <t>3.3.1.7</t>
  </si>
  <si>
    <t>3.4.1</t>
  </si>
  <si>
    <t>3.4.2</t>
  </si>
  <si>
    <t>3.4.3</t>
  </si>
  <si>
    <t>3.4.4</t>
  </si>
  <si>
    <t>3.4.5</t>
  </si>
  <si>
    <t>3.4.6</t>
  </si>
  <si>
    <t>3.4.7</t>
  </si>
  <si>
    <t>3.4.8</t>
  </si>
  <si>
    <t>3.4.9</t>
  </si>
  <si>
    <t>3.4.10</t>
  </si>
  <si>
    <t>3.5.1</t>
  </si>
  <si>
    <t>3.5.2</t>
  </si>
  <si>
    <t>3.5.3</t>
  </si>
  <si>
    <t>3.5.4</t>
  </si>
  <si>
    <t>3.5.5</t>
  </si>
  <si>
    <t>3.5.6</t>
  </si>
  <si>
    <t>3.5.7</t>
  </si>
  <si>
    <t>3.5.8</t>
  </si>
  <si>
    <t>3.5.9</t>
  </si>
  <si>
    <t>3.5.10</t>
  </si>
  <si>
    <t>3.5.11</t>
  </si>
  <si>
    <t>3.6.1</t>
  </si>
  <si>
    <t>3.6.2</t>
  </si>
  <si>
    <t>3.6.3</t>
  </si>
  <si>
    <t>3.6.4</t>
  </si>
  <si>
    <t>3.6.5</t>
  </si>
  <si>
    <t>3.6.6</t>
  </si>
  <si>
    <t>3.6.7</t>
  </si>
  <si>
    <t>3.6.8</t>
  </si>
  <si>
    <t>3.6.9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</si>
  <si>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</si>
  <si>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</si>
  <si>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</si>
  <si>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</si>
  <si>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</si>
  <si>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</si>
  <si>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</si>
  <si>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</si>
  <si>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</si>
  <si>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</si>
  <si>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</si>
  <si>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</si>
  <si>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</si>
  <si>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</si>
  <si>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</si>
  <si>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</si>
  <si>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</si>
  <si>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</si>
  <si>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</si>
  <si>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</si>
  <si>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</si>
  <si>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</si>
  <si>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</si>
  <si>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</si>
  <si>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</si>
  <si>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</si>
  <si>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</si>
  <si>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</si>
  <si>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</si>
  <si>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</si>
  <si>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</si>
  <si>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</si>
  <si>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</si>
  <si>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</si>
  <si>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</si>
  <si>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</si>
  <si>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</si>
  <si>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</si>
  <si>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</si>
  <si>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</si>
  <si>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</si>
  <si>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</si>
  <si>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</si>
  <si>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3.7.1</t>
  </si>
  <si>
    <t>3.7.2</t>
  </si>
  <si>
    <t>3.7.3</t>
  </si>
  <si>
    <t>3.7.4</t>
  </si>
  <si>
    <t>3.7.5</t>
  </si>
  <si>
    <t>3.7.6</t>
  </si>
  <si>
    <t>3.7.7</t>
  </si>
  <si>
    <t>3.7.8</t>
  </si>
  <si>
    <t>3.7.9</t>
  </si>
  <si>
    <t>3.7.10</t>
  </si>
  <si>
    <t>3.7.11</t>
  </si>
  <si>
    <t>3.7.12</t>
  </si>
  <si>
    <t>3.7.13</t>
  </si>
  <si>
    <t>3.7.14</t>
  </si>
  <si>
    <t>3.7.15</t>
  </si>
  <si>
    <t>3.7.16</t>
  </si>
  <si>
    <t>3.7.17</t>
  </si>
  <si>
    <t>3.8.1</t>
  </si>
  <si>
    <t>3.8.2</t>
  </si>
  <si>
    <t>3.8.3</t>
  </si>
  <si>
    <t>3.8.4</t>
  </si>
  <si>
    <t>3.8.5</t>
  </si>
  <si>
    <t>3.8.6</t>
  </si>
  <si>
    <t>3.8.7</t>
  </si>
  <si>
    <t>3.8.8</t>
  </si>
  <si>
    <t>3.8.9</t>
  </si>
  <si>
    <t>3.9.1</t>
  </si>
  <si>
    <t>3.9.2</t>
  </si>
  <si>
    <t>3.9.3</t>
  </si>
  <si>
    <t>3.9.4</t>
  </si>
  <si>
    <t>3.9.5</t>
  </si>
  <si>
    <t>3.9.6</t>
  </si>
  <si>
    <t>3.10.1</t>
  </si>
  <si>
    <t>3.10.2</t>
  </si>
  <si>
    <t>3.10.3</t>
  </si>
  <si>
    <t>3.10.4</t>
  </si>
  <si>
    <t>3.10.5</t>
  </si>
  <si>
    <t>3.10.6</t>
  </si>
  <si>
    <t>3.10.7</t>
  </si>
  <si>
    <t>3.11.1</t>
  </si>
  <si>
    <t>3.11.2</t>
  </si>
  <si>
    <t>3.11.1.1</t>
  </si>
  <si>
    <t>3.11.1.2</t>
  </si>
  <si>
    <t>3.11.1.3</t>
  </si>
  <si>
    <t>3.11.1.4</t>
  </si>
  <si>
    <t>3.11.3</t>
  </si>
  <si>
    <t>3.11.2.1</t>
  </si>
  <si>
    <t>3.11.2.2</t>
  </si>
  <si>
    <t>3.11.2.3</t>
  </si>
  <si>
    <t>3.11.2.4</t>
  </si>
  <si>
    <t>3.11.3.1</t>
  </si>
  <si>
    <t>3.11.3.2</t>
  </si>
  <si>
    <t>3.11.3.3</t>
  </si>
  <si>
    <t>3.11.3.4</t>
  </si>
  <si>
    <t>6.1.1</t>
  </si>
  <si>
    <t>6.1.2</t>
  </si>
  <si>
    <t>6.1.3</t>
  </si>
  <si>
    <t>6.1.4</t>
  </si>
  <si>
    <t>6.1.5</t>
  </si>
  <si>
    <t>6.1.6</t>
  </si>
  <si>
    <t>6.1.7</t>
  </si>
  <si>
    <t>6.1.8</t>
  </si>
  <si>
    <t>6.1.9</t>
  </si>
  <si>
    <t>6.1.10</t>
  </si>
  <si>
    <t>6.2.1</t>
  </si>
  <si>
    <t>6.2.2</t>
  </si>
  <si>
    <t>6.2.3</t>
  </si>
  <si>
    <t>6.2.4</t>
  </si>
  <si>
    <t>6.2.5</t>
  </si>
  <si>
    <t>6.2.6</t>
  </si>
  <si>
    <t>6.2.7</t>
  </si>
  <si>
    <t>6.2.8</t>
  </si>
  <si>
    <t>6.2.9</t>
  </si>
  <si>
    <t>6.2.10</t>
  </si>
  <si>
    <t>6.3.1</t>
  </si>
  <si>
    <t>6.3.2</t>
  </si>
  <si>
    <t>6.3.3</t>
  </si>
  <si>
    <t>6.3.4</t>
  </si>
  <si>
    <t>6.3.5</t>
  </si>
  <si>
    <t>6.3.6</t>
  </si>
  <si>
    <t>6.3.7</t>
  </si>
  <si>
    <t>6.3.8</t>
  </si>
  <si>
    <t>6.3.9</t>
  </si>
  <si>
    <t>6.3.10</t>
  </si>
  <si>
    <t>6.4.1</t>
  </si>
  <si>
    <t>6.4.2</t>
  </si>
  <si>
    <t>6.4.3</t>
  </si>
  <si>
    <t>6.4.4</t>
  </si>
  <si>
    <t>6.4.5</t>
  </si>
  <si>
    <t>6.4.6</t>
  </si>
  <si>
    <t>6.4.7</t>
  </si>
  <si>
    <t>6.4.8</t>
  </si>
  <si>
    <t>6.4.9</t>
  </si>
  <si>
    <t>6.4.10</t>
  </si>
  <si>
    <t>6.5.1</t>
  </si>
  <si>
    <t>6.6.1</t>
  </si>
  <si>
    <t>6.7.1</t>
  </si>
  <si>
    <t>6.8.1</t>
  </si>
  <si>
    <t>6.9.1</t>
  </si>
  <si>
    <t>6.9.2</t>
  </si>
  <si>
    <t>6.9.3</t>
  </si>
  <si>
    <t>6.9.4</t>
  </si>
  <si>
    <t>7.8</t>
  </si>
  <si>
    <t>8.1.4</t>
  </si>
  <si>
    <t>8.1.5</t>
  </si>
  <si>
    <t>8.1.6</t>
  </si>
  <si>
    <t>8.1.7</t>
  </si>
  <si>
    <t>8.1.8</t>
  </si>
  <si>
    <t>8.1.9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</si>
  <si>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</si>
  <si>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</si>
  <si>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</si>
  <si>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</si>
  <si>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</si>
  <si>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</si>
  <si>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</si>
  <si>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</si>
  <si>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</si>
  <si>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</si>
  <si>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</si>
  <si>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</si>
  <si>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</si>
  <si>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</si>
  <si>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</si>
  <si>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</si>
  <si>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</si>
  <si>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</si>
  <si>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</si>
  <si>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</si>
  <si>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</si>
  <si>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</si>
  <si>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</si>
  <si>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</si>
  <si>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</si>
  <si>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</si>
  <si>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</si>
  <si>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8.1.37</t>
  </si>
  <si>
    <t>8.1.38</t>
  </si>
  <si>
    <t>8.1.39</t>
  </si>
  <si>
    <t>8.1.40</t>
  </si>
  <si>
    <t>8.2.4</t>
  </si>
  <si>
    <t>8.2.5</t>
  </si>
  <si>
    <t>8.2.6</t>
  </si>
  <si>
    <t>8.2.7</t>
  </si>
  <si>
    <t>8.2.8</t>
  </si>
  <si>
    <t>8.2.9</t>
  </si>
  <si>
    <t>8.2.10</t>
  </si>
  <si>
    <t>8.2.11</t>
  </si>
  <si>
    <t>8.2.12</t>
  </si>
  <si>
    <t>8.2.13</t>
  </si>
  <si>
    <t>8.2.14</t>
  </si>
  <si>
    <t>8.2.15</t>
  </si>
  <si>
    <t>8.2.16</t>
  </si>
  <si>
    <t>8.2.17</t>
  </si>
  <si>
    <t>8.2.18</t>
  </si>
  <si>
    <t>8.2.19</t>
  </si>
  <si>
    <t>8.2.20</t>
  </si>
  <si>
    <t>8.2.21</t>
  </si>
  <si>
    <t>8.2.22</t>
  </si>
  <si>
    <t>8.2.23</t>
  </si>
  <si>
    <t>8.2.24</t>
  </si>
  <si>
    <t>8.2.25</t>
  </si>
  <si>
    <t>8.2.26</t>
  </si>
  <si>
    <t>8.2.27</t>
  </si>
  <si>
    <t>8.2.28</t>
  </si>
  <si>
    <t>8.2.29</t>
  </si>
  <si>
    <t>8.2.30</t>
  </si>
  <si>
    <t>8.2.31</t>
  </si>
  <si>
    <t>8.2.32</t>
  </si>
  <si>
    <t>8.3</t>
  </si>
  <si>
    <t>8.3.1</t>
  </si>
  <si>
    <t>8.3.2</t>
  </si>
  <si>
    <t>8.3.3</t>
  </si>
  <si>
    <t>8.3.4</t>
  </si>
  <si>
    <t>8.3.5</t>
  </si>
  <si>
    <t>8.3.6</t>
  </si>
  <si>
    <t>8.3.7</t>
  </si>
  <si>
    <t>8.3.8</t>
  </si>
  <si>
    <t>8.3.9</t>
  </si>
  <si>
    <t>8.3.10</t>
  </si>
  <si>
    <t>8.3.11</t>
  </si>
  <si>
    <t>8.3.12</t>
  </si>
  <si>
    <t>8.3.13</t>
  </si>
  <si>
    <t>8.3.14</t>
  </si>
  <si>
    <t>8.3.15</t>
  </si>
  <si>
    <t>8.3.16</t>
  </si>
  <si>
    <t>8.3.17</t>
  </si>
  <si>
    <t>8.3.18</t>
  </si>
  <si>
    <t>8.3.19</t>
  </si>
  <si>
    <t>8.3.20</t>
  </si>
  <si>
    <t>8.3.21</t>
  </si>
  <si>
    <t>8.3.22</t>
  </si>
  <si>
    <t>8.3.23</t>
  </si>
  <si>
    <t>8.3.24</t>
  </si>
  <si>
    <t>8.3.25</t>
  </si>
  <si>
    <t>8.4</t>
  </si>
  <si>
    <t>8.4.1</t>
  </si>
  <si>
    <t>8.4.2</t>
  </si>
  <si>
    <t>8.4.3</t>
  </si>
  <si>
    <t>8.4.4</t>
  </si>
  <si>
    <t>8.4.5</t>
  </si>
  <si>
    <t>8.4.6</t>
  </si>
  <si>
    <t>8.4.7</t>
  </si>
  <si>
    <t>8.4.8</t>
  </si>
  <si>
    <t>8.4.9</t>
  </si>
  <si>
    <t>8.4.10</t>
  </si>
  <si>
    <t>8.5</t>
  </si>
  <si>
    <t>8.5.1</t>
  </si>
  <si>
    <t>8.5.2</t>
  </si>
  <si>
    <t>8.5.3</t>
  </si>
  <si>
    <t>8.5.4</t>
  </si>
  <si>
    <t>8.5.5</t>
  </si>
  <si>
    <t>8.5.6</t>
  </si>
  <si>
    <t>8.5.7</t>
  </si>
  <si>
    <t>8.5.8</t>
  </si>
  <si>
    <t>8.5.9</t>
  </si>
  <si>
    <t>8.5.10</t>
  </si>
  <si>
    <t>8.5.11</t>
  </si>
  <si>
    <t>8.5.12</t>
  </si>
  <si>
    <t>8.5.13</t>
  </si>
  <si>
    <t>8.5.14</t>
  </si>
  <si>
    <t>8.5.15</t>
  </si>
  <si>
    <t>8.5.16</t>
  </si>
  <si>
    <t>8.5.17</t>
  </si>
  <si>
    <t>8.5.18</t>
  </si>
  <si>
    <t>8.5.19</t>
  </si>
  <si>
    <t>8.5.20</t>
  </si>
  <si>
    <t>8.5.21</t>
  </si>
  <si>
    <t>8.5.22</t>
  </si>
  <si>
    <t>8.6</t>
  </si>
  <si>
    <t>8.6.1</t>
  </si>
  <si>
    <t>8.6.2</t>
  </si>
  <si>
    <t>8.6.3</t>
  </si>
  <si>
    <t>8.6.4</t>
  </si>
  <si>
    <t>8.6.5</t>
  </si>
  <si>
    <t>8.6.6</t>
  </si>
  <si>
    <t>8.6.7</t>
  </si>
  <si>
    <t>8.6.8</t>
  </si>
  <si>
    <t>8.6.9</t>
  </si>
  <si>
    <t>8.6.10</t>
  </si>
  <si>
    <t>8.6.11</t>
  </si>
  <si>
    <t>8.6.12</t>
  </si>
  <si>
    <t>8.6.13</t>
  </si>
  <si>
    <t>8.6.14</t>
  </si>
  <si>
    <t>8.6.15</t>
  </si>
  <si>
    <t>8.6.16</t>
  </si>
  <si>
    <t>8.6.17</t>
  </si>
  <si>
    <t>8.6.18</t>
  </si>
  <si>
    <t>8.6.19</t>
  </si>
  <si>
    <t>8.6.20</t>
  </si>
  <si>
    <t>8.6.21</t>
  </si>
  <si>
    <t>8.6.22</t>
  </si>
  <si>
    <t>8.6.23</t>
  </si>
  <si>
    <t>8.6.24</t>
  </si>
  <si>
    <t>8.6.25</t>
  </si>
  <si>
    <t>8.6.26</t>
  </si>
  <si>
    <t>8.6.27</t>
  </si>
  <si>
    <t>8.6.28</t>
  </si>
  <si>
    <t>9.3</t>
  </si>
  <si>
    <t>9.4</t>
  </si>
  <si>
    <t>9.5</t>
  </si>
  <si>
    <t>9.6</t>
  </si>
  <si>
    <t>9.7</t>
  </si>
  <si>
    <t>10.1.1</t>
  </si>
  <si>
    <t>10.1.2</t>
  </si>
  <si>
    <t>10.1.3</t>
  </si>
  <si>
    <t>10.2.1</t>
  </si>
  <si>
    <t>10.2.2</t>
  </si>
  <si>
    <t>10.2.3</t>
  </si>
  <si>
    <t>6.7.2</t>
  </si>
  <si>
    <t>6.8.2</t>
  </si>
  <si>
    <t>6.9.5</t>
  </si>
  <si>
    <t>6.9.6</t>
  </si>
  <si>
    <t>6.9.7</t>
  </si>
  <si>
    <t>6.9.8</t>
  </si>
  <si>
    <t>SINAPI-I</t>
  </si>
  <si>
    <t xml:space="preserve">CADASTRO TÉCNICO DO EMPREENDIMENTO CONSTANDO DESCRITIVO, ESPECIFICAÇÕES, MANUAIS OPERACIONAIS </t>
  </si>
  <si>
    <t>b</t>
  </si>
  <si>
    <t>DESCRIÇÃO DOS SERVIÇOS</t>
  </si>
  <si>
    <t>REPASSE (R$)</t>
  </si>
  <si>
    <t>CONTRAPARTIDA (R$)</t>
  </si>
  <si>
    <t>VALOR TOTAL(R$)</t>
  </si>
  <si>
    <t>% DO INVESTIMENTO TOTAL</t>
  </si>
  <si>
    <t>VB</t>
  </si>
  <si>
    <t>Retirada de entulho - manualmente (Incluindo Caixa Coletora)</t>
  </si>
  <si>
    <t>Aterro incluindo carga, descarga, transporte e apiloamento (CALÇADA)</t>
  </si>
  <si>
    <t>PISO PODOTÁTIL DE ALERTA OU DIRECIONAL, DE CONCRETO, ASSENTADO SOBRE ARGAMASSA. AF_05/2023</t>
  </si>
  <si>
    <t xml:space="preserve">Guia (meio-fio) concreto, moldada in loco, em trecho reto com extrusora, 13 cm base x 22 cm altura. AF_06/2016 </t>
  </si>
  <si>
    <t>4.1.4</t>
  </si>
  <si>
    <t>Tampa de concreto armado, dimensões: 1,00x1,20mx0,07m com furos</t>
  </si>
  <si>
    <t>Poço visita em conc. armado 1.2x1.2m h=2.10m-tpo.fofo</t>
  </si>
  <si>
    <t>4.7</t>
  </si>
  <si>
    <t xml:space="preserve">Execução de tampa de poço de visita </t>
  </si>
  <si>
    <t>4.7.1</t>
  </si>
  <si>
    <t>Tampa circular para esgoto e drenagem, em concreto pré-moldado, diâmetro interno = 0,6 M. AF_12/2020</t>
  </si>
  <si>
    <t>4.8</t>
  </si>
  <si>
    <t>4.8.1</t>
  </si>
  <si>
    <t xml:space="preserve">Ala de lançamento para rede tubular </t>
  </si>
  <si>
    <t>LIMPEZA MECANIZADA DE CAMADA VEGETAL, VEGETAÇÃO E PEQUENAS ÁRVORES (DIÂMETRO DE TRONCO MENOR QUE 0,20 M), COM TRATOR DE ESTEIRAS.AF_05/2018</t>
  </si>
  <si>
    <t>Escavacao e carga material 1a categoria, utilizando trator de esteiras de 110 a 160hp com lamina, peso operacional * 13t e pa carregadeira com 170 hp. (BOTA FORA)</t>
  </si>
  <si>
    <t>Transporte com caminhão basculante de 6 m3, em via urbana pavimentada, dmt até 30 km (unidade: m3xkm). Af_01/2018. (BOTA FORA)</t>
  </si>
  <si>
    <t>Escavacao e carga material 1a categoria, utilizando trator de esteiras de 110 a 160hp com lamina, peso operacional * 13t e pa carregadeira com 170 hp. (BT)</t>
  </si>
  <si>
    <t>5.9</t>
  </si>
  <si>
    <t>5.10</t>
  </si>
  <si>
    <t>Plantio de grama (incl. terra preta)</t>
  </si>
  <si>
    <t>7.1.1</t>
  </si>
  <si>
    <t>LINHA DE RETENÇÃO (LRE) (m2)</t>
  </si>
  <si>
    <t>7.1.2</t>
  </si>
  <si>
    <t>FAIXA DE TRAVESSIA DE PEDESTRES (FTP) (m2)</t>
  </si>
  <si>
    <t>7.1.3</t>
  </si>
  <si>
    <t>ZEBRADO (m²)</t>
  </si>
  <si>
    <t>7.1.4</t>
  </si>
  <si>
    <t>LINHA DE PROIBIÇÃO DE PARADA (LPP) (m2)</t>
  </si>
  <si>
    <t>7.1.5</t>
  </si>
  <si>
    <t>LINHA SIMPLES SECCIONADA (LFO-2) (m2) - AMARELA</t>
  </si>
  <si>
    <t>7.1.6</t>
  </si>
  <si>
    <t>LINHA SIMPLES CONTÍNUA (LFO-1) (m2) - AMARELA</t>
  </si>
  <si>
    <t>7.1.7</t>
  </si>
  <si>
    <t>LINHA DE BORDO (LBO) (m2)</t>
  </si>
  <si>
    <t>7.1.8</t>
  </si>
  <si>
    <t>PARE (3,2m²)</t>
  </si>
  <si>
    <t>7.1.9</t>
  </si>
  <si>
    <t>DÊ A PREFERÊNCIA (3,20m²)</t>
  </si>
  <si>
    <t>7.2.1</t>
  </si>
  <si>
    <t>FAIXA DE TRAVESSIA DE ESCOLARES COM SETA</t>
  </si>
  <si>
    <t>7.2.2</t>
  </si>
  <si>
    <t>R1 - PARADA OBRIGATÓRIA</t>
  </si>
  <si>
    <t>7.2.3</t>
  </si>
  <si>
    <t>R2 - DÊ A PREFERÊNCIA</t>
  </si>
  <si>
    <t>7.2.4</t>
  </si>
  <si>
    <t>R33 - SENTIDO DE CIRCULAÇÃO NA ROTATÓRIA</t>
  </si>
  <si>
    <t>7.2.5</t>
  </si>
  <si>
    <t>PLACA DE LOGRADOUROS 0,30X0,50cm</t>
  </si>
  <si>
    <t>7.2.6</t>
  </si>
  <si>
    <t>SUPORTE DE MADEIRA 3,50 MTS 3"x3"x3,5M</t>
  </si>
  <si>
    <t>7.2.7</t>
  </si>
  <si>
    <t xml:space="preserve">SUPORTE EM AÇO GALVÂNIZADO 2"x3,50M (PLACAS DE LOGRADOUROS) </t>
  </si>
  <si>
    <t>TOTAL DA OBRA :</t>
  </si>
  <si>
    <t>RUA A</t>
  </si>
  <si>
    <t>RUA B</t>
  </si>
  <si>
    <t>RUA C</t>
  </si>
  <si>
    <t>CURVA ENTRE A RUA C E A RUA D</t>
  </si>
  <si>
    <t>RUA D</t>
  </si>
  <si>
    <t>2.16</t>
  </si>
  <si>
    <t>LIGAÇÃO INTRADOMICILIAR</t>
  </si>
  <si>
    <t>2.16.1</t>
  </si>
  <si>
    <t>2.16.2</t>
  </si>
  <si>
    <t>2.16.3</t>
  </si>
  <si>
    <t>2.16.4</t>
  </si>
  <si>
    <t>PREFEITURA MUNICIPAL DE ANANINDEUA - PA</t>
  </si>
  <si>
    <t>SECRETARIA MUNICIPAL DE SANEAMENTO E INFRAESTRUTURA - SESAN</t>
  </si>
  <si>
    <t>SESAN - SISTEMA DE ABASTECIMENTO DE ÁGUA TRATADA - ICUÍ - ANANINDEUA/PA</t>
  </si>
  <si>
    <t xml:space="preserve">PARÂMETROS GERAIS DE PROJETO </t>
  </si>
  <si>
    <t>Coeficiente do dia de maior cosumo</t>
  </si>
  <si>
    <t>K1</t>
  </si>
  <si>
    <t>Coeficiente do dia e hora de  maior cosumo</t>
  </si>
  <si>
    <t>K2</t>
  </si>
  <si>
    <t>Cota per capta</t>
  </si>
  <si>
    <t>q</t>
  </si>
  <si>
    <t>lxhab/dia</t>
  </si>
  <si>
    <t>Coeficiente de Hazen Wlliams (FºFº)</t>
  </si>
  <si>
    <t>Coeficiente de Hazen Williams (PVC)</t>
  </si>
  <si>
    <t>Coeficiente de Bresse</t>
  </si>
  <si>
    <t>Tempo de funcionamento do sistema</t>
  </si>
  <si>
    <t>TFS</t>
  </si>
  <si>
    <t>horas</t>
  </si>
  <si>
    <t>Taxa de crecimento populacional</t>
  </si>
  <si>
    <t>TCP</t>
  </si>
  <si>
    <t>Taxa de atendimento populacional</t>
  </si>
  <si>
    <t>TAP</t>
  </si>
  <si>
    <t>População de inicio de plano</t>
  </si>
  <si>
    <t>PI</t>
  </si>
  <si>
    <t>hab</t>
  </si>
  <si>
    <t>Capacidade do reservatório (1/3)</t>
  </si>
  <si>
    <t>CR</t>
  </si>
  <si>
    <t>Ano inicio do plano</t>
  </si>
  <si>
    <t>Alcance do projeto</t>
  </si>
  <si>
    <t>anos</t>
  </si>
  <si>
    <t>Estimativa para Ligações Intradomiciláres a ser confirmada após a conclusão do LENE</t>
  </si>
  <si>
    <t>UNI</t>
  </si>
  <si>
    <t>d</t>
  </si>
  <si>
    <t>SISTEMA DE ABASTECIMENTO DE ÁGUA - BAIRRO ICUI - ANANINDEUA /PA</t>
  </si>
  <si>
    <t>DIMENSIONAMENTO HIDRÁULICO</t>
  </si>
  <si>
    <t>1 - MEMÓRIA DE CÁLCULO DO SISTEMA</t>
  </si>
  <si>
    <t xml:space="preserve">1.1- DIMENSIONAMENTO </t>
  </si>
  <si>
    <t>1.1.1- PROJEÇÃO DA POPULAÇÃO</t>
  </si>
  <si>
    <t>Ano</t>
  </si>
  <si>
    <t>População</t>
  </si>
  <si>
    <t>População de projeto</t>
  </si>
  <si>
    <t>1.1.2 - EVOLUÇÃO DA POPULAÇÃO, DEMANDA E RESERVAÇÃO</t>
  </si>
  <si>
    <t>Pop.Abast. 100% (hab)</t>
  </si>
  <si>
    <t>Q médio                ( l/seg.)</t>
  </si>
  <si>
    <t>Q máximo  diário                 ( l/seg.)</t>
  </si>
  <si>
    <t>Q máximo  horário             ( l/seg.)</t>
  </si>
  <si>
    <t>Reservacão              ( m³ )</t>
  </si>
  <si>
    <t>1.1.3  - CÁLCULO DO CONSUMO DIÁRIO</t>
  </si>
  <si>
    <t>CD=</t>
  </si>
  <si>
    <t>q x P</t>
  </si>
  <si>
    <t>l/dia</t>
  </si>
  <si>
    <t>m³/dia</t>
  </si>
  <si>
    <t xml:space="preserve">1.1.4 - CÁLCULO  DA  VAZÃO  DE  CAPTAÇÃO  PARA </t>
  </si>
  <si>
    <t>DE  FUNCIONAMENTO</t>
  </si>
  <si>
    <t>Q1=</t>
  </si>
  <si>
    <t>K1 x q x p</t>
  </si>
  <si>
    <t>l/horas</t>
  </si>
  <si>
    <t>m³/hora</t>
  </si>
  <si>
    <t>Adotar</t>
  </si>
  <si>
    <t>1.1.5 - CÁLCULO DA VAZÃO DE DISTRIBUIÇÃO</t>
  </si>
  <si>
    <t>Q4=</t>
  </si>
  <si>
    <t>K1 x K2 x q x p</t>
  </si>
  <si>
    <t xml:space="preserve">Q4= </t>
  </si>
  <si>
    <t>l/s</t>
  </si>
  <si>
    <r>
      <t xml:space="preserve">1.1.6 - DIMENSIONAMENTO DA ELEVATÓRIA DE ÁGUA BRUTA (EAB) </t>
    </r>
    <r>
      <rPr>
        <b/>
        <i/>
        <sz val="11"/>
        <color indexed="8"/>
        <rFont val="Calibri"/>
        <family val="2"/>
      </rPr>
      <t>: VAZÃO POR POÇO = 37,50 m³/hora</t>
    </r>
  </si>
  <si>
    <t>BOMBA SUBMERSA DO POÇO</t>
  </si>
  <si>
    <t>P1</t>
  </si>
  <si>
    <t>COTA DO NÍVEL DO TERRENO NO POÇO</t>
  </si>
  <si>
    <t>CTP</t>
  </si>
  <si>
    <t>COTA DO NÍVEL ESTÁTICO</t>
  </si>
  <si>
    <t>CNE</t>
  </si>
  <si>
    <t>COTA DO NÍVEL DINÂMICO</t>
  </si>
  <si>
    <t>CND</t>
  </si>
  <si>
    <t>COTA DE NIVEL DA BOMBA</t>
  </si>
  <si>
    <t>CFP</t>
  </si>
  <si>
    <t>COTA DE TERRENO NA ETA</t>
  </si>
  <si>
    <t>CTA</t>
  </si>
  <si>
    <t>COTA NA ENTRADA DA ETA (AERADOR)</t>
  </si>
  <si>
    <t>CEE</t>
  </si>
  <si>
    <t>ALTURA DA ENTRADA DA ETA</t>
  </si>
  <si>
    <t>HTA</t>
  </si>
  <si>
    <t>1.1.6.1- CÁLCULO DO DIÂMETRO DO EDUTOR (DE)</t>
  </si>
  <si>
    <t>DE=</t>
  </si>
  <si>
    <t xml:space="preserve"> K x         Q1</t>
  </si>
  <si>
    <t>ADOTADO</t>
  </si>
  <si>
    <t>mm</t>
  </si>
  <si>
    <t>1.1.6.2 - VELOCIDADE NO EDUTOR ( VE)</t>
  </si>
  <si>
    <t>VE=</t>
  </si>
  <si>
    <t>Q1 x 4</t>
  </si>
  <si>
    <t>DE² x PI</t>
  </si>
  <si>
    <t>m/s</t>
  </si>
  <si>
    <t>COMPRIMENTO DO EDUTOR  ( L ) =</t>
  </si>
  <si>
    <t xml:space="preserve">1.1.6.3 - CÁLCULO DA PERDA DE CARGA NO EDUTOR </t>
  </si>
  <si>
    <r>
      <t>(D</t>
    </r>
    <r>
      <rPr>
        <i/>
        <sz val="11"/>
        <color indexed="8"/>
        <rFont val="Arial"/>
        <family val="2"/>
      </rPr>
      <t>H1)</t>
    </r>
  </si>
  <si>
    <t>ΔH1 =</t>
  </si>
  <si>
    <t>10,643   x</t>
  </si>
  <si>
    <r>
      <t>Q1</t>
    </r>
    <r>
      <rPr>
        <i/>
        <vertAlign val="superscript"/>
        <sz val="9"/>
        <color indexed="8"/>
        <rFont val="Arial"/>
        <family val="2"/>
      </rPr>
      <t>1,85</t>
    </r>
  </si>
  <si>
    <t>x  L</t>
  </si>
  <si>
    <r>
      <t>C</t>
    </r>
    <r>
      <rPr>
        <i/>
        <vertAlign val="superscript"/>
        <sz val="9"/>
        <color indexed="8"/>
        <rFont val="Arial"/>
        <family val="2"/>
      </rPr>
      <t>1,85</t>
    </r>
    <r>
      <rPr>
        <i/>
        <sz val="9"/>
        <color indexed="8"/>
        <rFont val="Arial"/>
        <family val="2"/>
      </rPr>
      <t xml:space="preserve"> x DE</t>
    </r>
    <r>
      <rPr>
        <i/>
        <vertAlign val="superscript"/>
        <sz val="9"/>
        <color indexed="8"/>
        <rFont val="Arial"/>
        <family val="2"/>
      </rPr>
      <t>4,87</t>
    </r>
  </si>
  <si>
    <t>DH1=</t>
  </si>
  <si>
    <t>m.c.a</t>
  </si>
  <si>
    <t xml:space="preserve">1.1.6.4 - CÁLCULO DA PERDA DE CARGA NO BARRILETE DE RECALQUE </t>
  </si>
  <si>
    <r>
      <t>(D</t>
    </r>
    <r>
      <rPr>
        <i/>
        <sz val="11"/>
        <color indexed="8"/>
        <rFont val="Arial"/>
        <family val="2"/>
      </rPr>
      <t>H2)</t>
    </r>
  </si>
  <si>
    <t>DIÂMETRO DO BARRILETE DE RECALQUE   ( DBR )</t>
  </si>
  <si>
    <t>COMPRIMENTO DO BARRILETE DE RECALQUE ( CBR)</t>
  </si>
  <si>
    <t>1.1.6.5 - VELOCIDADE NO BARRILETE DE RECALQUE ( VBR)</t>
  </si>
  <si>
    <t>VBR=</t>
  </si>
  <si>
    <t>DBR² x PI</t>
  </si>
  <si>
    <t>1.1.6.6 - COMPRIMENTO EQUIVALENTE NO BARRILETE DE RECALQUE DO POÇO (LE1)</t>
  </si>
  <si>
    <t>DESCRIÇÃO DAS PEÇAS</t>
  </si>
  <si>
    <t>DN</t>
  </si>
  <si>
    <t>Nº DE PÇ</t>
  </si>
  <si>
    <t>Nº DE DN</t>
  </si>
  <si>
    <t>LE1</t>
  </si>
  <si>
    <t>AMPLIAÇÃO GRADUAL</t>
  </si>
  <si>
    <t>75x100</t>
  </si>
  <si>
    <t>300x250</t>
  </si>
  <si>
    <t>CURVA 90°</t>
  </si>
  <si>
    <t>CURVA 45°</t>
  </si>
  <si>
    <t>TÊ PASSAGEM DIRETA</t>
  </si>
  <si>
    <t>REGISTRO DE GAVETA</t>
  </si>
  <si>
    <t xml:space="preserve">VÁLVULA DE RETENÇÃO </t>
  </si>
  <si>
    <t>VÁLVULA  BORBOLETA</t>
  </si>
  <si>
    <t>COMPRIMENTO DA TUBULAÇÃO</t>
  </si>
  <si>
    <t>ΔH2 =</t>
  </si>
  <si>
    <t>x  LE1</t>
  </si>
  <si>
    <r>
      <t>C</t>
    </r>
    <r>
      <rPr>
        <i/>
        <vertAlign val="superscript"/>
        <sz val="9"/>
        <color indexed="8"/>
        <rFont val="Arial"/>
        <family val="2"/>
      </rPr>
      <t>1,85</t>
    </r>
    <r>
      <rPr>
        <i/>
        <sz val="9"/>
        <color indexed="8"/>
        <rFont val="Arial"/>
        <family val="2"/>
      </rPr>
      <t xml:space="preserve"> x DBR</t>
    </r>
    <r>
      <rPr>
        <i/>
        <vertAlign val="superscript"/>
        <sz val="9"/>
        <color indexed="8"/>
        <rFont val="Arial"/>
        <family val="2"/>
      </rPr>
      <t>4,87</t>
    </r>
  </si>
  <si>
    <t>DH2=</t>
  </si>
  <si>
    <t>1.1.6.7 - CÁLCULO DA PERDA DE CARGA NA ADUTORA DE ÁGUA BRUTA (AAB)</t>
  </si>
  <si>
    <r>
      <t>(D</t>
    </r>
    <r>
      <rPr>
        <i/>
        <sz val="11"/>
        <color indexed="8"/>
        <rFont val="Arial"/>
        <family val="2"/>
      </rPr>
      <t>H3)</t>
    </r>
  </si>
  <si>
    <t>DIÂMETRO DA ADUTORA DE ÁGUA BRUTA ( DAAB )</t>
  </si>
  <si>
    <t>COMPRIMENTO DA ADUTORA DE ÁGUA BRUTA ( CAB )</t>
  </si>
  <si>
    <t>1.1.6.8 - VELOCIDADE NA ADUTORA DE ÁGUA BRUTA ( VAAB)</t>
  </si>
  <si>
    <t>VAAB=</t>
  </si>
  <si>
    <t>DAAB² x PI</t>
  </si>
  <si>
    <t>1.1.6.9 - COMPRIMENTO EQUIVALENTE NA ADUTORA DE ÁGUA BRUTA (LE2)</t>
  </si>
  <si>
    <t>LE2</t>
  </si>
  <si>
    <t>100x200</t>
  </si>
  <si>
    <t>ΔH3 =</t>
  </si>
  <si>
    <t>x  LE2</t>
  </si>
  <si>
    <r>
      <t>C</t>
    </r>
    <r>
      <rPr>
        <i/>
        <vertAlign val="superscript"/>
        <sz val="9"/>
        <color indexed="8"/>
        <rFont val="Arial"/>
        <family val="2"/>
      </rPr>
      <t>1,85</t>
    </r>
    <r>
      <rPr>
        <i/>
        <sz val="9"/>
        <color indexed="8"/>
        <rFont val="Arial"/>
        <family val="2"/>
      </rPr>
      <t xml:space="preserve"> x DAAB</t>
    </r>
    <r>
      <rPr>
        <i/>
        <vertAlign val="superscript"/>
        <sz val="9"/>
        <color indexed="8"/>
        <rFont val="Arial"/>
        <family val="2"/>
      </rPr>
      <t>4,87</t>
    </r>
  </si>
  <si>
    <t>DH3=</t>
  </si>
  <si>
    <t>não entra</t>
  </si>
  <si>
    <t>1.1.6.10 - CÁLCULO DA ALTURA MANOMÉTRICA TOTAL (HMT)</t>
  </si>
  <si>
    <t>HMT =</t>
  </si>
  <si>
    <t>HG    +</t>
  </si>
  <si>
    <r>
      <t>D</t>
    </r>
    <r>
      <rPr>
        <i/>
        <sz val="10"/>
        <color indexed="8"/>
        <rFont val="Arial"/>
        <family val="2"/>
      </rPr>
      <t>H1    +</t>
    </r>
  </si>
  <si>
    <r>
      <t>D</t>
    </r>
    <r>
      <rPr>
        <i/>
        <sz val="10"/>
        <color indexed="8"/>
        <rFont val="Arial"/>
        <family val="2"/>
      </rPr>
      <t>H2    +</t>
    </r>
  </si>
  <si>
    <r>
      <t>D</t>
    </r>
    <r>
      <rPr>
        <i/>
        <sz val="10"/>
        <color indexed="8"/>
        <rFont val="Arial"/>
        <family val="2"/>
      </rPr>
      <t xml:space="preserve">H3   </t>
    </r>
  </si>
  <si>
    <t>1.1.6.11 - DADOS PARA SELEÇÃO DA CONJUNTO ELEVATÓRIO</t>
  </si>
  <si>
    <t>VAZÃO DE CAPTAÇÃO =</t>
  </si>
  <si>
    <t>m³/horas</t>
  </si>
  <si>
    <t>ALTURA MANOMÉTRICA TOTAL =</t>
  </si>
  <si>
    <t>1.1.6.12 - POTÊNCIA REQUERIDA</t>
  </si>
  <si>
    <t xml:space="preserve">P = </t>
  </si>
  <si>
    <t>Q1 x HMT</t>
  </si>
  <si>
    <t>75 n</t>
  </si>
  <si>
    <t>ONDE:</t>
  </si>
  <si>
    <t>η =</t>
  </si>
  <si>
    <t>(Rendimento da bomba)</t>
  </si>
  <si>
    <t>Q1 =</t>
  </si>
  <si>
    <t>(Vazão de Projeto)</t>
  </si>
  <si>
    <t xml:space="preserve">HMT = </t>
  </si>
  <si>
    <t>(Atura manométrica total)</t>
  </si>
  <si>
    <t>P =</t>
  </si>
  <si>
    <t>HP, adotar P = 20 CV</t>
  </si>
  <si>
    <t>P2</t>
  </si>
  <si>
    <t>COTA NA ENTRADA DA ETA</t>
  </si>
  <si>
    <t>ALTURA DA ENTRADA DA ETA (AERADOR)</t>
  </si>
  <si>
    <t>5.10 - DIMENSIONAMENTO DA ELEVATÓRIA DE ÁGUA TRATADA (EAT)</t>
  </si>
  <si>
    <t>5.10.1 - DIÂMETRO DE RECALQUE</t>
  </si>
  <si>
    <t>VAZÃO DE PROJETO</t>
  </si>
  <si>
    <t>m³/h</t>
  </si>
  <si>
    <t>COEFICIENTE DA FORMA DE BRESSE</t>
  </si>
  <si>
    <t xml:space="preserve">DR= </t>
  </si>
  <si>
    <t>DIÂMETRO DE RECALQUE ADOTADO</t>
  </si>
  <si>
    <t>DR =</t>
  </si>
  <si>
    <t>DIÂMETRO DE SUCÇÃO ADOTADO</t>
  </si>
  <si>
    <t>DS=</t>
  </si>
  <si>
    <t>5.10.2 - VELOCIDADE NO BARRILETE DE RECALQUE</t>
  </si>
  <si>
    <t>V=</t>
  </si>
  <si>
    <t>DR² x PI</t>
  </si>
  <si>
    <t>5.10.3 - VELOCIDADE NO BARRILETE DE SUCÇÃO</t>
  </si>
  <si>
    <t>DS² x PI</t>
  </si>
  <si>
    <t>5.10.4 - CÁLCULO DA PERDA DE CARGA NO BARRILETE DE SUCÇÃO</t>
  </si>
  <si>
    <t>5.10.4.1 - COMPRIMENTO EQUIVALENTE (LE2)</t>
  </si>
  <si>
    <t>Le</t>
  </si>
  <si>
    <t>75x200</t>
  </si>
  <si>
    <t>200x250</t>
  </si>
  <si>
    <t>TUBULAÇÃO</t>
  </si>
  <si>
    <t>ΔHS =</t>
  </si>
  <si>
    <r>
      <t>C</t>
    </r>
    <r>
      <rPr>
        <i/>
        <vertAlign val="superscript"/>
        <sz val="9"/>
        <color indexed="8"/>
        <rFont val="Arial"/>
        <family val="2"/>
      </rPr>
      <t>1,85</t>
    </r>
    <r>
      <rPr>
        <i/>
        <sz val="9"/>
        <color indexed="8"/>
        <rFont val="Arial"/>
        <family val="2"/>
      </rPr>
      <t xml:space="preserve"> x DS</t>
    </r>
    <r>
      <rPr>
        <i/>
        <vertAlign val="superscript"/>
        <sz val="9"/>
        <color indexed="8"/>
        <rFont val="Arial"/>
        <family val="2"/>
      </rPr>
      <t>4,87</t>
    </r>
  </si>
  <si>
    <t>5.10.4.2 - CÁLCULO DA ALTURA MANOMÉTRICA DE SUCÇÃO  (Hms)</t>
  </si>
  <si>
    <t>COTA DO NÍVEL DO TERRENO DO RESERV. APOIADO</t>
  </si>
  <si>
    <t>CTRA</t>
  </si>
  <si>
    <t>COTA NO EIXO DA BOMBA</t>
  </si>
  <si>
    <t>CEB</t>
  </si>
  <si>
    <t>COTA DO NÍVEL MÍNIMO NO RESERVATÓRIO APOIADO</t>
  </si>
  <si>
    <t>CNRAP</t>
  </si>
  <si>
    <t>COTA DO NÍVEL MÁXIMO NO RESERVATÓRIO APOIADO</t>
  </si>
  <si>
    <t>CNMRAP</t>
  </si>
  <si>
    <t>COTA DE ENTRADA NO RESERVATÓRIO ELEVADO</t>
  </si>
  <si>
    <t>CEREL</t>
  </si>
  <si>
    <t>Hg=</t>
  </si>
  <si>
    <t>(DESNÍVEL ENTRE O NÍVEL DA BOMBA E O NÍVEL MÍNIMO DO RESERVATÓRIO APOIADO)</t>
  </si>
  <si>
    <t>Hms=</t>
  </si>
  <si>
    <r>
      <t>D</t>
    </r>
    <r>
      <rPr>
        <i/>
        <sz val="10"/>
        <color indexed="8"/>
        <rFont val="Arial"/>
        <family val="2"/>
      </rPr>
      <t>HS + Hg</t>
    </r>
  </si>
  <si>
    <t>5.10.4.3 - CÁLCULO DA PERDA DE CARGA NO LINHA  DE RECALQUE</t>
  </si>
  <si>
    <t xml:space="preserve">5.10.4.4 - COMPRIMENTO EQUIVALENTE </t>
  </si>
  <si>
    <t>50x150</t>
  </si>
  <si>
    <t>VÁLVULA DE RETENÇÃO</t>
  </si>
  <si>
    <t>ΔHR =</t>
  </si>
  <si>
    <r>
      <t>C</t>
    </r>
    <r>
      <rPr>
        <i/>
        <vertAlign val="superscript"/>
        <sz val="9"/>
        <color indexed="8"/>
        <rFont val="Arial"/>
        <family val="2"/>
      </rPr>
      <t>1,85</t>
    </r>
    <r>
      <rPr>
        <i/>
        <sz val="9"/>
        <color indexed="8"/>
        <rFont val="Arial"/>
        <family val="2"/>
      </rPr>
      <t xml:space="preserve"> x DR</t>
    </r>
    <r>
      <rPr>
        <i/>
        <vertAlign val="superscript"/>
        <sz val="9"/>
        <color indexed="8"/>
        <rFont val="Arial"/>
        <family val="2"/>
      </rPr>
      <t>4,87</t>
    </r>
  </si>
  <si>
    <t>5.10.4.5 - CÁLCULO DA ALTURA MANOMÉTRICA DE RECALQUE  (Hmr)</t>
  </si>
  <si>
    <t>(DESNÍVEL ENTRE O NÍVEL DA BOMBA E O NÍVEL ENTRADA DO RESERVATÓRIO )</t>
  </si>
  <si>
    <t>Hmr=</t>
  </si>
  <si>
    <r>
      <t>D</t>
    </r>
    <r>
      <rPr>
        <i/>
        <sz val="10"/>
        <color indexed="8"/>
        <rFont val="Arial"/>
        <family val="2"/>
      </rPr>
      <t>HR + Hg</t>
    </r>
  </si>
  <si>
    <t>5.10.4.6 - CÁLCULO DA ALTURA MANOMÉTRICA TOTAL  (HmT)</t>
  </si>
  <si>
    <t>Hmt =</t>
  </si>
  <si>
    <t>Hms + Hmr</t>
  </si>
  <si>
    <t>5.10.4.7 - DADOS PARA SELEÇÃO DA CONJUNTO ELEVATÓRIO</t>
  </si>
  <si>
    <t>5.10.4.7 - POTÊNCIA REQUERIAD</t>
  </si>
  <si>
    <t>HP, adotar P = 15 CV</t>
  </si>
  <si>
    <t>5.11 - VOLUME DE RESERVAÇÃO TOTAL (VRT)</t>
  </si>
  <si>
    <t>VRE =</t>
  </si>
  <si>
    <t>P x K1 x q</t>
  </si>
  <si>
    <r>
      <t xml:space="preserve">OBS: SERÁ  ADOTADO </t>
    </r>
    <r>
      <rPr>
        <b/>
        <i/>
        <sz val="11"/>
        <color indexed="8"/>
        <rFont val="Calibri"/>
        <family val="2"/>
      </rPr>
      <t>UM RESERVATORIO  ELEVADO DE 100m³ E UM RESERVATÓRIO APOIADO DE 300m³</t>
    </r>
  </si>
  <si>
    <t>12 M</t>
  </si>
  <si>
    <t>5.2.1</t>
  </si>
  <si>
    <t>5.2.2</t>
  </si>
  <si>
    <t>5.2.3</t>
  </si>
  <si>
    <t>5.2.4</t>
  </si>
  <si>
    <t>5.2.5</t>
  </si>
  <si>
    <t>5.2.6</t>
  </si>
  <si>
    <t>5.2.7</t>
  </si>
  <si>
    <t>5.2.8</t>
  </si>
  <si>
    <t>5.2.9</t>
  </si>
  <si>
    <t>5.2.10</t>
  </si>
  <si>
    <t>5.3.1</t>
  </si>
  <si>
    <t>5.3.2</t>
  </si>
  <si>
    <t>5.3.3</t>
  </si>
  <si>
    <t>5.3.4</t>
  </si>
  <si>
    <t>5.3.5</t>
  </si>
  <si>
    <t>5.3.6</t>
  </si>
  <si>
    <t>5.3.7</t>
  </si>
  <si>
    <t>5.3.8</t>
  </si>
  <si>
    <t>5.3.9</t>
  </si>
  <si>
    <t>5.3.10</t>
  </si>
  <si>
    <t>5.4.1</t>
  </si>
  <si>
    <t>5.4.2</t>
  </si>
  <si>
    <t>5.4.3</t>
  </si>
  <si>
    <t>5.4.4</t>
  </si>
  <si>
    <t>5.4.5</t>
  </si>
  <si>
    <t>5.4.6</t>
  </si>
  <si>
    <t>5.4.7</t>
  </si>
  <si>
    <t>5.4.8</t>
  </si>
  <si>
    <t>5.4.9</t>
  </si>
  <si>
    <t>5.4.10</t>
  </si>
  <si>
    <t>5.5.1</t>
  </si>
  <si>
    <t>5.6.1</t>
  </si>
  <si>
    <t>5.7.1</t>
  </si>
  <si>
    <t>5.7.2</t>
  </si>
  <si>
    <t>5.8.1</t>
  </si>
  <si>
    <t>5.8.2</t>
  </si>
  <si>
    <t>5.9.1</t>
  </si>
  <si>
    <t>5.9.2</t>
  </si>
  <si>
    <t>5.9.3</t>
  </si>
  <si>
    <t>5.9.4</t>
  </si>
  <si>
    <t>5.9.5</t>
  </si>
  <si>
    <t>5.9.6</t>
  </si>
  <si>
    <t>5.9.7</t>
  </si>
  <si>
    <t>5.9.8</t>
  </si>
  <si>
    <t>2.17</t>
  </si>
  <si>
    <t>2.17.1</t>
  </si>
  <si>
    <t>2.17.2</t>
  </si>
  <si>
    <t>2.17.3</t>
  </si>
  <si>
    <t>2.17.4</t>
  </si>
  <si>
    <t>2.17.5</t>
  </si>
  <si>
    <t>2.17.6</t>
  </si>
  <si>
    <t>2.17.7</t>
  </si>
  <si>
    <t>2.17.8</t>
  </si>
  <si>
    <t>2.17.9</t>
  </si>
  <si>
    <t>2.17.10</t>
  </si>
  <si>
    <t>2.17.11</t>
  </si>
  <si>
    <t>2.17.12</t>
  </si>
  <si>
    <t>2.17.13</t>
  </si>
  <si>
    <t>2.17.14</t>
  </si>
  <si>
    <t>2.17.15</t>
  </si>
  <si>
    <t>2.17.16</t>
  </si>
  <si>
    <t>2.17.17</t>
  </si>
  <si>
    <t>2.17.18</t>
  </si>
  <si>
    <t>2.17.19</t>
  </si>
  <si>
    <t>2.17.20</t>
  </si>
  <si>
    <t>2.17.21</t>
  </si>
  <si>
    <t>2.17.22</t>
  </si>
  <si>
    <t>2.17.23</t>
  </si>
  <si>
    <t>2.17.24</t>
  </si>
  <si>
    <t>2.17.25</t>
  </si>
  <si>
    <t>2.17.26</t>
  </si>
  <si>
    <t>2.17.27</t>
  </si>
  <si>
    <t>2.17.28</t>
  </si>
  <si>
    <t>2.17.29</t>
  </si>
  <si>
    <t>2.17.30</t>
  </si>
  <si>
    <t>2.17.31</t>
  </si>
  <si>
    <t>2.17.32</t>
  </si>
  <si>
    <t>2.17.33</t>
  </si>
  <si>
    <t>2.17.34</t>
  </si>
  <si>
    <t>2.17.35</t>
  </si>
  <si>
    <t>2.17.36</t>
  </si>
  <si>
    <t>2.17.37</t>
  </si>
  <si>
    <t>2.17.38</t>
  </si>
  <si>
    <t>2.17.39</t>
  </si>
  <si>
    <t>2.17.40</t>
  </si>
  <si>
    <t>2.18</t>
  </si>
  <si>
    <t>2.18.1</t>
  </si>
  <si>
    <t>2.18.2</t>
  </si>
  <si>
    <t>2.18.3</t>
  </si>
  <si>
    <t>2.18.4</t>
  </si>
  <si>
    <t>2.18.5</t>
  </si>
  <si>
    <t>2.18.6</t>
  </si>
  <si>
    <t>2.18.7</t>
  </si>
  <si>
    <t>2.18.8</t>
  </si>
  <si>
    <t>2.18.9</t>
  </si>
  <si>
    <t>2.18.10</t>
  </si>
  <si>
    <t>2.18.11</t>
  </si>
  <si>
    <t>2.18.12</t>
  </si>
  <si>
    <t>2.18.13</t>
  </si>
  <si>
    <t>2.18.14</t>
  </si>
  <si>
    <t>2.18.15</t>
  </si>
  <si>
    <t>2.18.16</t>
  </si>
  <si>
    <t>2.18.17</t>
  </si>
  <si>
    <t>2.18.18</t>
  </si>
  <si>
    <t>2.18.19</t>
  </si>
  <si>
    <t>2.18.20</t>
  </si>
  <si>
    <t>2.18.21</t>
  </si>
  <si>
    <t>2.18.22</t>
  </si>
  <si>
    <t>2.18.23</t>
  </si>
  <si>
    <t>2.18.24</t>
  </si>
  <si>
    <t>2.18.25</t>
  </si>
  <si>
    <t>2.18.26</t>
  </si>
  <si>
    <t>2.18.27</t>
  </si>
  <si>
    <t>2.18.28</t>
  </si>
  <si>
    <t>2.18.29</t>
  </si>
  <si>
    <t>2.18.30</t>
  </si>
  <si>
    <t>2.18.31</t>
  </si>
  <si>
    <t>2.18.32</t>
  </si>
  <si>
    <t>2.19.1</t>
  </si>
  <si>
    <t>2.19</t>
  </si>
  <si>
    <t>2.19.2</t>
  </si>
  <si>
    <t>2.19.3</t>
  </si>
  <si>
    <t>2.19.4</t>
  </si>
  <si>
    <t>2.19.5</t>
  </si>
  <si>
    <t>2.19.6</t>
  </si>
  <si>
    <t>2.19.7</t>
  </si>
  <si>
    <t>2.19.8</t>
  </si>
  <si>
    <t>2.19.9</t>
  </si>
  <si>
    <t>2.19.10</t>
  </si>
  <si>
    <t>2.19.11</t>
  </si>
  <si>
    <t>2.19.12</t>
  </si>
  <si>
    <t>2.19.13</t>
  </si>
  <si>
    <t>2.19.14</t>
  </si>
  <si>
    <t>2.19.15</t>
  </si>
  <si>
    <t>2.19.16</t>
  </si>
  <si>
    <t>2.19.17</t>
  </si>
  <si>
    <t>2.19.18</t>
  </si>
  <si>
    <t>2.19.19</t>
  </si>
  <si>
    <t>2.19.20</t>
  </si>
  <si>
    <t>2.19.21</t>
  </si>
  <si>
    <t>2.19.22</t>
  </si>
  <si>
    <t>2.19.23</t>
  </si>
  <si>
    <t>2.19.24</t>
  </si>
  <si>
    <t>2.19.25</t>
  </si>
  <si>
    <t>2.20</t>
  </si>
  <si>
    <t>2.20.1</t>
  </si>
  <si>
    <t>2.20.2</t>
  </si>
  <si>
    <t>2.20.3</t>
  </si>
  <si>
    <t>2.20.4</t>
  </si>
  <si>
    <t>2.20.5</t>
  </si>
  <si>
    <t>2.20.6</t>
  </si>
  <si>
    <t>2.20.7</t>
  </si>
  <si>
    <t>2.20.8</t>
  </si>
  <si>
    <t>2.20.9</t>
  </si>
  <si>
    <t>2.20.10</t>
  </si>
  <si>
    <t>2.21</t>
  </si>
  <si>
    <t>2.20.11</t>
  </si>
  <si>
    <t>2.20.12</t>
  </si>
  <si>
    <t>2.20.13</t>
  </si>
  <si>
    <t>2.20.14</t>
  </si>
  <si>
    <t>2.20.15</t>
  </si>
  <si>
    <t>2.20.16</t>
  </si>
  <si>
    <t>2.20.17</t>
  </si>
  <si>
    <t>2.20.18</t>
  </si>
  <si>
    <t>2.20.19</t>
  </si>
  <si>
    <t>2.20.20</t>
  </si>
  <si>
    <t>2.20.21</t>
  </si>
  <si>
    <t>2.20.22</t>
  </si>
  <si>
    <t>2.21.1</t>
  </si>
  <si>
    <t>2.21.2</t>
  </si>
  <si>
    <t>2.21.3</t>
  </si>
  <si>
    <t>2.21.4</t>
  </si>
  <si>
    <t>2.21.5</t>
  </si>
  <si>
    <t>2.21.6</t>
  </si>
  <si>
    <t>2.21.7</t>
  </si>
  <si>
    <t>2.21.8</t>
  </si>
  <si>
    <t>2.21.9</t>
  </si>
  <si>
    <t>2.21.10</t>
  </si>
  <si>
    <t>2.21.11</t>
  </si>
  <si>
    <t>2.21.12</t>
  </si>
  <si>
    <t>2.21.13</t>
  </si>
  <si>
    <t>2.21.14</t>
  </si>
  <si>
    <t>2.21.15</t>
  </si>
  <si>
    <t>2.21.16</t>
  </si>
  <si>
    <t>2.21.17</t>
  </si>
  <si>
    <t>2.21.18</t>
  </si>
  <si>
    <t>2.21.19</t>
  </si>
  <si>
    <t>2.21.20</t>
  </si>
  <si>
    <t>2.21.21</t>
  </si>
  <si>
    <t>2.21.22</t>
  </si>
  <si>
    <t>2.21.23</t>
  </si>
  <si>
    <t>2.21.24</t>
  </si>
  <si>
    <t>2.21.25</t>
  </si>
  <si>
    <t>2.21.26</t>
  </si>
  <si>
    <t>2.21.27</t>
  </si>
  <si>
    <t>2.21.28</t>
  </si>
  <si>
    <t>Execução de escritório em canteiro de obra em chapa de madeira compensada</t>
  </si>
  <si>
    <t>Execução de almoxarifado em canteiro de obra em chapa de madeira compensada,</t>
  </si>
  <si>
    <t>Cerca com mourões de madeira c/ 8 fios de arame farpado</t>
  </si>
  <si>
    <t>Portao em tela rigida e moldura em aco com duas folhas de abrir 2x3,50x1,80</t>
  </si>
  <si>
    <t>Furos de sondagem geotécnica spt, incluindo relatório técnico</t>
  </si>
  <si>
    <t>Captação-poço tubular p1</t>
  </si>
  <si>
    <t>Transporte de equipamento e materiais</t>
  </si>
  <si>
    <t>Perfuração em solo sedimentar  14.3/4”</t>
  </si>
  <si>
    <t>Perfuração em solo sedimentar  17.1/2”</t>
  </si>
  <si>
    <t>Fornecimento e instalação de revestimento pvc geomecânico nervurado, reforçado dn 200</t>
  </si>
  <si>
    <t>Fornecimento e instalação de sapata de apoio geotigre ou similar dn 200</t>
  </si>
  <si>
    <t>Fornecimento e colocação de pré-filtro</t>
  </si>
  <si>
    <t>Desenvolvimento e limpeza do poço com compressor</t>
  </si>
  <si>
    <t>Ensaio de bombeamento com medidas de nível estático e dinâmico</t>
  </si>
  <si>
    <t>Coleta, análise física-química e bacteriológica da água</t>
  </si>
  <si>
    <t>Cimentação de proteção sanitária</t>
  </si>
  <si>
    <t>Emissão de relatório técnico com art (anotação de responsabilidade técnica)</t>
  </si>
  <si>
    <t>Perfilagem geofísica</t>
  </si>
  <si>
    <t>Elevatória de água bruta eab 1 (p1), fornecimento e montagem de equipamentoe, peças, conexões e acessórios</t>
  </si>
  <si>
    <t>Tubo aço cabono com rosca, classe media dn 4" (100mm)-l=3,00</t>
  </si>
  <si>
    <t>Luva de aço cabono com rosca  4"</t>
  </si>
  <si>
    <t>Luva de aço cabono com rosca e flange  4"</t>
  </si>
  <si>
    <t>Válvula de retenção com portinhola duplo em f0f0 dúctil dn 100</t>
  </si>
  <si>
    <t>Ventosa tríplice função pn 10, dn 50</t>
  </si>
  <si>
    <t>Registro de gaveta em f0f0 com flanges. Cunha de borracha tipo euro 23 com volanta dn 100mm</t>
  </si>
  <si>
    <t>Nipel ferro galv rosca 3"</t>
  </si>
  <si>
    <t>Registro de gaveta em f0f0 com flanges. Cunha de borracha tipo euro 23 com volanta dn 50mm</t>
  </si>
  <si>
    <t>Luva de aço galvanizado 4"</t>
  </si>
  <si>
    <t>Tubo aço galv c/ costura din 2440/nbr 5580 classe media dn 4" (100mm)-l = 6,00</t>
  </si>
  <si>
    <t>Montagem de conjunto motor-bomba</t>
  </si>
  <si>
    <t>Montagem especial em ferro galvanizado</t>
  </si>
  <si>
    <t>Interligação eab1 (p1)  a eta - aab 01</t>
  </si>
  <si>
    <t>Serviços preliminares</t>
  </si>
  <si>
    <t>Locação da rede de água</t>
  </si>
  <si>
    <t>Limpeza manual do terreno (c/ raspagem superficial)</t>
  </si>
  <si>
    <t>Movimento de terra</t>
  </si>
  <si>
    <t>Escavação mecânica de vala não escorada em material de 1a categoria</t>
  </si>
  <si>
    <t>Reaterro de valas / cavas, compactada a maço, em camadas de até 30 cm, com aproveitamento do material escavado</t>
  </si>
  <si>
    <t>Reaterro compactado mecanicamente de vala/cava</t>
  </si>
  <si>
    <t>Regularização e apiloamento de fundo de valas</t>
  </si>
  <si>
    <t>Fornecimento e assentamento de tubo  e conexões pvc - def0f0 junta elástica, inclusive anéis de borracha</t>
  </si>
  <si>
    <t>Fornecimento e montagem de peças e conexões de ferro dúctil</t>
  </si>
  <si>
    <t>Extremidade bolsa e flange em f0f0 dúctil dn 100</t>
  </si>
  <si>
    <t>Montagem especial em ferro dúctil</t>
  </si>
  <si>
    <t>Capitação-poço tubular p2</t>
  </si>
  <si>
    <t>Elevatória de água bruta eab 2 (p2), fornecimento e montagem de equipamentoe, peças, conexões e acessórios</t>
  </si>
  <si>
    <t>Interligação eab 2 (p2)  a eta - aab 02</t>
  </si>
  <si>
    <t>Carga, transporte e descarga mecanica dmt  5,00 km</t>
  </si>
  <si>
    <t>Estação de tratamento de água tipo desferrização</t>
  </si>
  <si>
    <t>Base da estação de tratamento</t>
  </si>
  <si>
    <t>Carga, transporte e descarga mecanica dmt  até 30,00 km</t>
  </si>
  <si>
    <t>Fundações/estruturas</t>
  </si>
  <si>
    <t>Concreto estrutural (fck=30 mpa) - preparo em betoneira</t>
  </si>
  <si>
    <t>Fornecimento e colocação de armação p/ concreto ca 50</t>
  </si>
  <si>
    <t>Forma plana em chapa de madeira compensada, e=14mm p/ estrutura</t>
  </si>
  <si>
    <t>Lançamento e adensamento de concreto - altura ou prof. Até 1,50 m</t>
  </si>
  <si>
    <t>Fornecimento e colocação de armação p/ concreto ca 60</t>
  </si>
  <si>
    <t>Desforma altura ou prof. Até 1,50 m</t>
  </si>
  <si>
    <t>Concreto ciclópico c/conc dos rac 10 mpa 30% pedra de mão incl.transp. Horiz. C/carrinhos ate 20m e colocação.</t>
  </si>
  <si>
    <t>Interligação entre eta e rap</t>
  </si>
  <si>
    <t>Interligação entre aerador/filtro</t>
  </si>
  <si>
    <t>Curva  90° com flanges em f0f0 dúctil pn 10, dn 250</t>
  </si>
  <si>
    <t>Tê com flanges em f0f0 dúctil pn 10, dn 250</t>
  </si>
  <si>
    <t>Flange cego em f0f0 dúctil pn 10, dn 250</t>
  </si>
  <si>
    <t>Reservatório apoiado cap. 300m³/eat</t>
  </si>
  <si>
    <t>Escavação manual de vala (solo com água), com profundidade até 1,50 m</t>
  </si>
  <si>
    <t>Escavação manual de vala (solo seco), com profundidade até 1,50 m</t>
  </si>
  <si>
    <t>Espalhamento de material de 1a categoria com trator de esteira</t>
  </si>
  <si>
    <t>Escoramento descontínuo</t>
  </si>
  <si>
    <t>Escoramento contínuo</t>
  </si>
  <si>
    <t>Esgotamento com bombas</t>
  </si>
  <si>
    <t>Carga e transporte de material escavado (dmt&lt;30km)</t>
  </si>
  <si>
    <t>Concreto estrutural (fck=25 mpa) - preparo em betoneira</t>
  </si>
  <si>
    <t>Brita</t>
  </si>
  <si>
    <t>Lançamento e adensamento de concreto  com uso de bomba, - altura sup. A 1,50 m</t>
  </si>
  <si>
    <t>Cimbramento de madeira</t>
  </si>
  <si>
    <t>Desforma altura ou prof. Sup. 1,50 m</t>
  </si>
  <si>
    <t>Concreto simples 15 mpa - prep. Em betoneira</t>
  </si>
  <si>
    <t>Arrasamento de estaca</t>
  </si>
  <si>
    <t>Acessórios/esquadrias</t>
  </si>
  <si>
    <t>Escada de marinheiro</t>
  </si>
  <si>
    <t>Guarda corpo</t>
  </si>
  <si>
    <t>Tampão para visita em fibra</t>
  </si>
  <si>
    <t>Tampão para visita em ferro fundido</t>
  </si>
  <si>
    <t>Porta metálica 0,80x2,10m</t>
  </si>
  <si>
    <t>Porta metálica 2 f 1,00x2,90m</t>
  </si>
  <si>
    <t>Alvenaria</t>
  </si>
  <si>
    <t>Alvenaria de tijolo de barro de 6 furos, esp. 10 cm</t>
  </si>
  <si>
    <t>Revestimento</t>
  </si>
  <si>
    <t>Chapisco rustico traco 1:3 (cimento e areia grossa), espessura 2cm, preparo manual da argamassa</t>
  </si>
  <si>
    <t>Emboço com argamassa no traço 1:6:2</t>
  </si>
  <si>
    <t>Paredes em látex, em alvenaria</t>
  </si>
  <si>
    <t>Pintura a tinta óleo sobre madeira com massa e selador</t>
  </si>
  <si>
    <t>Pintura a tinta óleo sobre ferro</t>
  </si>
  <si>
    <t>Verniz poliuretano s/ concreto</t>
  </si>
  <si>
    <t>Estrutura de madeira de lei para telhas de fibro cimento</t>
  </si>
  <si>
    <t>Cobertura em telhas onduladas de fibro-cimento esp 6mm</t>
  </si>
  <si>
    <t>Impermeabilização de lajes com igolflex e sika 1</t>
  </si>
  <si>
    <t>Impermeabilizacao de reservatório com igol e sika 1</t>
  </si>
  <si>
    <t>Impermeabilização do reservatório, utilizando sika top 107 ou similar, em 3 (três) demãos</t>
  </si>
  <si>
    <t>Fornecimento e montagem de peças e conexões para o reservatório apoiado</t>
  </si>
  <si>
    <t>Bomba de drenagem - uni-500 m/t - 1,0 cv - abs</t>
  </si>
  <si>
    <t>Extremidade bolsa e flange em f0f0 dúctil pn 10, dn 250</t>
  </si>
  <si>
    <t>Extremidade ponta e flange com aba de vedação em f0f0 dúctil pn 10, dn 250</t>
  </si>
  <si>
    <t>Válvula borboleta com flanges e volante em f0f0 dúctil pn 10, dn 250</t>
  </si>
  <si>
    <t>Curva  90° com flanges em f0f0 dúctil pn 10, dn 200</t>
  </si>
  <si>
    <t>Extremidade ponta e flange com aba de vedação em f0f0 dúctil pn 10, dn 200</t>
  </si>
  <si>
    <t>Registro de gaveta com flanges, cunha de borracha e volanta, tipo euro 23 dn 100</t>
  </si>
  <si>
    <t>Extremidade ponta e flange com aba de vedação em f0f0 dúctil pn 10, dn 100</t>
  </si>
  <si>
    <t>Curva  90° com flanges em f0f0 dúctil pn 10, dn 100</t>
  </si>
  <si>
    <t>Fornecimento e montagens de equipamentos, peças, conexões e acessórios para eat.</t>
  </si>
  <si>
    <t>Junta gibault em ferro dúctil dn 200</t>
  </si>
  <si>
    <t>Registro de gaveta com flanges, cunha de borracha e volanta, tipo euro 23 dn 200</t>
  </si>
  <si>
    <t>Registro de gaveta com flanges, cunha de borracha e volanta, tipo euro 23 dn 50</t>
  </si>
  <si>
    <t>Curva  90° com flanges em f0f0 dúctil pn 10, dn 150</t>
  </si>
  <si>
    <t>Registro de gaveta com flanges, cunha de borracha e volanta, tipo euro 23 dn 150</t>
  </si>
  <si>
    <t>Válvula de retenção com flanges e volante em f0f0 dúctil pn 10, dn 150</t>
  </si>
  <si>
    <t>Tê com flanges em f0f0 dúctil pn 10, dn 150</t>
  </si>
  <si>
    <t>Interligação entre eat e rel</t>
  </si>
  <si>
    <t>Fornecimento e montagens de equipamentos, peças, conexões e acessórios para elev. De lavagem</t>
  </si>
  <si>
    <t>Carretel completo em f0f0 dúctil pn 10, dn 200</t>
  </si>
  <si>
    <t>Registro de gaveta com flanges, cunha de borracha e volante, tipo euro 23 dn 200</t>
  </si>
  <si>
    <t>Tê com flanges em f0f0 dúctil pn 10, dn150</t>
  </si>
  <si>
    <t>Conjunto motor bomba, centrifuga de eixo horizontal potência de  10 cv (conforme especificação do fabricante da eta).</t>
  </si>
  <si>
    <t>Interligação entre elev. Lavagem a eta</t>
  </si>
  <si>
    <t>Flange cego  em f0f0 dúctil pn 10, dn 250</t>
  </si>
  <si>
    <t>Reservatório elevado cap. 100m³</t>
  </si>
  <si>
    <t>Locação da obra</t>
  </si>
  <si>
    <t>Fundação / estrutura</t>
  </si>
  <si>
    <t>Estaca pré-moldada em concreto armado 25x25cm compr. 7m, incluso arrasamento</t>
  </si>
  <si>
    <t>Lastro em concreto magro, esp. 5cm</t>
  </si>
  <si>
    <t>Forma curva de madeira</t>
  </si>
  <si>
    <t>Revestimento/pintura e impermeabilização</t>
  </si>
  <si>
    <t>Reboco argamassa traço 1:2 (cal e areia fina peneirada), espessura 0,5 cm, preparo manual da argamassa</t>
  </si>
  <si>
    <t>Impermeabilizacao com asfalto elastomerico em calhas e lajes descobertas, tres demaos</t>
  </si>
  <si>
    <t>Impermeabilizacao com manta asfaltica 4mm</t>
  </si>
  <si>
    <t>Protecao mecanica com argamassa traco 1:3 (cimento e areia), espessura 2 cm</t>
  </si>
  <si>
    <t>Camada de brita p/protecao da laje de cobertura</t>
  </si>
  <si>
    <t>Diversos</t>
  </si>
  <si>
    <t>Tampa de visita 0,80x0,80m, de ferro, incl. Ferragens</t>
  </si>
  <si>
    <t>Escada marinheiro com proteção</t>
  </si>
  <si>
    <t>Caixa para registro 1,20x1,90x2,00m em concreto armado com tampo</t>
  </si>
  <si>
    <t>Fornecimento e instalação de conjunto de régua para medição de nível d'água</t>
  </si>
  <si>
    <t>Limpeza geral</t>
  </si>
  <si>
    <t>Limpeza da obra</t>
  </si>
  <si>
    <t>Fornecimento de conexões e peças de ferro fundido</t>
  </si>
  <si>
    <t>Barrilete de alimentação</t>
  </si>
  <si>
    <t>Válvula borboleta com bóia, ø150mm</t>
  </si>
  <si>
    <t>Barrilete de distribuição</t>
  </si>
  <si>
    <t>Barrilete do extravasor</t>
  </si>
  <si>
    <t>Barrilete de limpeza</t>
  </si>
  <si>
    <t>Ventilação</t>
  </si>
  <si>
    <t>Montagem especial</t>
  </si>
  <si>
    <t>Montagem de conexões e peças de ferro fundido</t>
  </si>
  <si>
    <t>Casa de administração</t>
  </si>
  <si>
    <t>Carga e transporte de material escavado (dmt&lt;30 km)</t>
  </si>
  <si>
    <t>Fundações/estrutura</t>
  </si>
  <si>
    <t>Fornecimento e colocação de armação p/ concreto ca-50</t>
  </si>
  <si>
    <t>Fornecimento e colocação de armação p/ concreto ca-60</t>
  </si>
  <si>
    <t>Esquadria de madeira e=3cm c/ cax. Aduela alizar e ferragens</t>
  </si>
  <si>
    <t>Porta metálica</t>
  </si>
  <si>
    <t>Esquadrias para janela tipo basculante de ferro</t>
  </si>
  <si>
    <t>Assentamento de azul., excl. Estes, incl. Chapisco e emboco, assent. C/nata de cim. Comum e rejunt. C/cim. Branco.</t>
  </si>
  <si>
    <t>Cimentado liso e = 2 cm no traço 1:3</t>
  </si>
  <si>
    <t>Pisos cerâmicos</t>
  </si>
  <si>
    <t>Calçada em piso de concreto com concreto moldado  in loco, usinado, acabamento convencional, não armado. Af_07/2016</t>
  </si>
  <si>
    <t>Cobertura/impermeabilização</t>
  </si>
  <si>
    <t>Cobertura em telhas onduladas de fibro cimento esp 6 mm</t>
  </si>
  <si>
    <t>Pintura</t>
  </si>
  <si>
    <t>Pintura a tinta óleo em superfície de madeira com selador e massa</t>
  </si>
  <si>
    <t>Pintura a tinta a óleo sobre ferro</t>
  </si>
  <si>
    <t>Limpeza final</t>
  </si>
  <si>
    <t>Limpeza final da obra</t>
  </si>
  <si>
    <t>Instalações</t>
  </si>
  <si>
    <t>Tratamento</t>
  </si>
  <si>
    <t>Tanque séptico pré-moldado cap.=10 pessoas</t>
  </si>
  <si>
    <t>Filtro anaeróbico pré-moldado - cap. 10 pessoas</t>
  </si>
  <si>
    <t>Sumidouro pré-moldado cap.=10 pessoas</t>
  </si>
  <si>
    <t>Inst. Hidro-sanitárias, água/esgoto- fornecimento-casa de administração</t>
  </si>
  <si>
    <t>Vaso sanitário inclusive tampa</t>
  </si>
  <si>
    <t>Lavatório em louça</t>
  </si>
  <si>
    <t>Pia inox com uma cuba</t>
  </si>
  <si>
    <t>Tubo pvc je esgoto primário dn 100</t>
  </si>
  <si>
    <t>Tubo pvc je esgoto primário dn 50</t>
  </si>
  <si>
    <t>Conjunto de metais para pia</t>
  </si>
  <si>
    <t>Sifão em pvc para pia</t>
  </si>
  <si>
    <t>Tubo pvc je esgoto secundário dn 40</t>
  </si>
  <si>
    <t>Sifão em pvc para lavatório</t>
  </si>
  <si>
    <t>Joelho pvc red. 90º com bucha de latão ø 25 x 1/2"</t>
  </si>
  <si>
    <t>Redução pvc js dn 50x25</t>
  </si>
  <si>
    <t>Conjunto de metais para lavatório</t>
  </si>
  <si>
    <t>Registro de gaveta ø 2"</t>
  </si>
  <si>
    <t>Registro de pressão cromado ø 3/4"</t>
  </si>
  <si>
    <t>União pvc js dn 25</t>
  </si>
  <si>
    <t>Torneira bóia ø 3/4"</t>
  </si>
  <si>
    <t>Tubo pvc js dn 25</t>
  </si>
  <si>
    <t>Tubo pvc js dn 50</t>
  </si>
  <si>
    <t>Chuveiro inclusive braço ø  1/2"</t>
  </si>
  <si>
    <t>Caixa d'água em fibra de vidro cap 500l</t>
  </si>
  <si>
    <t>União pvc js dn 50</t>
  </si>
  <si>
    <t>Inst. Hidro-sanitárias, água/esgoto- montagem-casa de administração</t>
  </si>
  <si>
    <t>Serviços diversos</t>
  </si>
  <si>
    <t>Bancada para pia em granito</t>
  </si>
  <si>
    <t>Rede de distribuição de água</t>
  </si>
  <si>
    <t>Escavação mecanizada de vala com prof. Até 1,5 m(média entre montante e jusante/uma composição por trecho), com escavadeira hidráulica (0,8m3/111 hp), larg. De 1,5m a 2,5 m, em solo de 1a categoria, locais com baixo nível de interferência. Af_01/2015</t>
  </si>
  <si>
    <t>Carga e transporte de material escavado (dmt&lt;5 km)</t>
  </si>
  <si>
    <t>Fornecimento de tubo pvc pba jei, classe 15, dn 100 mm, para rede de agua (nbr 5647)</t>
  </si>
  <si>
    <t>Fornecimento de tubo pvc pba jei, classe 15, dn 75 mm, para rede de agua (nbr 5647)</t>
  </si>
  <si>
    <t>Fornecimento de tubo pvc pba jei, classe 15, dn 50 mm, para rede de agua (nbr 5647)</t>
  </si>
  <si>
    <t>Assentamento de tubo pvc pba jei, classe 15, dn 100 mm, para rede de agua (nbr 5647)</t>
  </si>
  <si>
    <t>Assentamento de tubo pvc pba jei, classe 15, dn 75 mm, para rede de agua (nbr 5647)</t>
  </si>
  <si>
    <t>Assentamento de tubo pvc pba jei, classe 15, dn 50 mm, para rede de agua (nbr 5647)</t>
  </si>
  <si>
    <t>Fornecimento e montagem de peças e conexões</t>
  </si>
  <si>
    <t>Curva 90° de ferro fundido junta elática com bolsas dn 150</t>
  </si>
  <si>
    <t>Cap pvc pba junta elástica dn 50</t>
  </si>
  <si>
    <t>Tê de ferro fundido junta elástica com bolsas dn 150</t>
  </si>
  <si>
    <t>Curva 90° pvc pba junta elástica com bolsas dn 50</t>
  </si>
  <si>
    <t>Curva 45° pvc pba junta elástica com bolsas dn 50</t>
  </si>
  <si>
    <t>Curva 22°30' pvc pba junta elástica com bolsas dn 50</t>
  </si>
  <si>
    <t>Tê pvc pba junta elástica com bolsas dn 100</t>
  </si>
  <si>
    <t>Curva 11°15' pvc pba junta elástica com bolsas dn 50</t>
  </si>
  <si>
    <t>Registro de gaveta tipo euro 25 com volante dn 150</t>
  </si>
  <si>
    <t>Tê pvc pba junta elástica com bolsas dn 50</t>
  </si>
  <si>
    <t>Cruzeta pvc pba junta elástica com bolsas dn 50</t>
  </si>
  <si>
    <t>Serviços complementares</t>
  </si>
  <si>
    <t>Teste hidrostático</t>
  </si>
  <si>
    <t>Desinfecção da rede</t>
  </si>
  <si>
    <t>Cadastro da rede de distribuição</t>
  </si>
  <si>
    <t>Recomposição de pavimento  asfaltico</t>
  </si>
  <si>
    <t>Ligações domiciliares</t>
  </si>
  <si>
    <t>Fornecimento e assentamento de tubos, peças e conexões hidráulico para execução de ligações enterradas</t>
  </si>
  <si>
    <t>Colar tomada pvc, com travas, saida com rosca, de 32 mm x 3/4", para ligacao predial de agua</t>
  </si>
  <si>
    <t>Caixa em polipropileno virgem com proteção uv, para a instalação do hidrômetro individual no piso (padrão cosanpa)</t>
  </si>
  <si>
    <t>Registro pvc esfera dn 3/4"</t>
  </si>
  <si>
    <t>Tubete com rosca e bucha de latão para hidrômetro 3/4"</t>
  </si>
  <si>
    <t>Porca e contraporca em pvc dn 3/4"</t>
  </si>
  <si>
    <t>Tubo pvc soldável dn 25</t>
  </si>
  <si>
    <t>Tubo pead 80 isso pn 10 dn 25</t>
  </si>
  <si>
    <t>Torneira plástica - dn 3/4''</t>
  </si>
  <si>
    <t>Tê soldável dn 25</t>
  </si>
  <si>
    <t>Joelho pvc soldável dn 25</t>
  </si>
  <si>
    <t>Cap pvc soldável dn 25</t>
  </si>
  <si>
    <t>Parafuso sextavado rosca soberba 5/16"</t>
  </si>
  <si>
    <t>Demolição de piso cimentado</t>
  </si>
  <si>
    <t>Recomposição de piso cimentado</t>
  </si>
  <si>
    <t>Cadastro das ligações domiciliares</t>
  </si>
  <si>
    <t>Urbanização da área do rel/rap e tratamento</t>
  </si>
  <si>
    <t>Estrutura de concreto</t>
  </si>
  <si>
    <t>Concreto usinado bombeado fck=25 mpa, inclusive colocação, espalhamento e acabamento.</t>
  </si>
  <si>
    <t>Vedações e revestimentos</t>
  </si>
  <si>
    <t>Mourao concreto reto tp alambrado 10 x 10cm</t>
  </si>
  <si>
    <t>Portão em ferro com vara de 1/2" , com requadro, inclusivel pintura fundo oxido de ferro/zacao, duas demãos.</t>
  </si>
  <si>
    <t>Portão em tubo de ferro galvanizado com vara de 2.1/2" , com requadro e tela malha de 1" de , inclusivel pintura fundo oxido de ferro/zacao, duas demãos.</t>
  </si>
  <si>
    <t>Piso em bloco sextavado 30x30cm, espessura 8 cm, assentado sobre colchão de areia espessura 6cm</t>
  </si>
  <si>
    <t>Tento concreto moldado no local, usinado 15 mpa, rejunte em argamassa traco 1:3,5 (cimento e areia)</t>
  </si>
  <si>
    <t>Esgotamento da área</t>
  </si>
  <si>
    <t>Assentamento e fornecimento de tubos pvc-vinilfotr esgoto,junta elástica dn 200</t>
  </si>
  <si>
    <t>Assentamento e fornecimento de tubos pvc-vinilfotr esgoto,junta elástica dn 300</t>
  </si>
  <si>
    <t>Assentamento e fornecimento de tubos de concreto armado, classe pa-1, pb, dn 400, para aguas pluviais</t>
  </si>
  <si>
    <t>Assentamento e fornecimento de tubos de concreto armado, classe pa-1, pb, dn 500, para aguas pluviais</t>
  </si>
  <si>
    <t>Execução de boca de lobo em alvenaria, inclusive tampa em concreto</t>
  </si>
  <si>
    <t>Poco de visita para rede de esg. Sanit., em aneis de concreto, diâmetro = 60cm e 110cm, prof = 150cm, incluindo degrau, excluindo tampao ferro fundido</t>
  </si>
  <si>
    <t>Ligação intradomiciliar</t>
  </si>
  <si>
    <t>Tubo, pvc, soldável, dn 25mm, instalado em ramal de distribuição de água - fornecimento e instalação. Af_06/2022</t>
  </si>
  <si>
    <t>Joelho 90 graus, pvc, soldável, dn 25mm, instalado em ramal ou sub-ramal de água - fornecimento e instalação. Af_06/2022</t>
  </si>
  <si>
    <t>Joelho 90 graus com bucha de latão, pvc, soldável, dn 25 mm, x 3/4" instalado em reservação de água de edificação que possua reservatório de fibra/fibrocimento fornecimento e instalação. Af_06/2016</t>
  </si>
  <si>
    <t>Torneira plástica 3/4" para tanque - fornecimento e instalação. Af_01/2020</t>
  </si>
  <si>
    <t>Tubulão de aço calandrado de 16" x 3/16"</t>
  </si>
  <si>
    <t>Fornecimento e instalação de filtro pvc geomecânico nervurado, reforçado dn 200, abertura de 0,75mm</t>
  </si>
  <si>
    <t>Laje de proteção sanitária (concreto simples, 210 kg/m3)</t>
  </si>
  <si>
    <t>Conjunto motor-bomba submersa, para vazão de 37,50 m³/h e   hm =  71,38 m.c.a,</t>
  </si>
  <si>
    <t>Curva de 90° em f0f0 dúctil com flanges dn 100mm</t>
  </si>
  <si>
    <t>Tê com flanges em f0f0 dúctil dn 100mm</t>
  </si>
  <si>
    <t>Curva de 45° em f0f0 dúctil com flanges dn 100mm</t>
  </si>
  <si>
    <t>Tubo de f0f0 dúctil com flange e ponta dn 100 mm - l = 3000mm</t>
  </si>
  <si>
    <t>Curva de 45° em f0f0 dúctil com bolsa junta travada interna dn 100mm</t>
  </si>
  <si>
    <t>Tê redução com flanges em f0f0 dúctil dn 100x50mm</t>
  </si>
  <si>
    <t>Luva de aço galvanizado 3x4"</t>
  </si>
  <si>
    <t>Fornecimento de tubo pvc def0f0 je dn 100 mm</t>
  </si>
  <si>
    <t>Assentamento de tubo pvc def0f0 je dn 100 mm</t>
  </si>
  <si>
    <t>Curva de 45° em f0f0 dúctil com bolsas dn 100mm</t>
  </si>
  <si>
    <t>Curva de 90° em f0f0 dúctil com bolsas dn 100mm</t>
  </si>
  <si>
    <t>Conjunto motor-bomba submersa , para vazão de 37,50 m³/h e   hm = 72,96 m.c.a,</t>
  </si>
  <si>
    <t>Fornecimento e montagem de estação de tratamento de desferrização de água, constituida de filtros de fluxo ascendentecom  e aerador de bandeija  para vazão de 75 m³/h, inclusive material filtrante</t>
  </si>
  <si>
    <t>Tubo com flanges em f0f0 dúctil dn 250mm-l= 3,40m</t>
  </si>
  <si>
    <t>Tubo com flanges em f0f0 dúctil dn 250mm-l=2,50m</t>
  </si>
  <si>
    <t>Estaca pré moldada em concreto armado 25x25 cm, comprimento 7 m</t>
  </si>
  <si>
    <t>Elemento vazado 1/2 tijolo 15 x 15 x 10 cm</t>
  </si>
  <si>
    <t>Alvenaria de tijolo de 6 furos a singelo (19 cm)</t>
  </si>
  <si>
    <t>Tubo com flanges em f0f0 dúctil pn 10, dn 250-l=4,80m</t>
  </si>
  <si>
    <t>Toco com flanges em f0f0 dúctil pn 10, dn 200-l=0,25m</t>
  </si>
  <si>
    <t>Ampliação flange e ponta, aço, pn 10, dn 200x300 l=0,30m</t>
  </si>
  <si>
    <t>Redução excêntrica com flanges pn 10, dn 200x150</t>
  </si>
  <si>
    <t>Tubo com flange e ponta em f0f0 dúctil pn 10, dn 200-l=0,77m</t>
  </si>
  <si>
    <t>Tubo com flanges em f0f0 dúctil pn 10, dn 150-l=1,50m</t>
  </si>
  <si>
    <t>Tê de redução com flanges em f0f0 dúctil pn 10, dn 150x50</t>
  </si>
  <si>
    <t>Redução concêntrica com flanges pn 10, dn 150x75</t>
  </si>
  <si>
    <t>Tubo com flanges em f0f0 dúctil pn 10, dn 150-l=0,86m</t>
  </si>
  <si>
    <t>Toco com flanges em f0f0 dúctil pn 10, dn 150-l=0,25m</t>
  </si>
  <si>
    <t>Conjunto motor bomba, centrifuga de eixo horizontal para vazão de 75 m³/h, hmt = 22,25 m.c.a.</t>
  </si>
  <si>
    <t>Fornecimento de tubo pvc def0f0 je dn 150 mm</t>
  </si>
  <si>
    <t>Assentamento de tubo pvc def0f0 je dn 150 mm</t>
  </si>
  <si>
    <t>Tubo com flange e ponta em f0f0 dúctil pn 10, dn 150-l=5,80m</t>
  </si>
  <si>
    <t>Curva de 90° em f0f0 dúctil com bolsas junta travada interna dn 150mm</t>
  </si>
  <si>
    <t>Ampliação flange e ponta, aço, pn 10, dn 200x250 l=0,30m</t>
  </si>
  <si>
    <t>Toco com flanges em f0f0 dúctil pn 10, dn 200-l=0,30m</t>
  </si>
  <si>
    <t>Redução concêntrica com flanges pn 10, dn 150x100</t>
  </si>
  <si>
    <t>Tubo com flanges em f0f0 dúctil pn 10, dn 150-l=0,60m</t>
  </si>
  <si>
    <t>Redução concêntrica com flanges pn 10, dn 250x150</t>
  </si>
  <si>
    <t>Tubo com flange e ponta em f0f0 dúctil pn 10, dn 250-l=5,80m</t>
  </si>
  <si>
    <t>Tubo com flange e ponta em f0f0 dúctil pn 10, dn 250-l=2,45m</t>
  </si>
  <si>
    <t>Tubo com flanges em fºfº dúctil, ø150mm, l=1000mm</t>
  </si>
  <si>
    <t>Curva 90º com flanges e pé em fºfº dúctil, ø150mm</t>
  </si>
  <si>
    <t>Tubo com flanges em fºfº dúctil, ø150mm, l=2700mm</t>
  </si>
  <si>
    <t>Tubo com flanges em fºfº dúctil, ø150mm, l=5800mm</t>
  </si>
  <si>
    <t>Curva 90º com flanges em fºfº dúctil, ø150mm</t>
  </si>
  <si>
    <t>Toco com flanges e aba de vedação em fºfº dúctil, ø 150mm</t>
  </si>
  <si>
    <t>Tubo flange e ponta em fºfº dúctil, ø200mm , l= 1500mm</t>
  </si>
  <si>
    <t>Tubo com flange em fºfº dúctil, ø200mm , l= 1000mm</t>
  </si>
  <si>
    <t>Curva 90º com flanges e pé em fºfº dúctil, ø200mm</t>
  </si>
  <si>
    <t>Tubo com flange em fºfº dúctil, ø200mm , l= 5300mm</t>
  </si>
  <si>
    <t>Tubo com flange em fºfº dúctil, ø200mm , l= 5800mm</t>
  </si>
  <si>
    <t>Curva 90º com flanges em fºfº dúctil, ø200mm</t>
  </si>
  <si>
    <t>Toco com flanges e aba de vedação em fºfº dúctil, ø 200mm</t>
  </si>
  <si>
    <t>Redução com flanges em fºfº dúctil, ø 200x150</t>
  </si>
  <si>
    <t>Tubo com flanges em fºfº dúctil, ø150mm l=2700mm</t>
  </si>
  <si>
    <t>Tubo com flanges em fºfº dúctil, ø150mm, l=2300mm</t>
  </si>
  <si>
    <t>Tê de redução com flanges em fºfº dúctil, ø 150x100</t>
  </si>
  <si>
    <t>Tubo com flanges em fºfº dúctil, ø150mm, l=2000mm</t>
  </si>
  <si>
    <t>Tubo flange e ponta em fºfº dúctil, ø150mm , l= 5000mm</t>
  </si>
  <si>
    <t>Extrem c/flange eponta  aba de vedação em fºfº dúctil,ø100mm</t>
  </si>
  <si>
    <t>Tubo com flanges em fºfº dúctil, ø100mm, l=5800mm</t>
  </si>
  <si>
    <t>Tubo com flanges em fºfº dúctil, ø100mm, l=2150mm</t>
  </si>
  <si>
    <t>Curva 90º com flanges e pé em fºfº dúctil, ø100mm</t>
  </si>
  <si>
    <t>Extrm c/ flange eponta em fºfº dúctil,ø100mm</t>
  </si>
  <si>
    <t>Curva 90º com flanges em fºfº dúctil, ø100mm</t>
  </si>
  <si>
    <t>Joelho 90º pvc je esgoto primário dn 100</t>
  </si>
  <si>
    <t>Joelho 90º pvc je esgoto primário dn 50</t>
  </si>
  <si>
    <t>Joelho 90º pvc je esgoto secundário dn 40</t>
  </si>
  <si>
    <t>Joelho 45º pvc je esgoto secundário dn 40</t>
  </si>
  <si>
    <t>Caixa sifonada pvc 100x150x50 porta grelha redondo</t>
  </si>
  <si>
    <t>Joelho pvc 90º js ø 25</t>
  </si>
  <si>
    <t>Tê 90º pvc red. C/ bucha de latão ø 25 x 1/2"</t>
  </si>
  <si>
    <t>Tê 90º pvc js ø 25</t>
  </si>
  <si>
    <t>Tê 90º pvc js ø 50 x 25</t>
  </si>
  <si>
    <t>Curva 90º pvc js dn 25</t>
  </si>
  <si>
    <t>Adaptador para caixa d´agua pvc sr ø 25 x 3/4" - flange fixo</t>
  </si>
  <si>
    <t>Curva 90º pvc js dn 50</t>
  </si>
  <si>
    <t>Adaptador para caixa d´agua pvc sr ø 50 x 1 1/2" - flange fixo</t>
  </si>
  <si>
    <t>Adaptador curto pvc sr para registro ø 50 x 1 1/2"</t>
  </si>
  <si>
    <t>Adaptador curto pvc sr para registro ø 25 x 3/4"</t>
  </si>
  <si>
    <t>Tê de ferro fundido junta elástica x pvc pba junta elática com bolsas dn 150x50</t>
  </si>
  <si>
    <t>Cruzeta de ferro fundido junta elástica x pvc pba junta elástica dn 150x50</t>
  </si>
  <si>
    <t>Redução de ferro fundido junta elástica x pvc pba junta elástica dn 150x100</t>
  </si>
  <si>
    <t>Tê de redução pvc pba junta elástica com bolss dn 100x50</t>
  </si>
  <si>
    <t>Redução pvc pba junta elática, ponta e bolsa dn 100x75</t>
  </si>
  <si>
    <t>Tê de redução pvc pba junta elástica com bolss dn 75x50</t>
  </si>
  <si>
    <t>Redução pvc pba junta elática, ponta e bolsa dn 75x50</t>
  </si>
  <si>
    <t>Redução de ferro fundido junta elástica x pvc pba junta elástica dn 150x50</t>
  </si>
  <si>
    <t>Execução e fornecimento de material para construção de caixa para registro de 0,80x0,80x1,00, em alvenaria com tijolis de 6 furos, inclusive tampa em concreto armado fck 20 mpa.</t>
  </si>
  <si>
    <t>Hidrômetro tipo taquimetro mono jato classe b(h)/a(v) qn = 1,50 m3/h</t>
  </si>
  <si>
    <t>Adaptador de compressão com rosca macho em pp dn 25x 3/4"</t>
  </si>
  <si>
    <t>Adaptador de compressão com rosca fêmea em pp dn 25x 3/4"</t>
  </si>
  <si>
    <t>Adaptador solda e rosca 3/4" x dn25</t>
  </si>
  <si>
    <t>Luva solda e rosca dn 25 x 3/4"</t>
  </si>
  <si>
    <t xml:space="preserve"> arame farpado galvanizado 16 bwg, classe 250</t>
  </si>
  <si>
    <t>Caixa de passagem em alvenaria com tampa de concreto 1,00x1,00</t>
  </si>
  <si>
    <t>Carga, manobra e descarga de entulho em caminhão basculante 6 m³ - carga com escavadeira hidráulica (caçamba de 0,80 m³ / 111 hp) e descarga livre (unidade: m3). Af_07/2020</t>
  </si>
  <si>
    <t>Aterro mecanizado de vala com escavadeira hidráulica (capacidade da caçamba: 0,8 m³ / potência: 111 hp), largura até 2,5 m, profundidade até 1,5 m, com solo argilo-arenoso. Af_08/2023</t>
  </si>
  <si>
    <t>Assentamento de guia (meio-fio) em trecho reto, confeccionada em concreto pré-fabricado, dimensões 100x15x13x20 cm (comprimento x base inferior x base superior x altura), para urbanização interna de empreendimentos. Af_06/2016</t>
  </si>
  <si>
    <t>Escavação mecanizada de vala com prof. Até 1,5 m (média montante e jante/uma composição por trecho), retroescav. (0,26 m3), larg. De 0,8 m a 1,5 m, em solo de 1a categoria, em locais com alto nível de interferência. Af_02/2021</t>
  </si>
  <si>
    <t>Carga, manobra e descarga de solos e materiais granulares em caminhão basculante 6 m³ - carga com escavadeira hidráulica (caçamba de 1,20 m³ / 155 hp) e descarga livre (unidade: m3). Af_07/2020</t>
  </si>
  <si>
    <t>Preparo de fundo de vala com largura menor que 1,5 m, com camada de areia, lançamento manual. Af_08/2020</t>
  </si>
  <si>
    <t>Base para poço de visita retangular para drenagem, em alvenaria com blocos de concreto, dimensões internas = 2x2 m, profundidade = 1,40 m, e xcluindo tampão. Af_12/2020_pa</t>
  </si>
  <si>
    <t>Acréscimo para poço de visita retangular para drenagem, em alvenaria com blocos de concreto, dimensões internas = 2x2 m. Af_12/2020</t>
  </si>
  <si>
    <t xml:space="preserve">Cadastro Técnico </t>
  </si>
  <si>
    <t>REGULARIZAÇÃO FUNDIARIA</t>
  </si>
  <si>
    <t>DEMOLIÇÃO MANUAL DE CONCRETO SIMPLES (PARA EXECUÇÃO DE CALÇADA)</t>
  </si>
  <si>
    <t xml:space="preserve">TAMPAO FOFO SIMPLES COM BASE / REQUADRO, CLASSE D400 CARGA MAX. 40 T, REDONDO, TAMPA 900 MM (COM INSCRICAO EM RELEVO DO TIPO DE REDE)                                                                                                                                                                                                                                                                                                                                                                     </t>
  </si>
  <si>
    <t xml:space="preserve">LARGURA (m) CALÇADA A </t>
  </si>
  <si>
    <t xml:space="preserve">LARGURA (m) CALÇADA B </t>
  </si>
  <si>
    <t>PINTURA DE LINHAS CONTIUAS</t>
  </si>
  <si>
    <t>FAIXA DE PEDESTRE</t>
  </si>
  <si>
    <t>PLACA R1</t>
  </si>
  <si>
    <t>PLACA LOGRADOURO</t>
  </si>
  <si>
    <t>5213444</t>
  </si>
  <si>
    <t>Placa de regulamentação em aço, R1 lado 0,248 m - película retrorrefletiva tipo I + SI - fornecimento e implantação</t>
  </si>
  <si>
    <t>ISTEMA DE SANEAMENTO INTEGRADO NO BAIRRO DO ICUÍ: ABASTECIMENTO DE ÁGUA, DRENAGEM URBANA E MANEJO DE ÁGUAS PLUVIAIS E PAVIMENTAÇÃO NO MUNICÍPIO DE ANANINDEUA/ PA</t>
  </si>
  <si>
    <t>DATA DA EMISSÃO:</t>
  </si>
  <si>
    <t>FEVEREIRO/2024</t>
  </si>
  <si>
    <t>BAIRRO: ICUÍ/ÁREA DO PISCINÃO</t>
  </si>
  <si>
    <t>ELABORAÇÃO:</t>
  </si>
  <si>
    <t>REVISÕES:</t>
  </si>
  <si>
    <t>PLANILHA DE DIMENSIONAMENTO DA REDE DE DISTRIBUIÇÃO</t>
  </si>
  <si>
    <t>TRECHOS</t>
  </si>
  <si>
    <t>NÓ MONT.</t>
  </si>
  <si>
    <t>NÓ JUS.</t>
  </si>
  <si>
    <t>VAZÃO DO TRECHO (l/s)</t>
  </si>
  <si>
    <t>DN (mm)</t>
  </si>
  <si>
    <t>VELOCIDADE (m/s)</t>
  </si>
  <si>
    <t>P. CARGA (m/km)</t>
  </si>
  <si>
    <t>P. CARGA TRECHO (m)</t>
  </si>
  <si>
    <t>H. DISP. MONT. (m.c.a)</t>
  </si>
  <si>
    <t>H. DISP. JUS. (m.c.a)</t>
  </si>
  <si>
    <t>COTA TER. MONT. (m)</t>
  </si>
  <si>
    <t>COTA TER. JUS. (m)</t>
  </si>
  <si>
    <t>COTA PIEZ. MONT. (m)</t>
  </si>
  <si>
    <t>COTA PIEZ. JUS. (m)</t>
  </si>
  <si>
    <t>T1</t>
  </si>
  <si>
    <t>N1</t>
  </si>
  <si>
    <t>N2</t>
  </si>
  <si>
    <t>T2</t>
  </si>
  <si>
    <t>N3</t>
  </si>
  <si>
    <t>T3</t>
  </si>
  <si>
    <t>N4</t>
  </si>
  <si>
    <t>T4</t>
  </si>
  <si>
    <t>N5</t>
  </si>
  <si>
    <t>T5</t>
  </si>
  <si>
    <t>N6</t>
  </si>
  <si>
    <t>T6</t>
  </si>
  <si>
    <t>N7</t>
  </si>
  <si>
    <t>T7</t>
  </si>
  <si>
    <t>N8</t>
  </si>
  <si>
    <t>T8</t>
  </si>
  <si>
    <t>N9</t>
  </si>
  <si>
    <t>T9</t>
  </si>
  <si>
    <t>N10</t>
  </si>
  <si>
    <t>T10</t>
  </si>
  <si>
    <t>N11</t>
  </si>
  <si>
    <t>T11</t>
  </si>
  <si>
    <t>N12</t>
  </si>
  <si>
    <t>T12</t>
  </si>
  <si>
    <t>N13</t>
  </si>
  <si>
    <t>T13</t>
  </si>
  <si>
    <t>N14</t>
  </si>
  <si>
    <t>T14</t>
  </si>
  <si>
    <t>N15</t>
  </si>
  <si>
    <t>T15</t>
  </si>
  <si>
    <t>N16</t>
  </si>
  <si>
    <t>T16</t>
  </si>
  <si>
    <t>N17</t>
  </si>
  <si>
    <t>T17</t>
  </si>
  <si>
    <t>N18</t>
  </si>
  <si>
    <t>T18</t>
  </si>
  <si>
    <t>N19</t>
  </si>
  <si>
    <t>T19</t>
  </si>
  <si>
    <t>N20</t>
  </si>
  <si>
    <t>T20</t>
  </si>
  <si>
    <t>N21</t>
  </si>
  <si>
    <t>T21</t>
  </si>
  <si>
    <t>N22</t>
  </si>
  <si>
    <t>T22</t>
  </si>
  <si>
    <t>N23</t>
  </si>
  <si>
    <t>T23</t>
  </si>
  <si>
    <t>N24</t>
  </si>
  <si>
    <t>T24</t>
  </si>
  <si>
    <t>N25</t>
  </si>
  <si>
    <t>T25</t>
  </si>
  <si>
    <t>N26</t>
  </si>
  <si>
    <t>T26</t>
  </si>
  <si>
    <t>N27</t>
  </si>
  <si>
    <t>T27</t>
  </si>
  <si>
    <t>N28</t>
  </si>
  <si>
    <t>T28</t>
  </si>
  <si>
    <t>N29</t>
  </si>
  <si>
    <t>T29</t>
  </si>
  <si>
    <t>N30</t>
  </si>
  <si>
    <t>T30</t>
  </si>
  <si>
    <t>N31</t>
  </si>
  <si>
    <t>T31</t>
  </si>
  <si>
    <t>N32</t>
  </si>
  <si>
    <t>T32</t>
  </si>
  <si>
    <t>N33</t>
  </si>
  <si>
    <t>T33</t>
  </si>
  <si>
    <t>N34</t>
  </si>
  <si>
    <t>T34</t>
  </si>
  <si>
    <t>N35</t>
  </si>
  <si>
    <t>T35</t>
  </si>
  <si>
    <t>N36</t>
  </si>
  <si>
    <t>T36</t>
  </si>
  <si>
    <t>N37</t>
  </si>
  <si>
    <t>T37</t>
  </si>
  <si>
    <t>N38</t>
  </si>
  <si>
    <t>T38</t>
  </si>
  <si>
    <t>N39</t>
  </si>
  <si>
    <t>T39</t>
  </si>
  <si>
    <t>N40</t>
  </si>
  <si>
    <t>T40</t>
  </si>
  <si>
    <t>N41</t>
  </si>
  <si>
    <t>T41</t>
  </si>
  <si>
    <t>N42</t>
  </si>
  <si>
    <t>T42</t>
  </si>
  <si>
    <t>N43</t>
  </si>
  <si>
    <t>T43</t>
  </si>
  <si>
    <t>N44</t>
  </si>
  <si>
    <t>T44</t>
  </si>
  <si>
    <t>N45</t>
  </si>
  <si>
    <t>T45</t>
  </si>
  <si>
    <t>N46</t>
  </si>
  <si>
    <t>T46</t>
  </si>
  <si>
    <t>N47</t>
  </si>
  <si>
    <t>T47</t>
  </si>
  <si>
    <t>N48</t>
  </si>
  <si>
    <t>T48</t>
  </si>
  <si>
    <t>N49</t>
  </si>
  <si>
    <t>T49</t>
  </si>
  <si>
    <t>N50</t>
  </si>
  <si>
    <t>T50</t>
  </si>
  <si>
    <t>N51</t>
  </si>
  <si>
    <t>T51</t>
  </si>
  <si>
    <t>N52</t>
  </si>
  <si>
    <t>T52</t>
  </si>
  <si>
    <t>N53</t>
  </si>
  <si>
    <t>T53</t>
  </si>
  <si>
    <t>N54</t>
  </si>
  <si>
    <t>T54</t>
  </si>
  <si>
    <t>N55</t>
  </si>
  <si>
    <t>T55</t>
  </si>
  <si>
    <t>N56</t>
  </si>
  <si>
    <t>T56</t>
  </si>
  <si>
    <t>N57</t>
  </si>
  <si>
    <t>T57</t>
  </si>
  <si>
    <t>N58</t>
  </si>
  <si>
    <t>T58</t>
  </si>
  <si>
    <t>N59</t>
  </si>
  <si>
    <t>T59</t>
  </si>
  <si>
    <t>N60</t>
  </si>
  <si>
    <t>T60</t>
  </si>
  <si>
    <t>N61</t>
  </si>
  <si>
    <t>T61</t>
  </si>
  <si>
    <t>N62</t>
  </si>
  <si>
    <t>T62</t>
  </si>
  <si>
    <t>N63</t>
  </si>
  <si>
    <t>T63</t>
  </si>
  <si>
    <t>N64</t>
  </si>
  <si>
    <t>T64</t>
  </si>
  <si>
    <t>N65</t>
  </si>
  <si>
    <t>T65</t>
  </si>
  <si>
    <t>T66</t>
  </si>
  <si>
    <t>T67</t>
  </si>
  <si>
    <t>T68</t>
  </si>
  <si>
    <t>T69</t>
  </si>
  <si>
    <t>T70</t>
  </si>
  <si>
    <t>T71</t>
  </si>
  <si>
    <t>N66</t>
  </si>
  <si>
    <t>T72</t>
  </si>
  <si>
    <t>N67</t>
  </si>
  <si>
    <t>CÁLCULO DOS QUANTITATIVOS</t>
  </si>
  <si>
    <t>Diâmetro (m)</t>
  </si>
  <si>
    <t>Largura (m)</t>
  </si>
  <si>
    <t>Prof. (m)</t>
  </si>
  <si>
    <t>Vol. Esc. (m)</t>
  </si>
  <si>
    <t>Vol. Tubo (m)</t>
  </si>
  <si>
    <t>Vol. Reat. (m)</t>
  </si>
  <si>
    <t>Comprimento da tubulação da malha principal DN 50mm</t>
  </si>
  <si>
    <t>Comprimento da tubulação da malha principal DN 75mm</t>
  </si>
  <si>
    <t>Comprimento da tubulação da malha principal DN 100mm</t>
  </si>
  <si>
    <t>Comprimento da tubulação da malha principal DN 150mm</t>
  </si>
  <si>
    <t>Comprimento da tubulação vinilfort DN 200mm</t>
  </si>
  <si>
    <t>Comprimento da tubulação vinilfort DN 300mm</t>
  </si>
  <si>
    <t>Comprimento da tubulação manilha de concreto DN 400mm</t>
  </si>
  <si>
    <t>Comprimento da tubulação manilha de concreto DN 500mm</t>
  </si>
  <si>
    <t>TOTAL DO ITEM 11:</t>
  </si>
  <si>
    <t>Colchão de Areia e= 20 cm</t>
  </si>
  <si>
    <t>Banco em Concreto</t>
  </si>
  <si>
    <t>Plantio de Palmeira com Altura de Muda Menor ou Igual 2 Metros</t>
  </si>
  <si>
    <t>TELHAMENTO COM TELHA CERÂMICA CAPA-CANAL, TIPO COLONIAL, COM ATÉ 2 ÁGUAS, INCLUSO TRANSPORTE VERTICAL. AF_07/2019</t>
  </si>
  <si>
    <t>TRAMA DE MADEIRA COMPOSTA POR RIPAS, CAIBROS E TERÇAS PARA TELHADOS DE MAIS QUE 2 ÁGUAS PARA TELHA DE ENCAIXE DE CERÂMICA OU DE CONCRETO, INCLUSO TRANSPORTE VERTICAL. AF_07/2019</t>
  </si>
  <si>
    <t>Concreto armado FCK=20MPA com forma aparente - 1 reaproveitamento (incl.lançamento e adensamento)</t>
  </si>
  <si>
    <t>FABRICAÇÃO E INSTALAÇÃO DE TESOURA INTEIRA EM MADEIRA NÃO APARELHADA, VÃO DE 7 M, PARA TELHA CERÂMICA OU DE CONCRETO, INCLUSO IÇAMENTO. AF_07/2019</t>
  </si>
  <si>
    <t>um</t>
  </si>
  <si>
    <t xml:space="preserve">URBANIZAÇÃO </t>
  </si>
  <si>
    <t>AREA DE AREIA</t>
  </si>
  <si>
    <t xml:space="preserve">BANCOS </t>
  </si>
  <si>
    <t xml:space="preserve">PALMEIRAS </t>
  </si>
  <si>
    <t>COBERTURA</t>
  </si>
  <si>
    <t>CONCRETO ESTRUTURAL</t>
  </si>
  <si>
    <t xml:space="preserve">TESOURA </t>
  </si>
  <si>
    <t>CUMEEIRA PARA TELHA CERÂMICA EMBOÇADA COM ARGAMASSA TRAÇO 1:2:9 (CIMENTO, CAL E AREIA) PARA TELHADOS COM ATÉ 2 ÁGUAS, INCLUSO TRANSPORTE VERTICAL. AF_07/2019</t>
  </si>
  <si>
    <t>TELHA</t>
  </si>
  <si>
    <t>ESTRUTURA</t>
  </si>
  <si>
    <t>OBS: 0,50 M de ESCAVAÇÃO DE TERRAPLENAGEM EM CADA TUBULAÇÃO</t>
  </si>
  <si>
    <t>URBANIZAÇÃO</t>
  </si>
  <si>
    <t>104658</t>
  </si>
  <si>
    <t>PISO PODOTÁTIL DE ALERTA OU DIRECIONAL, DE CONCRETO, ASSENTADO SOBRE ARGAMASSA. AF_03/2024</t>
  </si>
  <si>
    <t>PISO PODOTATIL</t>
  </si>
  <si>
    <t>EXTENSÃO (m)  CALÇADA</t>
  </si>
  <si>
    <t>D = A x C x (esp 0,10 m)*0,2%</t>
  </si>
  <si>
    <t>CALÇADA A</t>
  </si>
  <si>
    <t>CALÇADA B</t>
  </si>
  <si>
    <t>F = (A * CALÇADA A + A CAÇADA B) - AREA PISO PODOTATIL</t>
  </si>
  <si>
    <t>IX</t>
  </si>
  <si>
    <t>CARROSSEL EM AÇO INOX, CONFORME DET. PROJETO</t>
  </si>
  <si>
    <t/>
  </si>
  <si>
    <t>CUSTO UNIT</t>
  </si>
  <si>
    <t>EMPRESAS FORNECEDORAS:</t>
  </si>
  <si>
    <t>EMPRESAS</t>
  </si>
  <si>
    <t>CNPJ</t>
  </si>
  <si>
    <t>NOME</t>
  </si>
  <si>
    <t>FONE</t>
  </si>
  <si>
    <t>CONTATO</t>
  </si>
  <si>
    <t>E001</t>
  </si>
  <si>
    <t>E002</t>
  </si>
  <si>
    <t>E003</t>
  </si>
  <si>
    <t>E004</t>
  </si>
  <si>
    <t>24.932.695/0001-08</t>
  </si>
  <si>
    <t>SD FÁBRICA E MANUTENÇÃO DE EQUIPAMENTOS</t>
  </si>
  <si>
    <t>(47) 3055-0897 / 99700-8467</t>
  </si>
  <si>
    <t>avelinofagundes@yahoo.com.br</t>
  </si>
  <si>
    <t>E005</t>
  </si>
  <si>
    <t>FLEX FITNESS EQUIPAMENTS</t>
  </si>
  <si>
    <t>(17) 99665-2766</t>
  </si>
  <si>
    <t>E006</t>
  </si>
  <si>
    <t>GOLONI MOBILIÁRIA</t>
  </si>
  <si>
    <t>(17) 3808-9000 / 3808-9008</t>
  </si>
  <si>
    <t>vendas@goloni.ind.br</t>
  </si>
  <si>
    <t>E007</t>
  </si>
  <si>
    <t>E008</t>
  </si>
  <si>
    <t>E009</t>
  </si>
  <si>
    <t>E010</t>
  </si>
  <si>
    <t>E011</t>
  </si>
  <si>
    <t>E012</t>
  </si>
  <si>
    <t>COTAÇÕES:</t>
  </si>
  <si>
    <t>MEDIA</t>
  </si>
  <si>
    <t>ÍNDICE RETROAÇÃO</t>
  </si>
  <si>
    <t>EMPRESA</t>
  </si>
  <si>
    <t>NOME DA EMPRESA</t>
  </si>
  <si>
    <t>COTAÇÕES</t>
  </si>
  <si>
    <t>DATA COTAÇÃO</t>
  </si>
  <si>
    <t>OBSERVAÇÕES:</t>
  </si>
  <si>
    <t>COT-04</t>
  </si>
  <si>
    <t>CARROSSEL EM AÇO INOX</t>
  </si>
  <si>
    <t>CUMEEIRA</t>
  </si>
  <si>
    <t>Planta - Croton, fornecimento e plantio</t>
  </si>
  <si>
    <t>Planta - Agave gigantea (furcraea gigantea) - muda, fornecimento e plantio</t>
  </si>
  <si>
    <t>8376</t>
  </si>
  <si>
    <t>Planta - Flamboyanzinho de jardim (Caesalpinia pulcherrima) h=3,00m,
fornecimento e plantio</t>
  </si>
  <si>
    <t>TUBO, PVC, SOLDÁVEL, DN 20MM, INSTALADO EM RAMAL OU SUB-RAMAL DE ÁGUA - FORNECIMENTO E INSTALAÇÃO. AF_06/2022</t>
  </si>
  <si>
    <t>REGISTRO DE PRESSÃO BRUTO, LATÃO, ROSCÁVEL, 1/2” - FORNECIMENTO E INSTALAÇÃO. AF_08/2021</t>
  </si>
  <si>
    <t>REGISTRO DE GAVETA BRUTO, LATÃO, ROSCÁVEL, 3/4”, COM ACABAMENTO E CANOPLA CROMADOS - FORNECIMENTO E INSTALAÇÃO. AF_08/2021</t>
  </si>
  <si>
    <t>Chuveiro cromado</t>
  </si>
  <si>
    <t>Epoxi sem massa c/ selador</t>
  </si>
  <si>
    <t>PREÇO UNIT. C/ BDI EQUIPAMENTO</t>
  </si>
  <si>
    <t>GUIA (MEIO-FIO) CONCRETO, MOLDADA  IN LOCO  EM TRECHO CURVO COM EXTRUSORA, 13 CM BASE X 22 CM ALTURA. AF_01/2024</t>
  </si>
  <si>
    <t>MEIO FIO</t>
  </si>
  <si>
    <t>TOTAL DO  ITEM 3:</t>
  </si>
  <si>
    <t>11.6</t>
  </si>
  <si>
    <t>11.7</t>
  </si>
  <si>
    <t>11.8</t>
  </si>
  <si>
    <t>11.9</t>
  </si>
  <si>
    <t>11.10</t>
  </si>
  <si>
    <t>11.11</t>
  </si>
  <si>
    <t>11.12</t>
  </si>
  <si>
    <t>11.13</t>
  </si>
  <si>
    <t>11.14</t>
  </si>
  <si>
    <t>11.15</t>
  </si>
  <si>
    <t>11.16</t>
  </si>
  <si>
    <t>11.17</t>
  </si>
  <si>
    <t>11.18</t>
  </si>
  <si>
    <t>SUBESTAÇÃO REBAIXADORA DE 75KVA EM POSTE</t>
  </si>
  <si>
    <t>TOTAL DO ITEM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</si>
</sst>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9">
    <numFmt numFmtId="8" formatCode="&quot;R$&quot;\ #,##0.00;[Red]\-&quot;R$&quot;\ #,##0.00"/>
    <numFmt numFmtId="44" formatCode="_-&quot;R$&quot;\ * #,##0.00_-;\-&quot;R$&quot;\ * #,##0.00_-;_-&quot;R$&quot;\ * &quot;-&quot;??_-;_-@_-"/>
    <numFmt numFmtId="43" formatCode="_-* #,##0.00_-;\-* #,##0.00_-;_-* &quot;-&quot;??_-;_-@_-"/>
    <numFmt numFmtId="164" formatCode="_(&quot;R$ &quot;* #,##0.00_);_(&quot;R$ &quot;* \(#,##0.00\);_(&quot;R$ &quot;* &quot;-&quot;??_);_(@_)"/>
    <numFmt numFmtId="165" formatCode="_(* #,##0.00_);_(* \(#,##0.00\);_(* &quot;-&quot;??_);_(@_)"/>
    <numFmt numFmtId="166" formatCode="0.0000"/>
    <numFmt numFmtId="167" formatCode="_(* #,##0.0000_);_(* \(#,##0.0000\);_(* &quot;-&quot;??_);_(@_)"/>
    <numFmt numFmtId="168" formatCode="#,##0.000"/>
    <numFmt numFmtId="169" formatCode="&quot;R$&quot;\ #,##0.00"/>
    <numFmt numFmtId="170" formatCode="#,##0.000000"/>
    <numFmt numFmtId="171" formatCode="0.000%"/>
    <numFmt numFmtId="172" formatCode="#,##0.0000000"/>
    <numFmt numFmtId="173" formatCode="#,##0.0000"/>
    <numFmt numFmtId="174" formatCode="0.00000"/>
    <numFmt numFmtId="175" formatCode="_(* #,##0.00_);_(* \(#,##0.00\);_(* \-??_);_(@_)"/>
    <numFmt numFmtId="176" formatCode="_(* #,##0.00_);_(* \(#,##0.00\);_(* \ ??_);_(@_)"/>
    <numFmt numFmtId="177" formatCode="dd/mm/yy;@"/>
    <numFmt numFmtId="178" formatCode="#."/>
    <numFmt numFmtId="179" formatCode="#,##0.00000"/>
    <numFmt numFmtId="180" formatCode="0.0000%"/>
    <numFmt numFmtId="181" formatCode="#,##0.00000000"/>
    <numFmt numFmtId="182" formatCode="#,##0.0000000000"/>
    <numFmt numFmtId="183" formatCode="#,##0.000000000"/>
    <numFmt numFmtId="184" formatCode="#,##0.00&quot; &quot;"/>
    <numFmt numFmtId="185" formatCode="#,##0.000&quot; &quot;"/>
    <numFmt numFmtId="186" formatCode="0.0000000"/>
    <numFmt numFmtId="187" formatCode="0."/>
    <numFmt numFmtId="188" formatCode="000"/>
    <numFmt numFmtId="189" formatCode="_(* #,##0.00000_);_(* \(#,##0.00000\);_(* &quot;-&quot;??_);_(@_)"/>
    <numFmt numFmtId="190" formatCode="_-[$R$-416]\ * #,##0.00_-;\-[$R$-416]\ * #,##0.00_-;_-[$R$-416]\ * &quot;-&quot;??_-;_-@_-"/>
    <numFmt numFmtId="191" formatCode="_(* #,##0.000000000_);_(* \(#,##0.000000000\);_(* &quot;-&quot;??_);_(@_)"/>
    <numFmt numFmtId="192" formatCode="_-[$R$-416]\ * #,##0.000000000_-;\-[$R$-416]\ * #,##0.000000000_-;_-[$R$-416]\ * &quot;-&quot;??_-;_-@_-"/>
    <numFmt numFmtId="193" formatCode="_(* #,##0.00000000_);_(* \(#,##0.00000000\);_(* &quot;-&quot;??_);_(@_)"/>
    <numFmt numFmtId="194" formatCode="0.000000000"/>
    <numFmt numFmtId="195" formatCode="_-* #,##0.000000000_-;\-* #,##0.000000000_-;_-* &quot;-&quot;?????????_-;_-@_-"/>
    <numFmt numFmtId="196" formatCode="0.000"/>
    <numFmt numFmtId="197" formatCode="_(\ #,##0.00_);_(\ \(#,##0.00\);_(\ &quot;-&quot;??_);_(@_)"/>
    <numFmt numFmtId="198" formatCode="0.0%"/>
    <numFmt numFmtId="199" formatCode="0.00000000000000"/>
  </numFmts>
  <fonts count="156">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9"/>
      <color indexed="81"/>
      <name val="Segoe UI"/>
      <family val="2"/>
    </font>
    <font>
      <b/>
      <sz val="9"/>
      <color indexed="81"/>
      <name val="Segoe UI"/>
      <family val="2"/>
    </font>
    <font>
      <sz val="11"/>
      <name val="Arial"/>
      <family val="2"/>
    </font>
    <font>
      <sz val="10"/>
      <name val="Swis721 Lt BT"/>
      <family val="2"/>
    </font>
    <font>
      <sz val="9"/>
      <name val="Arial"/>
      <family val="2"/>
      <charset val="1"/>
    </font>
    <font>
      <sz val="11"/>
      <color indexed="8"/>
      <name val="Calibri"/>
      <family val="2"/>
    </font>
    <font>
      <b/>
      <sz val="18"/>
      <name val="Ebrima"/>
    </font>
    <font>
      <sz val="10"/>
      <name val="Ebrima"/>
    </font>
    <font>
      <b/>
      <sz val="14"/>
      <name val="Ebrima"/>
    </font>
    <font>
      <sz val="11"/>
      <name val="Ebrima"/>
    </font>
    <font>
      <sz val="14"/>
      <name val="Ebrima"/>
    </font>
    <font>
      <sz val="14"/>
      <color indexed="8"/>
      <name val="Ebrima"/>
    </font>
    <font>
      <b/>
      <sz val="14"/>
      <color indexed="8"/>
      <name val="Ebrima"/>
    </font>
    <font>
      <b/>
      <sz val="14"/>
      <color indexed="62"/>
      <name val="Ebrima"/>
    </font>
    <font>
      <b/>
      <sz val="16"/>
      <name val="Ebrima"/>
    </font>
    <font>
      <b/>
      <sz val="10"/>
      <name val="Ebrima"/>
    </font>
    <font>
      <b/>
      <sz val="9"/>
      <name val="Ebrima"/>
    </font>
    <font>
      <sz val="9"/>
      <name val="Ebrima"/>
    </font>
    <font>
      <b/>
      <sz val="8"/>
      <name val="Ebrima"/>
    </font>
    <font>
      <sz val="8"/>
      <name val="Ebrima"/>
    </font>
    <font>
      <b/>
      <sz val="11"/>
      <name val="Ebrima"/>
    </font>
    <font>
      <sz val="12"/>
      <name val="Ebrima"/>
    </font>
    <font>
      <b/>
      <sz val="12"/>
      <name val="Ebrima"/>
    </font>
    <font>
      <sz val="16"/>
      <name val="Ebrima"/>
    </font>
    <font>
      <b/>
      <sz val="15"/>
      <name val="Ebrima"/>
    </font>
    <font>
      <b/>
      <sz val="20"/>
      <name val="Ebrima"/>
    </font>
    <font>
      <sz val="20"/>
      <name val="Ebrima"/>
    </font>
    <font>
      <b/>
      <sz val="20"/>
      <color indexed="59"/>
      <name val="Ebrima"/>
    </font>
    <font>
      <b/>
      <sz val="22"/>
      <name val="Ebrima"/>
    </font>
    <font>
      <sz val="22"/>
      <name val="Ebrima"/>
    </font>
    <font>
      <b/>
      <sz val="20"/>
      <color indexed="8"/>
      <name val="Ebrima"/>
    </font>
    <font>
      <sz val="36"/>
      <name val="Ebrima"/>
    </font>
    <font>
      <b/>
      <sz val="36"/>
      <name val="Ebrima"/>
    </font>
    <font>
      <sz val="34"/>
      <name val="Ebrima"/>
    </font>
    <font>
      <b/>
      <sz val="34"/>
      <name val="Ebrima"/>
    </font>
    <font>
      <b/>
      <sz val="10"/>
      <color indexed="8"/>
      <name val="Ebrima"/>
    </font>
    <font>
      <b/>
      <sz val="12"/>
      <color indexed="81"/>
      <name val="Segoe UI"/>
      <family val="2"/>
    </font>
    <font>
      <sz val="12"/>
      <color indexed="81"/>
      <name val="Segoe UI"/>
      <family val="2"/>
    </font>
    <font>
      <sz val="8"/>
      <name val="Arial"/>
      <family val="2"/>
    </font>
    <font>
      <b/>
      <sz val="10"/>
      <color indexed="9"/>
      <name val="Ebrima"/>
    </font>
    <font>
      <sz val="11"/>
      <color theme="1"/>
      <name val="Calibri"/>
      <family val="2"/>
      <scheme val="minor"/>
    </font>
    <font>
      <sz val="10"/>
      <name val="Calibri"/>
      <family val="2"/>
      <scheme val="minor"/>
    </font>
    <font>
      <sz val="10"/>
      <color rgb="FF000000"/>
      <name val="Calibri"/>
      <family val="2"/>
      <scheme val="minor"/>
    </font>
    <font>
      <b/>
      <sz val="10"/>
      <name val="Calibri"/>
      <family val="2"/>
      <scheme val="minor"/>
    </font>
    <font>
      <sz val="10"/>
      <color theme="1"/>
      <name val="Calibri"/>
      <family val="2"/>
      <scheme val="minor"/>
    </font>
    <font>
      <sz val="14"/>
      <color theme="1"/>
      <name val="Ebrima"/>
    </font>
    <font>
      <b/>
      <sz val="14"/>
      <color theme="1"/>
      <name val="Ebrima"/>
    </font>
    <font>
      <b/>
      <sz val="12"/>
      <color theme="1"/>
      <name val="Ebrima"/>
    </font>
    <font>
      <sz val="11"/>
      <color theme="1"/>
      <name val="Ebrima"/>
    </font>
    <font>
      <sz val="10"/>
      <color theme="1"/>
      <name val="Ebrima"/>
    </font>
    <font>
      <b/>
      <sz val="10"/>
      <color theme="1"/>
      <name val="Ebrima"/>
    </font>
    <font>
      <sz val="8"/>
      <color theme="1"/>
      <name val="Ebrima"/>
    </font>
    <font>
      <b/>
      <sz val="8"/>
      <color theme="1"/>
      <name val="Ebrima"/>
    </font>
    <font>
      <sz val="10"/>
      <color rgb="FF000000"/>
      <name val="Ebrima"/>
    </font>
    <font>
      <sz val="9"/>
      <color theme="1"/>
      <name val="Ebrima"/>
    </font>
    <font>
      <b/>
      <sz val="10"/>
      <color rgb="FF000000"/>
      <name val="Ebrima"/>
    </font>
    <font>
      <b/>
      <sz val="8"/>
      <color rgb="FF000000"/>
      <name val="Ebrima"/>
    </font>
    <font>
      <b/>
      <sz val="11"/>
      <color theme="1"/>
      <name val="Ebrima"/>
    </font>
    <font>
      <sz val="9"/>
      <color rgb="FF000000"/>
      <name val="Ebrima"/>
    </font>
    <font>
      <b/>
      <sz val="9"/>
      <color rgb="FF000000"/>
      <name val="Ebrima"/>
    </font>
    <font>
      <b/>
      <sz val="32"/>
      <color indexed="8"/>
      <name val="Calibri"/>
      <family val="2"/>
      <scheme val="minor"/>
    </font>
    <font>
      <b/>
      <sz val="20"/>
      <color theme="0"/>
      <name val="Ebrima"/>
    </font>
    <font>
      <b/>
      <sz val="32"/>
      <name val="Calibri"/>
      <family val="2"/>
      <scheme val="minor"/>
    </font>
    <font>
      <b/>
      <sz val="16"/>
      <color theme="1"/>
      <name val="Ebrima"/>
    </font>
    <font>
      <sz val="16"/>
      <color theme="1"/>
      <name val="Ebrima"/>
    </font>
    <font>
      <b/>
      <sz val="10"/>
      <name val="Arial"/>
      <family val="2"/>
    </font>
    <font>
      <sz val="22"/>
      <color theme="1"/>
      <name val="Calibri"/>
      <family val="2"/>
      <scheme val="minor"/>
    </font>
    <font>
      <b/>
      <sz val="11"/>
      <color theme="1"/>
      <name val="Arial"/>
      <family val="2"/>
    </font>
    <font>
      <sz val="20"/>
      <color rgb="FFFF0000"/>
      <name val="Calibri"/>
      <family val="2"/>
      <scheme val="minor"/>
    </font>
    <font>
      <sz val="11"/>
      <color theme="1"/>
      <name val="Arial"/>
      <family val="2"/>
    </font>
    <font>
      <b/>
      <sz val="11"/>
      <name val="Arial"/>
      <family val="2"/>
    </font>
    <font>
      <b/>
      <sz val="14"/>
      <color rgb="FFFF0000"/>
      <name val="Arial"/>
      <family val="2"/>
    </font>
    <font>
      <b/>
      <sz val="8"/>
      <color rgb="FF002060"/>
      <name val="Tahoma"/>
      <family val="2"/>
    </font>
    <font>
      <b/>
      <sz val="16"/>
      <name val="Arial"/>
      <family val="2"/>
    </font>
    <font>
      <b/>
      <sz val="12"/>
      <name val="Arial"/>
      <family val="2"/>
    </font>
    <font>
      <sz val="12"/>
      <name val="Arial"/>
      <family val="2"/>
    </font>
    <font>
      <b/>
      <sz val="12"/>
      <color theme="1"/>
      <name val="Calibri"/>
      <family val="2"/>
      <scheme val="minor"/>
    </font>
    <font>
      <b/>
      <sz val="14"/>
      <name val="Arial"/>
      <family val="2"/>
    </font>
    <font>
      <sz val="14"/>
      <name val="Arial"/>
      <family val="2"/>
    </font>
    <font>
      <b/>
      <sz val="48"/>
      <name val="Arial"/>
      <family val="2"/>
    </font>
    <font>
      <sz val="12"/>
      <color indexed="8"/>
      <name val="Calibri"/>
      <family val="2"/>
    </font>
    <font>
      <b/>
      <sz val="12"/>
      <color indexed="8"/>
      <name val="Calibri"/>
      <family val="2"/>
    </font>
    <font>
      <sz val="16"/>
      <name val="Arial"/>
      <family val="2"/>
    </font>
    <font>
      <sz val="8"/>
      <color rgb="FF000000"/>
      <name val="Arial Nova"/>
      <family val="2"/>
    </font>
    <font>
      <sz val="10"/>
      <name val="Arial Nova"/>
      <family val="2"/>
    </font>
    <font>
      <sz val="8"/>
      <name val="Arial Nova"/>
      <family val="2"/>
    </font>
    <font>
      <sz val="12"/>
      <name val="Times New Roman"/>
      <family val="1"/>
    </font>
    <font>
      <b/>
      <i/>
      <sz val="10"/>
      <name val="Arial"/>
      <family val="2"/>
    </font>
    <font>
      <b/>
      <sz val="9"/>
      <color rgb="FFFF0000"/>
      <name val="Arial"/>
      <family val="2"/>
    </font>
    <font>
      <sz val="8"/>
      <name val="Arial"/>
      <family val="2"/>
    </font>
    <font>
      <b/>
      <sz val="9"/>
      <name val="Arial"/>
      <family val="2"/>
    </font>
    <font>
      <sz val="9"/>
      <name val="Arial"/>
      <family val="2"/>
    </font>
    <font>
      <b/>
      <sz val="5.5"/>
      <color rgb="FF000000"/>
      <name val="Arial"/>
      <family val="2"/>
    </font>
    <font>
      <b/>
      <sz val="5.5"/>
      <name val="Arial"/>
      <family val="2"/>
    </font>
    <font>
      <sz val="5.5"/>
      <name val="Arial MT"/>
    </font>
    <font>
      <sz val="14"/>
      <color rgb="FF000000"/>
      <name val="Arial MT"/>
      <family val="2"/>
    </font>
    <font>
      <sz val="16"/>
      <color rgb="FF000000"/>
      <name val="Arial MT"/>
      <family val="2"/>
    </font>
    <font>
      <sz val="16"/>
      <name val="Arial MT"/>
    </font>
    <font>
      <sz val="18"/>
      <name val="Arial"/>
      <family val="2"/>
    </font>
    <font>
      <sz val="18"/>
      <color rgb="FF000000"/>
      <name val="Arial MT"/>
      <family val="2"/>
    </font>
    <font>
      <sz val="18"/>
      <color rgb="FF000000"/>
      <name val="Arial"/>
      <family val="2"/>
    </font>
    <font>
      <sz val="20"/>
      <name val="Arial"/>
      <family val="2"/>
    </font>
    <font>
      <sz val="20"/>
      <color theme="1"/>
      <name val="Arial"/>
      <family val="2"/>
    </font>
    <font>
      <sz val="18"/>
      <name val="Arial MT"/>
    </font>
    <font>
      <sz val="18"/>
      <color theme="1"/>
      <name val="Ebrima"/>
    </font>
    <font>
      <sz val="15"/>
      <name val="Ebrima"/>
    </font>
    <font>
      <b/>
      <sz val="20"/>
      <name val="Arial Black"/>
      <family val="2"/>
    </font>
    <font>
      <sz val="18"/>
      <name val="Arial Black"/>
      <family val="2"/>
    </font>
    <font>
      <sz val="18"/>
      <name val="Ebrima"/>
    </font>
    <font>
      <sz val="24"/>
      <name val="Ebrima"/>
    </font>
    <font>
      <b/>
      <sz val="11"/>
      <color theme="1"/>
      <name val="Calibri"/>
      <family val="2"/>
      <scheme val="minor"/>
    </font>
    <font>
      <b/>
      <sz val="11"/>
      <color indexed="8"/>
      <name val="Calibri"/>
      <family val="2"/>
    </font>
    <font>
      <b/>
      <sz val="14"/>
      <color theme="1"/>
      <name val="Arial"/>
      <family val="2"/>
    </font>
    <font>
      <b/>
      <sz val="14"/>
      <color indexed="8"/>
      <name val="Arial"/>
      <family val="2"/>
    </font>
    <font>
      <b/>
      <sz val="12"/>
      <color indexed="8"/>
      <name val="Times New Roman"/>
      <family val="1"/>
    </font>
    <font>
      <b/>
      <sz val="12"/>
      <color indexed="8"/>
      <name val="Arial"/>
      <family val="2"/>
    </font>
    <font>
      <sz val="9"/>
      <color indexed="8"/>
      <name val="Times New Roman"/>
      <family val="1"/>
    </font>
    <font>
      <i/>
      <sz val="11"/>
      <color indexed="8"/>
      <name val="Calibri"/>
      <family val="2"/>
    </font>
    <font>
      <b/>
      <i/>
      <sz val="11"/>
      <color indexed="8"/>
      <name val="Calibri"/>
      <family val="2"/>
    </font>
    <font>
      <i/>
      <sz val="9"/>
      <name val="Arial"/>
      <family val="2"/>
    </font>
    <font>
      <i/>
      <sz val="11"/>
      <name val="Calibri"/>
      <family val="2"/>
    </font>
    <font>
      <b/>
      <i/>
      <sz val="11"/>
      <name val="Calibri"/>
      <family val="2"/>
    </font>
    <font>
      <i/>
      <sz val="10"/>
      <color indexed="8"/>
      <name val="Calibri"/>
      <family val="2"/>
    </font>
    <font>
      <b/>
      <i/>
      <sz val="10"/>
      <color indexed="8"/>
      <name val="Calibri"/>
      <family val="2"/>
    </font>
    <font>
      <i/>
      <sz val="11"/>
      <color indexed="8"/>
      <name val="Symbol"/>
      <family val="1"/>
      <charset val="2"/>
    </font>
    <font>
      <i/>
      <sz val="11"/>
      <color indexed="8"/>
      <name val="Arial"/>
      <family val="2"/>
    </font>
    <font>
      <i/>
      <sz val="9"/>
      <color indexed="8"/>
      <name val="Arial"/>
      <family val="2"/>
    </font>
    <font>
      <i/>
      <vertAlign val="superscript"/>
      <sz val="9"/>
      <color indexed="8"/>
      <name val="Arial"/>
      <family val="2"/>
    </font>
    <font>
      <i/>
      <sz val="9"/>
      <color indexed="8"/>
      <name val="Calibri"/>
      <family val="2"/>
    </font>
    <font>
      <b/>
      <i/>
      <sz val="11"/>
      <color indexed="8"/>
      <name val="Calibri"/>
      <family val="2"/>
      <scheme val="minor"/>
    </font>
    <font>
      <i/>
      <sz val="11"/>
      <color indexed="10"/>
      <name val="Calibri"/>
      <family val="2"/>
    </font>
    <font>
      <i/>
      <sz val="11"/>
      <color indexed="10"/>
      <name val="Symbol"/>
      <family val="1"/>
      <charset val="2"/>
    </font>
    <font>
      <i/>
      <sz val="10"/>
      <color indexed="10"/>
      <name val="Calibri"/>
      <family val="2"/>
    </font>
    <font>
      <i/>
      <sz val="9"/>
      <color indexed="10"/>
      <name val="Arial"/>
      <family val="2"/>
    </font>
    <font>
      <i/>
      <sz val="9"/>
      <color indexed="10"/>
      <name val="Calibri"/>
      <family val="2"/>
    </font>
    <font>
      <i/>
      <sz val="9"/>
      <color indexed="10"/>
      <name val="Symbol"/>
      <family val="1"/>
      <charset val="2"/>
    </font>
    <font>
      <i/>
      <sz val="10"/>
      <color indexed="8"/>
      <name val="Symbol"/>
      <family val="1"/>
      <charset val="2"/>
    </font>
    <font>
      <i/>
      <sz val="10"/>
      <color indexed="8"/>
      <name val="Arial"/>
      <family val="2"/>
    </font>
    <font>
      <b/>
      <i/>
      <sz val="11"/>
      <name val="Calibri"/>
      <family val="2"/>
      <scheme val="minor"/>
    </font>
    <font>
      <i/>
      <sz val="11"/>
      <color indexed="8"/>
      <name val="Times New Roman"/>
      <family val="1"/>
    </font>
    <font>
      <b/>
      <i/>
      <sz val="8"/>
      <color indexed="8"/>
      <name val="Times New Roman"/>
      <family val="1"/>
    </font>
    <font>
      <sz val="26"/>
      <name val="Ebrima"/>
    </font>
    <font>
      <sz val="10"/>
      <color theme="1"/>
      <name val="Arial"/>
      <family val="2"/>
    </font>
    <font>
      <b/>
      <sz val="12"/>
      <color theme="1"/>
      <name val="Arial"/>
      <family val="2"/>
    </font>
    <font>
      <sz val="12"/>
      <color theme="1"/>
      <name val="Calibri"/>
      <family val="2"/>
      <scheme val="minor"/>
    </font>
    <font>
      <sz val="12"/>
      <color rgb="FFFF0000"/>
      <name val="Calibri"/>
      <family val="2"/>
      <scheme val="minor"/>
    </font>
    <font>
      <sz val="8"/>
      <name val="Calibri"/>
      <family val="2"/>
    </font>
    <font>
      <b/>
      <sz val="8"/>
      <name val="Calibri"/>
      <family val="2"/>
    </font>
    <font>
      <b/>
      <sz val="12"/>
      <name val="Calibri"/>
      <family val="2"/>
    </font>
    <font>
      <sz val="18"/>
      <name val="Calibri"/>
      <family val="2"/>
    </font>
  </fonts>
  <fills count="4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indexed="55"/>
        <bgColor indexed="64"/>
      </patternFill>
    </fill>
    <fill>
      <patternFill patternType="solid">
        <fgColor indexed="10"/>
        <bgColor indexed="64"/>
      </patternFill>
    </fill>
    <fill>
      <patternFill patternType="solid">
        <fgColor rgb="FFFFFFFF"/>
        <bgColor rgb="FF000000"/>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rgb="FF000000"/>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FFC000"/>
        <bgColor indexed="64"/>
      </patternFill>
    </fill>
    <fill>
      <patternFill patternType="solid">
        <fgColor rgb="FFFFFF66"/>
        <bgColor indexed="64"/>
      </patternFill>
    </fill>
    <fill>
      <patternFill patternType="solid">
        <fgColor theme="0" tint="-0.249977111117893"/>
        <bgColor indexed="64"/>
      </patternFill>
    </fill>
    <fill>
      <patternFill patternType="solid">
        <fgColor rgb="FFCAE7EE"/>
        <bgColor indexed="64"/>
      </patternFill>
    </fill>
    <fill>
      <patternFill patternType="solid">
        <fgColor rgb="FFCAE7EE"/>
        <bgColor rgb="FF000000"/>
      </patternFill>
    </fill>
    <fill>
      <patternFill patternType="solid">
        <fgColor theme="2"/>
        <bgColor indexed="64"/>
      </patternFill>
    </fill>
    <fill>
      <patternFill patternType="solid">
        <fgColor theme="7" tint="0.79998168889431442"/>
        <bgColor indexed="64"/>
      </patternFill>
    </fill>
    <fill>
      <patternFill patternType="solid">
        <fgColor theme="1" tint="4.9989318521683403E-2"/>
        <bgColor indexed="39"/>
      </patternFill>
    </fill>
    <fill>
      <patternFill patternType="solid">
        <fgColor theme="1" tint="4.9989318521683403E-2"/>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0" tint="-0.34998626667073579"/>
        <bgColor indexed="64"/>
      </patternFill>
    </fill>
    <fill>
      <patternFill patternType="solid">
        <fgColor rgb="FFE4DFEC"/>
        <bgColor indexed="64"/>
      </patternFill>
    </fill>
    <fill>
      <patternFill patternType="solid">
        <fgColor rgb="FFFFFFFF"/>
        <bgColor indexed="64"/>
      </patternFill>
    </fill>
    <fill>
      <patternFill patternType="solid">
        <fgColor theme="8" tint="0.79998168889431442"/>
        <bgColor indexed="64"/>
      </patternFill>
    </fill>
    <fill>
      <patternFill patternType="solid">
        <fgColor theme="1"/>
        <bgColor indexed="64"/>
      </patternFill>
    </fill>
    <fill>
      <patternFill patternType="solid">
        <fgColor theme="2" tint="-9.9978637043366805E-2"/>
        <bgColor indexed="64"/>
      </patternFill>
    </fill>
    <fill>
      <patternFill patternType="solid">
        <fgColor rgb="FFFFFF00"/>
        <bgColor indexed="64"/>
      </patternFill>
    </fill>
    <fill>
      <patternFill patternType="solid">
        <fgColor indexed="11"/>
        <bgColor indexed="64"/>
      </patternFill>
    </fill>
    <fill>
      <patternFill patternType="solid">
        <fgColor indexed="13"/>
        <bgColor indexed="64"/>
      </patternFill>
    </fill>
    <fill>
      <patternFill patternType="solid">
        <fgColor theme="1"/>
        <bgColor indexed="39"/>
      </patternFill>
    </fill>
    <fill>
      <patternFill patternType="solid">
        <fgColor rgb="FFD9D9D9"/>
        <bgColor indexed="64"/>
      </patternFill>
    </fill>
    <fill>
      <patternFill patternType="solid">
        <fgColor rgb="FF92D050"/>
        <bgColor indexed="64"/>
      </patternFill>
    </fill>
    <fill>
      <patternFill patternType="solid">
        <fgColor rgb="FFFFFF99"/>
        <bgColor indexed="64"/>
      </patternFill>
    </fill>
  </fills>
  <borders count="218">
    <border>
      <left/>
      <right/>
      <top/>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medium">
        <color indexed="8"/>
      </left>
      <right/>
      <top style="medium">
        <color indexed="8"/>
      </top>
      <bottom style="medium">
        <color indexed="8"/>
      </bottom>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right/>
      <top/>
      <bottom style="thin">
        <color indexed="8"/>
      </bottom>
      <diagonal/>
    </border>
    <border>
      <left style="thin">
        <color indexed="8"/>
      </left>
      <right style="thin">
        <color indexed="8"/>
      </right>
      <top/>
      <bottom style="thin">
        <color indexed="8"/>
      </bottom>
      <diagonal/>
    </border>
    <border>
      <left/>
      <right/>
      <top style="medium">
        <color indexed="8"/>
      </top>
      <bottom style="medium">
        <color indexed="8"/>
      </bottom>
      <diagonal/>
    </border>
    <border>
      <left style="thin">
        <color indexed="8"/>
      </left>
      <right style="medium">
        <color indexed="64"/>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right/>
      <top style="thin">
        <color indexed="8"/>
      </top>
      <bottom/>
      <diagonal/>
    </border>
    <border>
      <left style="thin">
        <color indexed="8"/>
      </left>
      <right style="medium">
        <color indexed="64"/>
      </right>
      <top/>
      <bottom/>
      <diagonal/>
    </border>
    <border>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double">
        <color indexed="64"/>
      </bottom>
      <diagonal/>
    </border>
    <border>
      <left style="thin">
        <color indexed="64"/>
      </left>
      <right/>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style="medium">
        <color indexed="64"/>
      </right>
      <top style="double">
        <color indexed="64"/>
      </top>
      <bottom/>
      <diagonal/>
    </border>
    <border>
      <left style="thin">
        <color indexed="64"/>
      </left>
      <right/>
      <top style="double">
        <color indexed="64"/>
      </top>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diagonal/>
    </border>
    <border>
      <left style="thin">
        <color indexed="64"/>
      </left>
      <right style="thin">
        <color indexed="64"/>
      </right>
      <top style="double">
        <color indexed="64"/>
      </top>
      <bottom/>
      <diagonal/>
    </border>
    <border>
      <left/>
      <right style="dashDotDot">
        <color indexed="64"/>
      </right>
      <top/>
      <bottom/>
      <diagonal/>
    </border>
    <border>
      <left/>
      <right style="dashDotDot">
        <color indexed="64"/>
      </right>
      <top/>
      <bottom style="medium">
        <color indexed="64"/>
      </bottom>
      <diagonal/>
    </border>
    <border>
      <left style="thin">
        <color indexed="64"/>
      </left>
      <right style="medium">
        <color indexed="64"/>
      </right>
      <top/>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top style="double">
        <color indexed="64"/>
      </top>
      <bottom/>
      <diagonal/>
    </border>
    <border>
      <left/>
      <right style="medium">
        <color indexed="64"/>
      </right>
      <top style="double">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thin">
        <color indexed="64"/>
      </right>
      <top/>
      <bottom style="double">
        <color indexed="64"/>
      </bottom>
      <diagonal/>
    </border>
    <border>
      <left/>
      <right style="thin">
        <color indexed="64"/>
      </right>
      <top style="double">
        <color indexed="64"/>
      </top>
      <bottom/>
      <diagonal/>
    </border>
    <border>
      <left/>
      <right style="thin">
        <color indexed="64"/>
      </right>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ouble">
        <color indexed="64"/>
      </top>
      <bottom style="double">
        <color indexed="64"/>
      </bottom>
      <diagonal/>
    </border>
    <border>
      <left style="thin">
        <color indexed="64"/>
      </left>
      <right/>
      <top/>
      <bottom style="thin">
        <color indexed="8"/>
      </bottom>
      <diagonal/>
    </border>
    <border>
      <left/>
      <right style="medium">
        <color indexed="64"/>
      </right>
      <top/>
      <bottom style="thin">
        <color indexed="8"/>
      </bottom>
      <diagonal/>
    </border>
    <border>
      <left style="thin">
        <color indexed="64"/>
      </left>
      <right/>
      <top style="thin">
        <color indexed="64"/>
      </top>
      <bottom style="thin">
        <color indexed="8"/>
      </bottom>
      <diagonal/>
    </border>
    <border>
      <left/>
      <right style="medium">
        <color indexed="64"/>
      </right>
      <top style="thin">
        <color indexed="64"/>
      </top>
      <bottom style="thin">
        <color indexed="8"/>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hair">
        <color indexed="64"/>
      </bottom>
      <diagonal/>
    </border>
    <border>
      <left/>
      <right/>
      <top/>
      <bottom style="hair">
        <color auto="1"/>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auto="1"/>
      </top>
      <bottom style="hair">
        <color auto="1"/>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top style="hair">
        <color auto="1"/>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rgb="FF000000"/>
      </left>
      <right/>
      <top style="double">
        <color rgb="FF000000"/>
      </top>
      <bottom style="double">
        <color rgb="FF000000"/>
      </bottom>
      <diagonal/>
    </border>
    <border>
      <left/>
      <right/>
      <top style="double">
        <color rgb="FF000000"/>
      </top>
      <bottom style="double">
        <color rgb="FF000000"/>
      </bottom>
      <diagonal/>
    </border>
    <border>
      <left/>
      <right style="medium">
        <color rgb="FF000000"/>
      </right>
      <top style="double">
        <color rgb="FF000000"/>
      </top>
      <bottom style="double">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top style="double">
        <color rgb="FF000000"/>
      </top>
      <bottom style="medium">
        <color rgb="FF000000"/>
      </bottom>
      <diagonal/>
    </border>
    <border>
      <left/>
      <right/>
      <top style="double">
        <color rgb="FF000000"/>
      </top>
      <bottom style="medium">
        <color rgb="FF000000"/>
      </bottom>
      <diagonal/>
    </border>
    <border>
      <left/>
      <right style="medium">
        <color rgb="FF000000"/>
      </right>
      <top style="double">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bottom/>
      <diagonal/>
    </border>
    <border>
      <left style="thin">
        <color indexed="64"/>
      </left>
      <right/>
      <top/>
      <bottom style="double">
        <color theme="5" tint="-0.24994659260841701"/>
      </bottom>
      <diagonal/>
    </border>
    <border>
      <left/>
      <right/>
      <top/>
      <bottom style="double">
        <color theme="5" tint="-0.24994659260841701"/>
      </bottom>
      <diagonal/>
    </border>
    <border>
      <left/>
      <right style="thin">
        <color indexed="64"/>
      </right>
      <top/>
      <bottom style="double">
        <color theme="5" tint="-0.24994659260841701"/>
      </bottom>
      <diagonal/>
    </border>
    <border>
      <left style="thin">
        <color indexed="64"/>
      </left>
      <right style="thick">
        <color indexed="64"/>
      </right>
      <top/>
      <bottom/>
      <diagonal/>
    </border>
    <border>
      <left style="thick">
        <color indexed="64"/>
      </left>
      <right/>
      <top style="double">
        <color theme="5" tint="-0.24994659260841701"/>
      </top>
      <bottom style="double">
        <color theme="5" tint="-0.24994659260841701"/>
      </bottom>
      <diagonal/>
    </border>
    <border>
      <left/>
      <right/>
      <top style="double">
        <color theme="5" tint="-0.24994659260841701"/>
      </top>
      <bottom style="double">
        <color theme="5" tint="-0.24994659260841701"/>
      </bottom>
      <diagonal/>
    </border>
    <border>
      <left/>
      <right style="thick">
        <color indexed="64"/>
      </right>
      <top style="double">
        <color theme="5" tint="-0.24994659260841701"/>
      </top>
      <bottom style="double">
        <color theme="5" tint="-0.24994659260841701"/>
      </bottom>
      <diagonal/>
    </border>
    <border>
      <left style="thick">
        <color indexed="64"/>
      </left>
      <right style="hair">
        <color indexed="64"/>
      </right>
      <top/>
      <bottom style="hair">
        <color indexed="64"/>
      </bottom>
      <diagonal/>
    </border>
    <border>
      <left style="hair">
        <color indexed="64"/>
      </left>
      <right/>
      <top style="double">
        <color theme="5" tint="-0.24994659260841701"/>
      </top>
      <bottom style="hair">
        <color indexed="64"/>
      </bottom>
      <diagonal/>
    </border>
    <border>
      <left/>
      <right/>
      <top style="double">
        <color theme="5" tint="-0.24994659260841701"/>
      </top>
      <bottom style="hair">
        <color indexed="64"/>
      </bottom>
      <diagonal/>
    </border>
    <border>
      <left/>
      <right style="hair">
        <color indexed="64"/>
      </right>
      <top style="double">
        <color theme="5" tint="-0.24994659260841701"/>
      </top>
      <bottom style="hair">
        <color indexed="64"/>
      </bottom>
      <diagonal/>
    </border>
    <border>
      <left style="hair">
        <color indexed="64"/>
      </left>
      <right style="hair">
        <color indexed="64"/>
      </right>
      <top/>
      <bottom style="hair">
        <color indexed="64"/>
      </bottom>
      <diagonal/>
    </border>
    <border>
      <left style="hair">
        <color indexed="64"/>
      </left>
      <right style="thick">
        <color indexed="64"/>
      </right>
      <top/>
      <bottom style="hair">
        <color indexed="64"/>
      </bottom>
      <diagonal/>
    </border>
    <border>
      <left style="thick">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ck">
        <color indexed="64"/>
      </left>
      <right/>
      <top style="hair">
        <color indexed="64"/>
      </top>
      <bottom/>
      <diagonal/>
    </border>
    <border>
      <left/>
      <right style="hair">
        <color indexed="64"/>
      </right>
      <top style="hair">
        <color indexed="64"/>
      </top>
      <bottom/>
      <diagonal/>
    </border>
    <border>
      <left style="hair">
        <color indexed="64"/>
      </left>
      <right style="thick">
        <color indexed="64"/>
      </right>
      <top style="hair">
        <color indexed="64"/>
      </top>
      <bottom/>
      <diagonal/>
    </border>
    <border>
      <left style="hair">
        <color indexed="64"/>
      </left>
      <right style="thick">
        <color indexed="64"/>
      </right>
      <top style="hair">
        <color indexed="64"/>
      </top>
      <bottom style="hair">
        <color indexed="64"/>
      </bottom>
      <diagonal/>
    </border>
    <border>
      <left style="thick">
        <color indexed="64"/>
      </left>
      <right/>
      <top style="hair">
        <color indexed="64"/>
      </top>
      <bottom style="thick">
        <color indexed="64"/>
      </bottom>
      <diagonal/>
    </border>
    <border>
      <left/>
      <right/>
      <top style="hair">
        <color indexed="64"/>
      </top>
      <bottom style="thick">
        <color indexed="64"/>
      </bottom>
      <diagonal/>
    </border>
    <border>
      <left/>
      <right style="hair">
        <color indexed="64"/>
      </right>
      <top style="hair">
        <color indexed="64"/>
      </top>
      <bottom style="thick">
        <color indexed="64"/>
      </bottom>
      <diagonal/>
    </border>
    <border>
      <left style="hair">
        <color indexed="64"/>
      </left>
      <right style="hair">
        <color indexed="64"/>
      </right>
      <top style="hair">
        <color indexed="64"/>
      </top>
      <bottom/>
      <diagonal/>
    </border>
    <border>
      <left style="thick">
        <color indexed="64"/>
      </left>
      <right style="thin">
        <color indexed="64"/>
      </right>
      <top style="double">
        <color theme="5" tint="-0.24994659260841701"/>
      </top>
      <bottom style="thin">
        <color indexed="64"/>
      </bottom>
      <diagonal/>
    </border>
    <border>
      <left style="thin">
        <color indexed="64"/>
      </left>
      <right style="thin">
        <color indexed="64"/>
      </right>
      <top style="double">
        <color theme="5" tint="-0.24994659260841701"/>
      </top>
      <bottom style="thin">
        <color indexed="64"/>
      </bottom>
      <diagonal/>
    </border>
    <border>
      <left style="thin">
        <color indexed="64"/>
      </left>
      <right style="thick">
        <color indexed="64"/>
      </right>
      <top style="double">
        <color theme="5" tint="-0.24994659260841701"/>
      </top>
      <bottom style="thin">
        <color indexed="64"/>
      </bottom>
      <diagonal/>
    </border>
    <border>
      <left style="thick">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ck">
        <color indexed="64"/>
      </right>
      <top style="thin">
        <color indexed="64"/>
      </top>
      <bottom style="hair">
        <color indexed="64"/>
      </bottom>
      <diagonal/>
    </border>
    <border>
      <left style="thick">
        <color indexed="64"/>
      </left>
      <right/>
      <top/>
      <bottom style="double">
        <color theme="5" tint="-0.24994659260841701"/>
      </bottom>
      <diagonal/>
    </border>
    <border>
      <left/>
      <right style="hair">
        <color indexed="64"/>
      </right>
      <top/>
      <bottom style="double">
        <color theme="5" tint="-0.24994659260841701"/>
      </bottom>
      <diagonal/>
    </border>
    <border>
      <left style="hair">
        <color indexed="64"/>
      </left>
      <right style="hair">
        <color indexed="64"/>
      </right>
      <top/>
      <bottom/>
      <diagonal/>
    </border>
    <border>
      <left style="hair">
        <color indexed="64"/>
      </left>
      <right style="thick">
        <color indexed="64"/>
      </right>
      <top/>
      <bottom/>
      <diagonal/>
    </border>
    <border>
      <left style="thick">
        <color indexed="64"/>
      </left>
      <right/>
      <top style="thick">
        <color indexed="64"/>
      </top>
      <bottom style="hair">
        <color indexed="64"/>
      </bottom>
      <diagonal/>
    </border>
    <border>
      <left/>
      <right/>
      <top style="thick">
        <color indexed="64"/>
      </top>
      <bottom style="hair">
        <color indexed="64"/>
      </bottom>
      <diagonal/>
    </border>
    <border>
      <left/>
      <right style="hair">
        <color indexed="64"/>
      </right>
      <top style="thick">
        <color indexed="64"/>
      </top>
      <bottom style="hair">
        <color indexed="64"/>
      </bottom>
      <diagonal/>
    </border>
    <border>
      <left style="hair">
        <color indexed="64"/>
      </left>
      <right style="thick">
        <color indexed="64"/>
      </right>
      <top style="thick">
        <color indexed="64"/>
      </top>
      <bottom style="hair">
        <color indexed="64"/>
      </bottom>
      <diagonal/>
    </border>
    <border>
      <left style="thick">
        <color indexed="64"/>
      </left>
      <right/>
      <top style="hair">
        <color indexed="64"/>
      </top>
      <bottom style="hair">
        <color indexed="64"/>
      </bottom>
      <diagonal/>
    </border>
    <border>
      <left style="hair">
        <color indexed="64"/>
      </left>
      <right style="thick">
        <color indexed="64"/>
      </right>
      <top style="hair">
        <color indexed="64"/>
      </top>
      <bottom style="thick">
        <color indexed="64"/>
      </bottom>
      <diagonal/>
    </border>
    <border>
      <left/>
      <right style="thin">
        <color indexed="64"/>
      </right>
      <top style="double">
        <color indexed="64"/>
      </top>
      <bottom style="double">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top/>
      <bottom style="hair">
        <color indexed="64"/>
      </bottom>
      <diagonal/>
    </border>
    <border>
      <left/>
      <right style="hair">
        <color indexed="64"/>
      </right>
      <top/>
      <bottom style="hair">
        <color indexed="64"/>
      </bottom>
      <diagonal/>
    </border>
  </borders>
  <cellStyleXfs count="42">
    <xf numFmtId="0" fontId="0" fillId="0" borderId="0"/>
    <xf numFmtId="164" fontId="4" fillId="0" borderId="0" applyFont="0" applyFill="0" applyBorder="0" applyAlignment="0" applyProtection="0"/>
    <xf numFmtId="0" fontId="5" fillId="0" borderId="0"/>
    <xf numFmtId="0" fontId="5" fillId="0" borderId="0"/>
    <xf numFmtId="0" fontId="46" fillId="0" borderId="0"/>
    <xf numFmtId="0" fontId="5" fillId="0" borderId="0"/>
    <xf numFmtId="0" fontId="5" fillId="0" borderId="0"/>
    <xf numFmtId="0" fontId="46" fillId="0" borderId="0"/>
    <xf numFmtId="0" fontId="8" fillId="0" borderId="0"/>
    <xf numFmtId="0" fontId="5" fillId="0" borderId="0"/>
    <xf numFmtId="0" fontId="9" fillId="0" borderId="0"/>
    <xf numFmtId="0" fontId="5" fillId="0" borderId="0"/>
    <xf numFmtId="0" fontId="9" fillId="0" borderId="0"/>
    <xf numFmtId="0" fontId="5" fillId="0" borderId="0"/>
    <xf numFmtId="0" fontId="9" fillId="0" borderId="0"/>
    <xf numFmtId="0" fontId="10" fillId="0" borderId="0"/>
    <xf numFmtId="9" fontId="4" fillId="0" borderId="0" applyFont="0" applyFill="0" applyBorder="0" applyAlignment="0" applyProtection="0"/>
    <xf numFmtId="9" fontId="46" fillId="0" borderId="0" applyFont="0" applyFill="0" applyBorder="0" applyAlignment="0" applyProtection="0"/>
    <xf numFmtId="9"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8" fontId="5" fillId="0" borderId="0" applyFont="0" applyFill="0" applyBorder="0" applyAlignment="0" applyProtection="0"/>
    <xf numFmtId="43" fontId="5" fillId="0" borderId="0" applyFont="0" applyFill="0" applyBorder="0" applyAlignment="0" applyProtection="0"/>
    <xf numFmtId="165" fontId="46" fillId="0" borderId="0" applyFont="0" applyFill="0" applyBorder="0" applyAlignment="0" applyProtection="0"/>
    <xf numFmtId="165" fontId="9" fillId="0" borderId="0" applyFont="0" applyFill="0" applyBorder="0" applyAlignment="0" applyProtection="0"/>
    <xf numFmtId="175" fontId="5" fillId="0" borderId="0" applyFill="0" applyBorder="0" applyAlignment="0" applyProtection="0"/>
    <xf numFmtId="165" fontId="4"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11" fillId="0" borderId="0" applyFont="0" applyFill="0" applyBorder="0" applyAlignment="0" applyProtection="0"/>
    <xf numFmtId="165" fontId="5" fillId="0" borderId="0" applyFont="0" applyFill="0" applyBorder="0" applyAlignment="0" applyProtection="0"/>
    <xf numFmtId="43" fontId="11" fillId="0" borderId="0" applyFont="0" applyFill="0" applyBorder="0" applyAlignment="0" applyProtection="0"/>
    <xf numFmtId="175" fontId="4" fillId="0" borderId="0" applyFill="0" applyBorder="0" applyAlignment="0" applyProtection="0"/>
    <xf numFmtId="0" fontId="4" fillId="0" borderId="0"/>
    <xf numFmtId="0" fontId="3" fillId="0" borderId="0"/>
    <xf numFmtId="0" fontId="3" fillId="0" borderId="0"/>
    <xf numFmtId="0" fontId="92" fillId="0" borderId="0"/>
    <xf numFmtId="9" fontId="3" fillId="0" borderId="0" applyFont="0" applyFill="0" applyBorder="0" applyAlignment="0" applyProtection="0"/>
    <xf numFmtId="0" fontId="4" fillId="0" borderId="0"/>
    <xf numFmtId="165" fontId="4" fillId="0" borderId="0" applyFont="0" applyFill="0" applyBorder="0" applyAlignment="0" applyProtection="0"/>
    <xf numFmtId="0" fontId="2" fillId="0" borderId="0"/>
  </cellStyleXfs>
  <cellXfs count="2292">
    <xf numFmtId="0" fontId="0" fillId="0" borderId="0" xfId="0"/>
    <xf numFmtId="0" fontId="47" fillId="0" borderId="0" xfId="0" applyFont="1" applyAlignment="1">
      <alignment vertical="center"/>
    </xf>
    <xf numFmtId="0" fontId="47" fillId="0" borderId="0" xfId="6" applyFont="1" applyAlignment="1">
      <alignment vertical="center"/>
    </xf>
    <xf numFmtId="0" fontId="48" fillId="7" borderId="0" xfId="0" applyFont="1" applyFill="1" applyAlignment="1">
      <alignment vertical="center"/>
    </xf>
    <xf numFmtId="0" fontId="47" fillId="0" borderId="1" xfId="0" applyFont="1" applyBorder="1" applyAlignment="1">
      <alignment horizontal="center" vertical="center"/>
    </xf>
    <xf numFmtId="4" fontId="47" fillId="0" borderId="1" xfId="0" applyNumberFormat="1" applyFont="1" applyBorder="1" applyAlignment="1">
      <alignment horizontal="right" vertical="center"/>
    </xf>
    <xf numFmtId="0" fontId="47" fillId="0" borderId="2" xfId="0" applyFont="1" applyBorder="1" applyAlignment="1">
      <alignment vertical="center"/>
    </xf>
    <xf numFmtId="4" fontId="47" fillId="0" borderId="3" xfId="0" applyNumberFormat="1" applyFont="1" applyBorder="1" applyAlignment="1">
      <alignment horizontal="right" vertical="center"/>
    </xf>
    <xf numFmtId="0" fontId="47" fillId="0" borderId="2" xfId="0" applyFont="1" applyBorder="1" applyAlignment="1">
      <alignment horizontal="center" vertical="center"/>
    </xf>
    <xf numFmtId="0" fontId="49" fillId="8" borderId="4" xfId="0" applyFont="1" applyFill="1" applyBorder="1" applyAlignment="1">
      <alignment vertical="center"/>
    </xf>
    <xf numFmtId="0" fontId="49" fillId="8" borderId="5" xfId="0" applyFont="1" applyFill="1" applyBorder="1" applyAlignment="1">
      <alignment vertical="center"/>
    </xf>
    <xf numFmtId="0" fontId="49" fillId="8" borderId="6" xfId="0" applyFont="1" applyFill="1" applyBorder="1" applyAlignment="1">
      <alignment vertical="center"/>
    </xf>
    <xf numFmtId="4" fontId="49" fillId="8" borderId="7" xfId="0" applyNumberFormat="1" applyFont="1" applyFill="1" applyBorder="1" applyAlignment="1">
      <alignment vertical="center"/>
    </xf>
    <xf numFmtId="0" fontId="47" fillId="0" borderId="8" xfId="0" applyFont="1" applyBorder="1" applyAlignment="1">
      <alignment vertical="center"/>
    </xf>
    <xf numFmtId="0" fontId="47" fillId="0" borderId="9" xfId="0" applyFont="1" applyBorder="1" applyAlignment="1">
      <alignment horizontal="center" vertical="center"/>
    </xf>
    <xf numFmtId="0" fontId="49" fillId="8" borderId="10" xfId="0" applyFont="1" applyFill="1" applyBorder="1" applyAlignment="1">
      <alignment vertical="center"/>
    </xf>
    <xf numFmtId="2" fontId="49" fillId="8" borderId="10" xfId="0" applyNumberFormat="1" applyFont="1" applyFill="1" applyBorder="1" applyAlignment="1">
      <alignment vertical="center"/>
    </xf>
    <xf numFmtId="4" fontId="47" fillId="0" borderId="11" xfId="0" applyNumberFormat="1" applyFont="1" applyBorder="1" applyAlignment="1">
      <alignment vertical="center"/>
    </xf>
    <xf numFmtId="0" fontId="47" fillId="0" borderId="12" xfId="0" applyFont="1" applyBorder="1" applyAlignment="1">
      <alignment horizontal="left" vertical="center" wrapText="1"/>
    </xf>
    <xf numFmtId="2" fontId="47" fillId="0" borderId="9" xfId="0" applyNumberFormat="1" applyFont="1" applyBorder="1" applyAlignment="1">
      <alignment horizontal="right" vertical="center"/>
    </xf>
    <xf numFmtId="4" fontId="47" fillId="0" borderId="9" xfId="0" applyNumberFormat="1" applyFont="1" applyBorder="1" applyAlignment="1">
      <alignment horizontal="right" vertical="center"/>
    </xf>
    <xf numFmtId="0" fontId="47" fillId="0" borderId="13" xfId="0" applyFont="1" applyBorder="1" applyAlignment="1">
      <alignment vertical="top" wrapText="1"/>
    </xf>
    <xf numFmtId="174" fontId="47" fillId="0" borderId="1" xfId="0" applyNumberFormat="1" applyFont="1" applyBorder="1" applyAlignment="1">
      <alignment horizontal="right" vertical="center"/>
    </xf>
    <xf numFmtId="0" fontId="47" fillId="0" borderId="13" xfId="0" applyFont="1" applyBorder="1" applyAlignment="1">
      <alignment vertical="center" wrapText="1"/>
    </xf>
    <xf numFmtId="166" fontId="47" fillId="0" borderId="9" xfId="0" applyNumberFormat="1" applyFont="1" applyBorder="1" applyAlignment="1">
      <alignment horizontal="right" vertical="center"/>
    </xf>
    <xf numFmtId="165" fontId="47" fillId="0" borderId="14" xfId="12" applyNumberFormat="1" applyFont="1" applyBorder="1" applyAlignment="1">
      <alignment horizontal="center" vertical="center"/>
    </xf>
    <xf numFmtId="165" fontId="47" fillId="0" borderId="15" xfId="12" applyNumberFormat="1" applyFont="1" applyBorder="1" applyAlignment="1">
      <alignment horizontal="center" vertical="center"/>
    </xf>
    <xf numFmtId="0" fontId="47" fillId="0" borderId="15" xfId="12" applyFont="1" applyBorder="1" applyAlignment="1">
      <alignment horizontal="center" vertical="center"/>
    </xf>
    <xf numFmtId="0" fontId="50" fillId="0" borderId="15" xfId="12" applyFont="1" applyBorder="1" applyAlignment="1">
      <alignment horizontal="center" vertical="center"/>
    </xf>
    <xf numFmtId="0" fontId="47" fillId="0" borderId="16" xfId="0" applyFont="1" applyBorder="1" applyAlignment="1">
      <alignment horizontal="center" vertical="center"/>
    </xf>
    <xf numFmtId="0" fontId="47" fillId="0" borderId="17" xfId="0" applyFont="1" applyBorder="1" applyAlignment="1">
      <alignment horizontal="center" vertical="center"/>
    </xf>
    <xf numFmtId="10" fontId="49" fillId="0" borderId="18" xfId="0" applyNumberFormat="1" applyFont="1" applyBorder="1" applyAlignment="1">
      <alignment horizontal="center" vertical="center"/>
    </xf>
    <xf numFmtId="4" fontId="47" fillId="0" borderId="19" xfId="0" applyNumberFormat="1" applyFont="1" applyBorder="1" applyAlignment="1">
      <alignment vertical="center"/>
    </xf>
    <xf numFmtId="0" fontId="49" fillId="9" borderId="20" xfId="0" applyFont="1" applyFill="1" applyBorder="1" applyAlignment="1">
      <alignment vertical="center"/>
    </xf>
    <xf numFmtId="0" fontId="49" fillId="9" borderId="20" xfId="0" applyFont="1" applyFill="1" applyBorder="1" applyAlignment="1">
      <alignment horizontal="center" vertical="center"/>
    </xf>
    <xf numFmtId="2" fontId="49" fillId="9" borderId="20" xfId="0" applyNumberFormat="1" applyFont="1" applyFill="1" applyBorder="1" applyAlignment="1">
      <alignment vertical="center"/>
    </xf>
    <xf numFmtId="4" fontId="49" fillId="9" borderId="21" xfId="0" applyNumberFormat="1" applyFont="1" applyFill="1" applyBorder="1" applyAlignment="1">
      <alignment vertical="center"/>
    </xf>
    <xf numFmtId="0" fontId="47" fillId="10" borderId="22" xfId="6" applyFont="1" applyFill="1" applyBorder="1" applyAlignment="1">
      <alignment vertical="center"/>
    </xf>
    <xf numFmtId="0" fontId="47" fillId="10" borderId="23" xfId="6" applyFont="1" applyFill="1" applyBorder="1" applyAlignment="1">
      <alignment vertical="center"/>
    </xf>
    <xf numFmtId="0" fontId="48" fillId="7" borderId="24" xfId="0" applyFont="1" applyFill="1" applyBorder="1" applyAlignment="1">
      <alignment horizontal="center" vertical="center"/>
    </xf>
    <xf numFmtId="0" fontId="48" fillId="7" borderId="24" xfId="0" applyFont="1" applyFill="1" applyBorder="1" applyAlignment="1">
      <alignment vertical="center"/>
    </xf>
    <xf numFmtId="0" fontId="48" fillId="7" borderId="25" xfId="0" applyFont="1" applyFill="1" applyBorder="1" applyAlignment="1">
      <alignment vertical="center"/>
    </xf>
    <xf numFmtId="165" fontId="49" fillId="11" borderId="26" xfId="12" applyNumberFormat="1" applyFont="1" applyFill="1" applyBorder="1" applyAlignment="1">
      <alignment horizontal="center" vertical="center" wrapText="1"/>
    </xf>
    <xf numFmtId="165" fontId="49" fillId="11" borderId="27" xfId="12" applyNumberFormat="1" applyFont="1" applyFill="1" applyBorder="1" applyAlignment="1">
      <alignment horizontal="center" vertical="center" wrapText="1"/>
    </xf>
    <xf numFmtId="0" fontId="48" fillId="12" borderId="28" xfId="0" applyFont="1" applyFill="1" applyBorder="1" applyAlignment="1">
      <alignment vertical="center"/>
    </xf>
    <xf numFmtId="0" fontId="51" fillId="0" borderId="0" xfId="0" applyFont="1" applyAlignment="1">
      <alignment vertical="center"/>
    </xf>
    <xf numFmtId="0" fontId="51" fillId="0" borderId="0" xfId="0" applyFont="1" applyAlignment="1">
      <alignment horizontal="center" vertical="center"/>
    </xf>
    <xf numFmtId="0" fontId="51" fillId="0" borderId="0" xfId="0" applyFont="1"/>
    <xf numFmtId="0" fontId="51" fillId="0" borderId="29" xfId="0" applyFont="1" applyBorder="1" applyAlignment="1">
      <alignment vertical="center"/>
    </xf>
    <xf numFmtId="0" fontId="51" fillId="0" borderId="24" xfId="0" applyFont="1" applyBorder="1" applyAlignment="1">
      <alignment horizontal="center" vertical="center"/>
    </xf>
    <xf numFmtId="0" fontId="51" fillId="0" borderId="30" xfId="0" applyFont="1" applyBorder="1" applyAlignment="1">
      <alignment vertical="center"/>
    </xf>
    <xf numFmtId="43" fontId="51" fillId="0" borderId="30" xfId="27" applyFont="1" applyBorder="1" applyAlignment="1">
      <alignment horizontal="center" vertical="center"/>
    </xf>
    <xf numFmtId="43" fontId="51" fillId="0" borderId="31" xfId="27" applyFont="1" applyBorder="1" applyAlignment="1">
      <alignment horizontal="center" vertical="center"/>
    </xf>
    <xf numFmtId="0" fontId="52" fillId="13" borderId="24" xfId="0" applyFont="1" applyFill="1" applyBorder="1" applyAlignment="1">
      <alignment horizontal="center" vertical="center"/>
    </xf>
    <xf numFmtId="0" fontId="52" fillId="13" borderId="30" xfId="0" applyFont="1" applyFill="1" applyBorder="1" applyAlignment="1">
      <alignment vertical="center"/>
    </xf>
    <xf numFmtId="165" fontId="52" fillId="13" borderId="30" xfId="0" applyNumberFormat="1" applyFont="1" applyFill="1" applyBorder="1" applyAlignment="1">
      <alignment horizontal="center" vertical="center"/>
    </xf>
    <xf numFmtId="165" fontId="52" fillId="13" borderId="31" xfId="0" applyNumberFormat="1" applyFont="1" applyFill="1" applyBorder="1" applyAlignment="1">
      <alignment horizontal="center" vertical="center"/>
    </xf>
    <xf numFmtId="43" fontId="51" fillId="0" borderId="30" xfId="27" applyFont="1" applyBorder="1" applyAlignment="1">
      <alignment vertical="center"/>
    </xf>
    <xf numFmtId="165" fontId="52" fillId="13" borderId="30" xfId="0" applyNumberFormat="1" applyFont="1" applyFill="1" applyBorder="1" applyAlignment="1">
      <alignment vertical="center"/>
    </xf>
    <xf numFmtId="165" fontId="52" fillId="13" borderId="31" xfId="0" applyNumberFormat="1" applyFont="1" applyFill="1" applyBorder="1" applyAlignment="1">
      <alignment vertical="center"/>
    </xf>
    <xf numFmtId="43" fontId="51" fillId="0" borderId="31" xfId="27" applyFont="1" applyBorder="1" applyAlignment="1">
      <alignment vertical="center"/>
    </xf>
    <xf numFmtId="165" fontId="51" fillId="0" borderId="30" xfId="0" applyNumberFormat="1" applyFont="1" applyBorder="1" applyAlignment="1">
      <alignment vertical="center"/>
    </xf>
    <xf numFmtId="165" fontId="51" fillId="0" borderId="31" xfId="0" applyNumberFormat="1" applyFont="1" applyBorder="1" applyAlignment="1">
      <alignment vertical="center"/>
    </xf>
    <xf numFmtId="0" fontId="52" fillId="13" borderId="32" xfId="0" applyFont="1" applyFill="1" applyBorder="1" applyAlignment="1">
      <alignment horizontal="center" vertical="center"/>
    </xf>
    <xf numFmtId="0" fontId="52" fillId="13" borderId="33" xfId="0" applyFont="1" applyFill="1" applyBorder="1" applyAlignment="1">
      <alignment vertical="center"/>
    </xf>
    <xf numFmtId="165" fontId="52" fillId="13" borderId="33" xfId="0" applyNumberFormat="1" applyFont="1" applyFill="1" applyBorder="1" applyAlignment="1">
      <alignment vertical="center"/>
    </xf>
    <xf numFmtId="165" fontId="52" fillId="13" borderId="34" xfId="0" applyNumberFormat="1" applyFont="1" applyFill="1" applyBorder="1" applyAlignment="1">
      <alignment vertical="center"/>
    </xf>
    <xf numFmtId="0" fontId="51" fillId="0" borderId="31" xfId="0" applyFont="1" applyBorder="1" applyAlignment="1">
      <alignment vertical="center"/>
    </xf>
    <xf numFmtId="0" fontId="52" fillId="0" borderId="24" xfId="0" applyFont="1" applyBorder="1" applyAlignment="1">
      <alignment horizontal="center" vertical="center"/>
    </xf>
    <xf numFmtId="0" fontId="52" fillId="0" borderId="30" xfId="0" applyFont="1" applyBorder="1" applyAlignment="1">
      <alignment vertical="center"/>
    </xf>
    <xf numFmtId="165" fontId="52" fillId="0" borderId="30" xfId="0" applyNumberFormat="1" applyFont="1" applyBorder="1" applyAlignment="1">
      <alignment vertical="center"/>
    </xf>
    <xf numFmtId="165" fontId="52" fillId="0" borderId="31" xfId="0" applyNumberFormat="1" applyFont="1" applyBorder="1" applyAlignment="1">
      <alignment vertical="center"/>
    </xf>
    <xf numFmtId="165" fontId="52" fillId="8" borderId="33" xfId="0" applyNumberFormat="1" applyFont="1" applyFill="1" applyBorder="1" applyAlignment="1">
      <alignment vertical="center"/>
    </xf>
    <xf numFmtId="165" fontId="52" fillId="8" borderId="34" xfId="0" applyNumberFormat="1" applyFont="1" applyFill="1" applyBorder="1" applyAlignment="1">
      <alignment vertical="center"/>
    </xf>
    <xf numFmtId="0" fontId="51" fillId="0" borderId="30" xfId="0" applyFont="1" applyBorder="1" applyAlignment="1">
      <alignment horizontal="justify" vertical="center" wrapText="1"/>
    </xf>
    <xf numFmtId="0" fontId="53" fillId="10" borderId="35" xfId="0" applyFont="1" applyFill="1" applyBorder="1" applyAlignment="1">
      <alignment horizontal="center" vertical="center"/>
    </xf>
    <xf numFmtId="0" fontId="53" fillId="10" borderId="0" xfId="0" applyFont="1" applyFill="1" applyAlignment="1">
      <alignment horizontal="center" vertical="center"/>
    </xf>
    <xf numFmtId="0" fontId="53" fillId="10" borderId="29" xfId="0" applyFont="1" applyFill="1" applyBorder="1" applyAlignment="1">
      <alignment horizontal="center" vertical="center"/>
    </xf>
    <xf numFmtId="0" fontId="12" fillId="0" borderId="0" xfId="0" applyFont="1" applyAlignment="1" applyProtection="1">
      <alignment horizontal="center" vertical="center"/>
      <protection locked="0"/>
    </xf>
    <xf numFmtId="0" fontId="13" fillId="0" borderId="0" xfId="9" applyFont="1"/>
    <xf numFmtId="0" fontId="12" fillId="10" borderId="35" xfId="0" applyFont="1" applyFill="1" applyBorder="1" applyAlignment="1" applyProtection="1">
      <alignment vertical="center"/>
      <protection locked="0"/>
    </xf>
    <xf numFmtId="0" fontId="12" fillId="10" borderId="29" xfId="0" applyFont="1" applyFill="1" applyBorder="1" applyAlignment="1" applyProtection="1">
      <alignment vertical="center"/>
      <protection locked="0"/>
    </xf>
    <xf numFmtId="0" fontId="12" fillId="0" borderId="0" xfId="0" applyFont="1" applyAlignment="1" applyProtection="1">
      <alignment vertical="center"/>
      <protection locked="0"/>
    </xf>
    <xf numFmtId="2" fontId="15" fillId="0" borderId="0" xfId="15" applyNumberFormat="1" applyFont="1" applyAlignment="1" applyProtection="1">
      <alignment horizontal="left" vertical="center" wrapText="1"/>
      <protection locked="0"/>
    </xf>
    <xf numFmtId="0" fontId="54" fillId="0" borderId="0" xfId="0" applyFont="1"/>
    <xf numFmtId="2" fontId="15" fillId="0" borderId="0" xfId="15" applyNumberFormat="1" applyFont="1" applyAlignment="1" applyProtection="1">
      <alignment horizontal="left" vertical="center"/>
      <protection locked="0"/>
    </xf>
    <xf numFmtId="177" fontId="15" fillId="10" borderId="23" xfId="15" applyNumberFormat="1" applyFont="1" applyFill="1" applyBorder="1" applyAlignment="1" applyProtection="1">
      <alignment horizontal="center" vertical="center"/>
      <protection locked="0"/>
    </xf>
    <xf numFmtId="169" fontId="15" fillId="0" borderId="0" xfId="0" applyNumberFormat="1" applyFont="1" applyAlignment="1" applyProtection="1">
      <alignment horizontal="center" vertical="center"/>
      <protection locked="0"/>
    </xf>
    <xf numFmtId="0" fontId="13" fillId="0" borderId="0" xfId="0" applyFont="1"/>
    <xf numFmtId="0" fontId="13" fillId="0" borderId="0" xfId="9" applyFont="1" applyAlignment="1">
      <alignment vertical="center"/>
    </xf>
    <xf numFmtId="0" fontId="16" fillId="0" borderId="35" xfId="0" applyFont="1" applyBorder="1" applyAlignment="1">
      <alignment vertical="center"/>
    </xf>
    <xf numFmtId="0" fontId="16" fillId="0" borderId="35" xfId="0" applyFont="1" applyBorder="1"/>
    <xf numFmtId="0" fontId="16" fillId="0" borderId="29" xfId="0" applyFont="1" applyBorder="1"/>
    <xf numFmtId="0" fontId="14" fillId="14" borderId="36" xfId="0" applyFont="1" applyFill="1" applyBorder="1" applyAlignment="1">
      <alignment horizontal="right" vertical="center"/>
    </xf>
    <xf numFmtId="0" fontId="14" fillId="14" borderId="37" xfId="0" applyFont="1" applyFill="1" applyBorder="1" applyAlignment="1">
      <alignment vertical="center"/>
    </xf>
    <xf numFmtId="10" fontId="14" fillId="14" borderId="38" xfId="0" applyNumberFormat="1" applyFont="1" applyFill="1" applyBorder="1" applyAlignment="1">
      <alignment vertical="center"/>
    </xf>
    <xf numFmtId="0" fontId="14" fillId="0" borderId="39" xfId="0" applyFont="1" applyBorder="1" applyAlignment="1">
      <alignment vertical="center"/>
    </xf>
    <xf numFmtId="0" fontId="14" fillId="0" borderId="37" xfId="0" applyFont="1" applyBorder="1" applyAlignment="1">
      <alignment vertical="center"/>
    </xf>
    <xf numFmtId="10" fontId="14" fillId="0" borderId="40" xfId="0" applyNumberFormat="1" applyFont="1" applyBorder="1" applyAlignment="1">
      <alignment vertical="center"/>
    </xf>
    <xf numFmtId="0" fontId="16" fillId="0" borderId="29" xfId="0" applyFont="1" applyBorder="1" applyAlignment="1">
      <alignment horizontal="right" vertical="center"/>
    </xf>
    <xf numFmtId="0" fontId="16" fillId="3" borderId="41" xfId="9" applyFont="1" applyFill="1" applyBorder="1"/>
    <xf numFmtId="0" fontId="16" fillId="3" borderId="42" xfId="9" applyFont="1" applyFill="1" applyBorder="1"/>
    <xf numFmtId="0" fontId="16" fillId="0" borderId="0" xfId="0" applyFont="1" applyAlignment="1">
      <alignment vertical="center"/>
    </xf>
    <xf numFmtId="0" fontId="55" fillId="10" borderId="22" xfId="0" applyFont="1" applyFill="1" applyBorder="1"/>
    <xf numFmtId="0" fontId="55" fillId="10" borderId="43" xfId="0" applyFont="1" applyFill="1" applyBorder="1"/>
    <xf numFmtId="0" fontId="55" fillId="10" borderId="44" xfId="0" applyFont="1" applyFill="1" applyBorder="1"/>
    <xf numFmtId="0" fontId="55" fillId="10" borderId="0" xfId="0" applyFont="1" applyFill="1" applyAlignment="1">
      <alignment horizontal="center" vertical="center"/>
    </xf>
    <xf numFmtId="0" fontId="55" fillId="0" borderId="0" xfId="0" applyFont="1" applyAlignment="1">
      <alignment horizontal="center" vertical="center"/>
    </xf>
    <xf numFmtId="0" fontId="55" fillId="0" borderId="0" xfId="0" applyFont="1"/>
    <xf numFmtId="0" fontId="56" fillId="10" borderId="0" xfId="0" applyFont="1" applyFill="1" applyAlignment="1">
      <alignment horizontal="center" vertical="center"/>
    </xf>
    <xf numFmtId="165" fontId="21" fillId="15" borderId="0" xfId="12" applyNumberFormat="1" applyFont="1" applyFill="1" applyAlignment="1">
      <alignment horizontal="center" vertical="center" wrapText="1"/>
    </xf>
    <xf numFmtId="0" fontId="21" fillId="16" borderId="0" xfId="6" applyFont="1" applyFill="1" applyAlignment="1">
      <alignment horizontal="center" vertical="center"/>
    </xf>
    <xf numFmtId="165" fontId="55" fillId="0" borderId="0" xfId="0" applyNumberFormat="1" applyFont="1" applyAlignment="1">
      <alignment vertical="center"/>
    </xf>
    <xf numFmtId="0" fontId="55" fillId="0" borderId="0" xfId="0" applyFont="1" applyAlignment="1">
      <alignment vertical="center"/>
    </xf>
    <xf numFmtId="165" fontId="13" fillId="0" borderId="0" xfId="12" applyNumberFormat="1" applyFont="1" applyAlignment="1">
      <alignment horizontal="center" vertical="center"/>
    </xf>
    <xf numFmtId="0" fontId="13" fillId="0" borderId="24" xfId="12" applyFont="1" applyBorder="1" applyAlignment="1">
      <alignment horizontal="center" vertical="center"/>
    </xf>
    <xf numFmtId="49" fontId="13" fillId="0" borderId="30" xfId="12" applyNumberFormat="1" applyFont="1" applyBorder="1" applyAlignment="1">
      <alignment horizontal="center" vertical="center"/>
    </xf>
    <xf numFmtId="0" fontId="13" fillId="0" borderId="30" xfId="12" applyFont="1" applyBorder="1" applyAlignment="1">
      <alignment horizontal="justify" vertical="center"/>
    </xf>
    <xf numFmtId="165" fontId="13" fillId="0" borderId="30" xfId="12" applyNumberFormat="1" applyFont="1" applyBorder="1" applyAlignment="1">
      <alignment horizontal="center" vertical="center"/>
    </xf>
    <xf numFmtId="166" fontId="13" fillId="0" borderId="30" xfId="12" applyNumberFormat="1" applyFont="1" applyBorder="1" applyAlignment="1">
      <alignment horizontal="center" vertical="center"/>
    </xf>
    <xf numFmtId="165" fontId="55" fillId="0" borderId="30" xfId="24" applyFont="1" applyFill="1" applyBorder="1" applyAlignment="1">
      <alignment horizontal="center" vertical="center"/>
    </xf>
    <xf numFmtId="165" fontId="55" fillId="0" borderId="31" xfId="24" applyFont="1" applyFill="1" applyBorder="1" applyAlignment="1">
      <alignment horizontal="center" vertical="center"/>
    </xf>
    <xf numFmtId="167" fontId="55" fillId="0" borderId="0" xfId="24" applyNumberFormat="1" applyFont="1" applyFill="1" applyBorder="1" applyAlignment="1">
      <alignment horizontal="center" vertical="center"/>
    </xf>
    <xf numFmtId="165" fontId="13" fillId="8" borderId="0" xfId="12" applyNumberFormat="1" applyFont="1" applyFill="1" applyAlignment="1">
      <alignment horizontal="center" vertical="center"/>
    </xf>
    <xf numFmtId="165" fontId="13" fillId="0" borderId="24" xfId="12" applyNumberFormat="1" applyFont="1" applyBorder="1" applyAlignment="1">
      <alignment horizontal="center" vertical="center"/>
    </xf>
    <xf numFmtId="165" fontId="13" fillId="0" borderId="31" xfId="12" applyNumberFormat="1" applyFont="1" applyBorder="1" applyAlignment="1">
      <alignment horizontal="center" vertical="center"/>
    </xf>
    <xf numFmtId="0" fontId="13" fillId="0" borderId="30" xfId="12" quotePrefix="1" applyFont="1" applyBorder="1" applyAlignment="1">
      <alignment horizontal="center" vertical="center"/>
    </xf>
    <xf numFmtId="0" fontId="13" fillId="0" borderId="30" xfId="12" applyFont="1" applyBorder="1" applyAlignment="1">
      <alignment horizontal="justify" vertical="top" wrapText="1"/>
    </xf>
    <xf numFmtId="43" fontId="55" fillId="0" borderId="0" xfId="0" applyNumberFormat="1" applyFont="1" applyAlignment="1">
      <alignment horizontal="center" vertical="center"/>
    </xf>
    <xf numFmtId="165" fontId="21" fillId="0" borderId="0" xfId="12" applyNumberFormat="1" applyFont="1" applyAlignment="1">
      <alignment horizontal="center" vertical="center"/>
    </xf>
    <xf numFmtId="165" fontId="55" fillId="0" borderId="30" xfId="12" applyNumberFormat="1" applyFont="1" applyBorder="1" applyAlignment="1">
      <alignment horizontal="center" vertical="center"/>
    </xf>
    <xf numFmtId="165" fontId="21" fillId="0" borderId="31" xfId="12" applyNumberFormat="1" applyFont="1" applyBorder="1" applyAlignment="1">
      <alignment horizontal="center" vertical="center"/>
    </xf>
    <xf numFmtId="165" fontId="21" fillId="17" borderId="0" xfId="12" applyNumberFormat="1" applyFont="1" applyFill="1" applyAlignment="1">
      <alignment horizontal="center" vertical="center"/>
    </xf>
    <xf numFmtId="165" fontId="13" fillId="0" borderId="39" xfId="10" applyNumberFormat="1" applyFont="1" applyBorder="1" applyAlignment="1">
      <alignment vertical="center"/>
    </xf>
    <xf numFmtId="165" fontId="13" fillId="0" borderId="37" xfId="10" applyNumberFormat="1" applyFont="1" applyBorder="1" applyAlignment="1">
      <alignment vertical="center"/>
    </xf>
    <xf numFmtId="10" fontId="13" fillId="0" borderId="30" xfId="16" applyNumberFormat="1" applyFont="1" applyFill="1" applyBorder="1" applyAlignment="1">
      <alignment vertical="center"/>
    </xf>
    <xf numFmtId="165" fontId="13" fillId="0" borderId="0" xfId="10" applyNumberFormat="1" applyFont="1" applyAlignment="1">
      <alignment horizontal="center" vertical="center"/>
    </xf>
    <xf numFmtId="165" fontId="13" fillId="14" borderId="32" xfId="12" quotePrefix="1" applyNumberFormat="1" applyFont="1" applyFill="1" applyBorder="1" applyAlignment="1">
      <alignment horizontal="center" vertical="center"/>
    </xf>
    <xf numFmtId="165" fontId="13" fillId="14" borderId="33" xfId="12" quotePrefix="1" applyNumberFormat="1" applyFont="1" applyFill="1" applyBorder="1" applyAlignment="1">
      <alignment horizontal="center" vertical="center"/>
    </xf>
    <xf numFmtId="165" fontId="21" fillId="14" borderId="34" xfId="13" applyNumberFormat="1" applyFont="1" applyFill="1" applyBorder="1" applyAlignment="1">
      <alignment horizontal="center" vertical="center"/>
    </xf>
    <xf numFmtId="165" fontId="21" fillId="17" borderId="0" xfId="13" applyNumberFormat="1" applyFont="1" applyFill="1" applyAlignment="1">
      <alignment horizontal="center" vertical="center"/>
    </xf>
    <xf numFmtId="165" fontId="13" fillId="0" borderId="0" xfId="12" quotePrefix="1" applyNumberFormat="1" applyFont="1" applyAlignment="1">
      <alignment horizontal="center" vertical="center"/>
    </xf>
    <xf numFmtId="165" fontId="21" fillId="0" borderId="0" xfId="12" applyNumberFormat="1" applyFont="1" applyAlignment="1">
      <alignment horizontal="left" vertical="center"/>
    </xf>
    <xf numFmtId="165" fontId="21" fillId="0" borderId="0" xfId="13" applyNumberFormat="1" applyFont="1" applyAlignment="1">
      <alignment horizontal="center" vertical="center"/>
    </xf>
    <xf numFmtId="0" fontId="13" fillId="0" borderId="30" xfId="12" applyFont="1" applyBorder="1" applyAlignment="1">
      <alignment horizontal="center" vertical="center"/>
    </xf>
    <xf numFmtId="165" fontId="13" fillId="0" borderId="31" xfId="10" applyNumberFormat="1" applyFont="1" applyBorder="1" applyAlignment="1">
      <alignment horizontal="center" vertical="center"/>
    </xf>
    <xf numFmtId="0" fontId="13" fillId="0" borderId="25" xfId="12" applyFont="1" applyBorder="1" applyAlignment="1">
      <alignment horizontal="center" vertical="center"/>
    </xf>
    <xf numFmtId="49" fontId="13" fillId="0" borderId="45" xfId="12" applyNumberFormat="1" applyFont="1" applyBorder="1" applyAlignment="1">
      <alignment horizontal="center" vertical="center"/>
    </xf>
    <xf numFmtId="0" fontId="13" fillId="0" borderId="45" xfId="12" applyFont="1" applyBorder="1" applyAlignment="1">
      <alignment horizontal="justify" vertical="center"/>
    </xf>
    <xf numFmtId="165" fontId="13" fillId="0" borderId="45" xfId="12" applyNumberFormat="1" applyFont="1" applyBorder="1" applyAlignment="1">
      <alignment horizontal="center" vertical="center"/>
    </xf>
    <xf numFmtId="166" fontId="13" fillId="0" borderId="45" xfId="12" applyNumberFormat="1" applyFont="1" applyBorder="1" applyAlignment="1">
      <alignment horizontal="center" vertical="center"/>
    </xf>
    <xf numFmtId="165" fontId="55" fillId="0" borderId="45" xfId="24" applyFont="1" applyFill="1" applyBorder="1" applyAlignment="1">
      <alignment horizontal="center" vertical="center"/>
    </xf>
    <xf numFmtId="0" fontId="13" fillId="0" borderId="45" xfId="12" quotePrefix="1" applyFont="1" applyBorder="1" applyAlignment="1">
      <alignment horizontal="center" vertical="center"/>
    </xf>
    <xf numFmtId="0" fontId="13" fillId="0" borderId="45" xfId="12" applyFont="1" applyBorder="1" applyAlignment="1">
      <alignment horizontal="justify" vertical="top" wrapText="1"/>
    </xf>
    <xf numFmtId="0" fontId="13" fillId="0" borderId="30" xfId="12" applyFont="1" applyBorder="1" applyAlignment="1">
      <alignment horizontal="justify" vertical="top"/>
    </xf>
    <xf numFmtId="165" fontId="21" fillId="18" borderId="46" xfId="12" applyNumberFormat="1" applyFont="1" applyFill="1" applyBorder="1" applyAlignment="1">
      <alignment horizontal="center" vertical="center" wrapText="1"/>
    </xf>
    <xf numFmtId="165" fontId="23" fillId="0" borderId="24" xfId="12" applyNumberFormat="1" applyFont="1" applyBorder="1" applyAlignment="1">
      <alignment horizontal="center" vertical="center"/>
    </xf>
    <xf numFmtId="165" fontId="23" fillId="0" borderId="30" xfId="12" applyNumberFormat="1" applyFont="1" applyBorder="1" applyAlignment="1">
      <alignment horizontal="center" vertical="center"/>
    </xf>
    <xf numFmtId="165" fontId="23" fillId="0" borderId="31" xfId="12" applyNumberFormat="1" applyFont="1" applyBorder="1" applyAlignment="1">
      <alignment horizontal="center" vertical="center"/>
    </xf>
    <xf numFmtId="165" fontId="23" fillId="0" borderId="31" xfId="10" applyNumberFormat="1" applyFont="1" applyBorder="1" applyAlignment="1">
      <alignment horizontal="center" vertical="center"/>
    </xf>
    <xf numFmtId="165" fontId="22" fillId="14" borderId="34" xfId="13" applyNumberFormat="1" applyFont="1" applyFill="1" applyBorder="1" applyAlignment="1">
      <alignment horizontal="center" vertical="center"/>
    </xf>
    <xf numFmtId="0" fontId="57" fillId="10" borderId="22" xfId="0" applyFont="1" applyFill="1" applyBorder="1"/>
    <xf numFmtId="0" fontId="57" fillId="10" borderId="43" xfId="0" applyFont="1" applyFill="1" applyBorder="1"/>
    <xf numFmtId="0" fontId="57" fillId="10" borderId="44" xfId="0" applyFont="1" applyFill="1" applyBorder="1"/>
    <xf numFmtId="0" fontId="57" fillId="10" borderId="0" xfId="0" applyFont="1" applyFill="1" applyAlignment="1">
      <alignment horizontal="center" vertical="center"/>
    </xf>
    <xf numFmtId="0" fontId="57" fillId="0" borderId="0" xfId="0" applyFont="1" applyAlignment="1">
      <alignment horizontal="center" vertical="center"/>
    </xf>
    <xf numFmtId="0" fontId="57" fillId="0" borderId="0" xfId="0" applyFont="1"/>
    <xf numFmtId="0" fontId="58" fillId="10" borderId="0" xfId="0" applyFont="1" applyFill="1" applyAlignment="1">
      <alignment horizontal="center" vertical="center"/>
    </xf>
    <xf numFmtId="165" fontId="24" fillId="15" borderId="0" xfId="12" applyNumberFormat="1" applyFont="1" applyFill="1" applyAlignment="1">
      <alignment horizontal="center" vertical="center" wrapText="1"/>
    </xf>
    <xf numFmtId="0" fontId="24" fillId="16" borderId="0" xfId="6" applyFont="1" applyFill="1" applyAlignment="1">
      <alignment horizontal="center" vertical="center"/>
    </xf>
    <xf numFmtId="165" fontId="57" fillId="0" borderId="0" xfId="0" applyNumberFormat="1" applyFont="1" applyAlignment="1">
      <alignment vertical="center"/>
    </xf>
    <xf numFmtId="0" fontId="57" fillId="0" borderId="0" xfId="0" applyFont="1" applyAlignment="1">
      <alignment vertical="center"/>
    </xf>
    <xf numFmtId="165" fontId="25" fillId="0" borderId="24" xfId="12" applyNumberFormat="1" applyFont="1" applyBorder="1" applyAlignment="1">
      <alignment horizontal="center" vertical="center"/>
    </xf>
    <xf numFmtId="165" fontId="25" fillId="0" borderId="30" xfId="12" applyNumberFormat="1" applyFont="1" applyBorder="1" applyAlignment="1">
      <alignment horizontal="center" vertical="center"/>
    </xf>
    <xf numFmtId="165" fontId="25" fillId="0" borderId="31" xfId="12" applyNumberFormat="1" applyFont="1" applyBorder="1" applyAlignment="1">
      <alignment horizontal="center" vertical="center"/>
    </xf>
    <xf numFmtId="165" fontId="25" fillId="0" borderId="0" xfId="12" applyNumberFormat="1" applyFont="1" applyAlignment="1">
      <alignment horizontal="center" vertical="center"/>
    </xf>
    <xf numFmtId="0" fontId="25" fillId="0" borderId="24" xfId="12" applyFont="1" applyBorder="1" applyAlignment="1">
      <alignment horizontal="center" vertical="center"/>
    </xf>
    <xf numFmtId="49" fontId="25" fillId="0" borderId="30" xfId="12" applyNumberFormat="1" applyFont="1" applyBorder="1" applyAlignment="1">
      <alignment horizontal="center" vertical="center"/>
    </xf>
    <xf numFmtId="0" fontId="25" fillId="0" borderId="30" xfId="12" applyFont="1" applyBorder="1" applyAlignment="1">
      <alignment horizontal="justify" vertical="center"/>
    </xf>
    <xf numFmtId="166" fontId="25" fillId="0" borderId="30" xfId="12" applyNumberFormat="1" applyFont="1" applyBorder="1" applyAlignment="1">
      <alignment horizontal="center" vertical="center"/>
    </xf>
    <xf numFmtId="165" fontId="57" fillId="0" borderId="30" xfId="24" applyFont="1" applyFill="1" applyBorder="1" applyAlignment="1">
      <alignment horizontal="center" vertical="center"/>
    </xf>
    <xf numFmtId="165" fontId="57" fillId="0" borderId="31" xfId="24" applyFont="1" applyFill="1" applyBorder="1" applyAlignment="1">
      <alignment horizontal="center" vertical="center"/>
    </xf>
    <xf numFmtId="167" fontId="57" fillId="0" borderId="0" xfId="24" applyNumberFormat="1" applyFont="1" applyFill="1" applyBorder="1" applyAlignment="1">
      <alignment horizontal="center" vertical="center"/>
    </xf>
    <xf numFmtId="0" fontId="25" fillId="0" borderId="25" xfId="12" applyFont="1" applyBorder="1" applyAlignment="1">
      <alignment horizontal="center" vertical="center"/>
    </xf>
    <xf numFmtId="0" fontId="25" fillId="0" borderId="45" xfId="12" quotePrefix="1" applyFont="1" applyBorder="1" applyAlignment="1">
      <alignment horizontal="center" vertical="center"/>
    </xf>
    <xf numFmtId="0" fontId="25" fillId="0" borderId="45" xfId="12" applyFont="1" applyBorder="1" applyAlignment="1">
      <alignment horizontal="justify" vertical="center"/>
    </xf>
    <xf numFmtId="165" fontId="25" fillId="0" borderId="45" xfId="12" applyNumberFormat="1" applyFont="1" applyBorder="1" applyAlignment="1">
      <alignment horizontal="center" vertical="center"/>
    </xf>
    <xf numFmtId="166" fontId="25" fillId="0" borderId="45" xfId="12" applyNumberFormat="1" applyFont="1" applyBorder="1" applyAlignment="1">
      <alignment horizontal="center" vertical="center"/>
    </xf>
    <xf numFmtId="165" fontId="57" fillId="0" borderId="45" xfId="24" applyFont="1" applyFill="1" applyBorder="1" applyAlignment="1">
      <alignment horizontal="center" vertical="center"/>
    </xf>
    <xf numFmtId="165" fontId="25" fillId="8" borderId="0" xfId="12" applyNumberFormat="1" applyFont="1" applyFill="1" applyAlignment="1">
      <alignment horizontal="center" vertical="center"/>
    </xf>
    <xf numFmtId="0" fontId="25" fillId="0" borderId="30" xfId="12" quotePrefix="1" applyFont="1" applyBorder="1" applyAlignment="1">
      <alignment horizontal="center" vertical="center"/>
    </xf>
    <xf numFmtId="0" fontId="25" fillId="0" borderId="30" xfId="12" applyFont="1" applyBorder="1" applyAlignment="1">
      <alignment horizontal="justify" vertical="top" wrapText="1"/>
    </xf>
    <xf numFmtId="0" fontId="25" fillId="0" borderId="45" xfId="12" applyFont="1" applyBorder="1" applyAlignment="1">
      <alignment horizontal="justify" vertical="top" wrapText="1"/>
    </xf>
    <xf numFmtId="0" fontId="25" fillId="0" borderId="30" xfId="12" applyFont="1" applyBorder="1" applyAlignment="1">
      <alignment horizontal="center" vertical="center"/>
    </xf>
    <xf numFmtId="165" fontId="57" fillId="0" borderId="30" xfId="24" applyFont="1" applyBorder="1" applyAlignment="1">
      <alignment horizontal="center" vertical="center"/>
    </xf>
    <xf numFmtId="0" fontId="25" fillId="0" borderId="30" xfId="12" applyFont="1" applyBorder="1" applyAlignment="1">
      <alignment horizontal="justify" vertical="center" wrapText="1"/>
    </xf>
    <xf numFmtId="0" fontId="25" fillId="0" borderId="45" xfId="12" applyFont="1" applyBorder="1" applyAlignment="1">
      <alignment horizontal="center" vertical="center"/>
    </xf>
    <xf numFmtId="0" fontId="25" fillId="0" borderId="45" xfId="12" applyFont="1" applyBorder="1" applyAlignment="1">
      <alignment horizontal="justify" vertical="center" wrapText="1"/>
    </xf>
    <xf numFmtId="165" fontId="57" fillId="0" borderId="45" xfId="24" applyFont="1" applyBorder="1" applyAlignment="1">
      <alignment horizontal="center" vertical="center"/>
    </xf>
    <xf numFmtId="165" fontId="24" fillId="0" borderId="0" xfId="12" applyNumberFormat="1" applyFont="1" applyAlignment="1">
      <alignment horizontal="center" vertical="center"/>
    </xf>
    <xf numFmtId="167" fontId="25" fillId="0" borderId="30" xfId="12" applyNumberFormat="1" applyFont="1" applyBorder="1" applyAlignment="1">
      <alignment horizontal="center" vertical="center"/>
    </xf>
    <xf numFmtId="165" fontId="57" fillId="0" borderId="30" xfId="12" applyNumberFormat="1" applyFont="1" applyBorder="1" applyAlignment="1">
      <alignment horizontal="center" vertical="center"/>
    </xf>
    <xf numFmtId="165" fontId="24" fillId="0" borderId="31" xfId="12" applyNumberFormat="1" applyFont="1" applyBorder="1" applyAlignment="1">
      <alignment horizontal="center" vertical="center"/>
    </xf>
    <xf numFmtId="165" fontId="24" fillId="17" borderId="0" xfId="12" applyNumberFormat="1" applyFont="1" applyFill="1" applyAlignment="1">
      <alignment horizontal="center" vertical="center"/>
    </xf>
    <xf numFmtId="165" fontId="25" fillId="0" borderId="39" xfId="10" applyNumberFormat="1" applyFont="1" applyBorder="1" applyAlignment="1">
      <alignment vertical="center"/>
    </xf>
    <xf numFmtId="165" fontId="25" fillId="0" borderId="37" xfId="10" applyNumberFormat="1" applyFont="1" applyBorder="1" applyAlignment="1">
      <alignment vertical="center"/>
    </xf>
    <xf numFmtId="10" fontId="25" fillId="0" borderId="30" xfId="16" applyNumberFormat="1" applyFont="1" applyFill="1" applyBorder="1" applyAlignment="1">
      <alignment vertical="center"/>
    </xf>
    <xf numFmtId="165" fontId="25" fillId="0" borderId="31" xfId="10" applyNumberFormat="1" applyFont="1" applyBorder="1" applyAlignment="1">
      <alignment horizontal="center" vertical="center"/>
    </xf>
    <xf numFmtId="165" fontId="25" fillId="0" borderId="0" xfId="10" applyNumberFormat="1" applyFont="1" applyAlignment="1">
      <alignment horizontal="center" vertical="center"/>
    </xf>
    <xf numFmtId="165" fontId="25" fillId="14" borderId="32" xfId="12" quotePrefix="1" applyNumberFormat="1" applyFont="1" applyFill="1" applyBorder="1" applyAlignment="1">
      <alignment horizontal="center" vertical="center"/>
    </xf>
    <xf numFmtId="165" fontId="25" fillId="14" borderId="33" xfId="12" quotePrefix="1" applyNumberFormat="1" applyFont="1" applyFill="1" applyBorder="1" applyAlignment="1">
      <alignment horizontal="center" vertical="center"/>
    </xf>
    <xf numFmtId="165" fontId="24" fillId="14" borderId="34" xfId="13" applyNumberFormat="1" applyFont="1" applyFill="1" applyBorder="1" applyAlignment="1">
      <alignment horizontal="center" vertical="center"/>
    </xf>
    <xf numFmtId="165" fontId="24" fillId="17" borderId="0" xfId="13" applyNumberFormat="1" applyFont="1" applyFill="1" applyAlignment="1">
      <alignment horizontal="center" vertical="center"/>
    </xf>
    <xf numFmtId="165" fontId="25" fillId="0" borderId="0" xfId="12" quotePrefix="1" applyNumberFormat="1" applyFont="1" applyAlignment="1">
      <alignment horizontal="center" vertical="center"/>
    </xf>
    <xf numFmtId="165" fontId="24" fillId="0" borderId="0" xfId="12" applyNumberFormat="1" applyFont="1" applyAlignment="1">
      <alignment horizontal="left" vertical="center"/>
    </xf>
    <xf numFmtId="165" fontId="24" fillId="0" borderId="0" xfId="13" applyNumberFormat="1" applyFont="1" applyAlignment="1">
      <alignment horizontal="center" vertical="center"/>
    </xf>
    <xf numFmtId="165" fontId="24" fillId="18" borderId="46" xfId="12" applyNumberFormat="1" applyFont="1" applyFill="1" applyBorder="1" applyAlignment="1">
      <alignment horizontal="center" vertical="center" wrapText="1"/>
    </xf>
    <xf numFmtId="0" fontId="57" fillId="10" borderId="35" xfId="0" applyFont="1" applyFill="1" applyBorder="1"/>
    <xf numFmtId="0" fontId="57" fillId="10" borderId="0" xfId="0" applyFont="1" applyFill="1"/>
    <xf numFmtId="0" fontId="57" fillId="10" borderId="29" xfId="0" applyFont="1" applyFill="1" applyBorder="1"/>
    <xf numFmtId="165" fontId="13" fillId="8" borderId="24" xfId="12" applyNumberFormat="1" applyFont="1" applyFill="1" applyBorder="1" applyAlignment="1">
      <alignment horizontal="center" vertical="center"/>
    </xf>
    <xf numFmtId="165" fontId="13" fillId="8" borderId="30" xfId="12" applyNumberFormat="1" applyFont="1" applyFill="1" applyBorder="1" applyAlignment="1">
      <alignment horizontal="center" vertical="center"/>
    </xf>
    <xf numFmtId="0" fontId="13" fillId="8" borderId="30" xfId="12" applyFont="1" applyFill="1" applyBorder="1" applyAlignment="1">
      <alignment horizontal="center" vertical="center"/>
    </xf>
    <xf numFmtId="0" fontId="55" fillId="8" borderId="30" xfId="12" applyFont="1" applyFill="1" applyBorder="1" applyAlignment="1">
      <alignment horizontal="center" vertical="center"/>
    </xf>
    <xf numFmtId="165" fontId="13" fillId="8" borderId="31" xfId="12" applyNumberFormat="1" applyFont="1" applyFill="1" applyBorder="1" applyAlignment="1">
      <alignment horizontal="center" vertical="center"/>
    </xf>
    <xf numFmtId="165" fontId="25" fillId="8" borderId="24" xfId="12" applyNumberFormat="1" applyFont="1" applyFill="1" applyBorder="1" applyAlignment="1">
      <alignment horizontal="center" vertical="center"/>
    </xf>
    <xf numFmtId="165" fontId="25" fillId="8" borderId="30" xfId="12" applyNumberFormat="1" applyFont="1" applyFill="1" applyBorder="1" applyAlignment="1">
      <alignment horizontal="center" vertical="center"/>
    </xf>
    <xf numFmtId="0" fontId="25" fillId="8" borderId="30" xfId="12" applyFont="1" applyFill="1" applyBorder="1" applyAlignment="1">
      <alignment horizontal="center" vertical="center"/>
    </xf>
    <xf numFmtId="0" fontId="57" fillId="8" borderId="30" xfId="12" applyFont="1" applyFill="1" applyBorder="1" applyAlignment="1">
      <alignment horizontal="center" vertical="center"/>
    </xf>
    <xf numFmtId="165" fontId="25" fillId="8" borderId="31" xfId="12" applyNumberFormat="1" applyFont="1" applyFill="1" applyBorder="1" applyAlignment="1">
      <alignment horizontal="center" vertical="center"/>
    </xf>
    <xf numFmtId="165" fontId="24" fillId="0" borderId="30" xfId="12" applyNumberFormat="1" applyFont="1" applyBorder="1" applyAlignment="1">
      <alignment vertical="center"/>
    </xf>
    <xf numFmtId="0" fontId="13" fillId="10" borderId="22" xfId="6" applyFont="1" applyFill="1" applyBorder="1" applyAlignment="1">
      <alignment vertical="center"/>
    </xf>
    <xf numFmtId="0" fontId="13" fillId="0" borderId="0" xfId="6" applyFont="1" applyAlignment="1">
      <alignment vertical="center"/>
    </xf>
    <xf numFmtId="0" fontId="13" fillId="10" borderId="23" xfId="6" applyFont="1" applyFill="1" applyBorder="1" applyAlignment="1">
      <alignment vertical="center"/>
    </xf>
    <xf numFmtId="0" fontId="59" fillId="7" borderId="0" xfId="0" applyFont="1" applyFill="1" applyAlignment="1">
      <alignment vertical="center"/>
    </xf>
    <xf numFmtId="0" fontId="13" fillId="0" borderId="0" xfId="0" applyFont="1" applyAlignment="1">
      <alignment vertical="center"/>
    </xf>
    <xf numFmtId="0" fontId="13" fillId="10" borderId="35" xfId="6" applyFont="1" applyFill="1" applyBorder="1" applyAlignment="1">
      <alignment vertical="center"/>
    </xf>
    <xf numFmtId="0" fontId="22" fillId="0" borderId="0" xfId="0" applyFont="1" applyAlignment="1">
      <alignment horizontal="center" vertical="center"/>
    </xf>
    <xf numFmtId="0" fontId="22" fillId="0" borderId="30" xfId="0" applyFont="1" applyBorder="1" applyAlignment="1">
      <alignment horizontal="center" vertical="center"/>
    </xf>
    <xf numFmtId="0" fontId="13" fillId="0" borderId="30" xfId="0" applyFont="1" applyBorder="1" applyAlignment="1">
      <alignment horizontal="center" vertical="center"/>
    </xf>
    <xf numFmtId="0" fontId="59" fillId="0" borderId="30" xfId="0" applyFont="1" applyBorder="1" applyAlignment="1">
      <alignment horizontal="center" vertical="center"/>
    </xf>
    <xf numFmtId="165" fontId="23" fillId="8" borderId="24" xfId="12" applyNumberFormat="1" applyFont="1" applyFill="1" applyBorder="1" applyAlignment="1">
      <alignment horizontal="center" vertical="center"/>
    </xf>
    <xf numFmtId="165" fontId="23" fillId="8" borderId="30" xfId="12" applyNumberFormat="1" applyFont="1" applyFill="1" applyBorder="1" applyAlignment="1">
      <alignment horizontal="center" vertical="center"/>
    </xf>
    <xf numFmtId="0" fontId="23" fillId="8" borderId="30" xfId="12" applyFont="1" applyFill="1" applyBorder="1" applyAlignment="1">
      <alignment horizontal="center" vertical="center"/>
    </xf>
    <xf numFmtId="0" fontId="60" fillId="8" borderId="30" xfId="12" applyFont="1" applyFill="1" applyBorder="1" applyAlignment="1">
      <alignment horizontal="center" vertical="center"/>
    </xf>
    <xf numFmtId="165" fontId="23" fillId="8" borderId="31" xfId="12" applyNumberFormat="1" applyFont="1" applyFill="1" applyBorder="1" applyAlignment="1">
      <alignment horizontal="center" vertical="center"/>
    </xf>
    <xf numFmtId="17" fontId="61" fillId="19" borderId="47" xfId="0" applyNumberFormat="1" applyFont="1" applyFill="1" applyBorder="1" applyAlignment="1">
      <alignment horizontal="center" vertical="center" wrapText="1"/>
    </xf>
    <xf numFmtId="165" fontId="21" fillId="18" borderId="48" xfId="12" applyNumberFormat="1" applyFont="1" applyFill="1" applyBorder="1" applyAlignment="1">
      <alignment horizontal="center" vertical="center" wrapText="1"/>
    </xf>
    <xf numFmtId="2" fontId="27" fillId="0" borderId="15" xfId="0" applyNumberFormat="1" applyFont="1" applyBorder="1" applyAlignment="1">
      <alignment horizontal="center" vertical="center" wrapText="1"/>
    </xf>
    <xf numFmtId="2" fontId="27" fillId="0" borderId="15" xfId="0" applyNumberFormat="1" applyFont="1" applyBorder="1" applyAlignment="1">
      <alignment horizontal="center" vertical="center"/>
    </xf>
    <xf numFmtId="2" fontId="27" fillId="0" borderId="49" xfId="0" applyNumberFormat="1" applyFont="1" applyBorder="1" applyAlignment="1">
      <alignment horizontal="center" vertical="center"/>
    </xf>
    <xf numFmtId="169" fontId="27" fillId="0" borderId="49" xfId="0" applyNumberFormat="1" applyFont="1" applyBorder="1" applyAlignment="1">
      <alignment horizontal="center" vertical="center"/>
    </xf>
    <xf numFmtId="0" fontId="27" fillId="0" borderId="0" xfId="0" applyFont="1" applyAlignment="1">
      <alignment horizontal="center" vertical="center"/>
    </xf>
    <xf numFmtId="0" fontId="27" fillId="0" borderId="0" xfId="0" applyFont="1" applyAlignment="1">
      <alignment horizontal="center" vertical="center" wrapText="1"/>
    </xf>
    <xf numFmtId="169" fontId="27" fillId="0" borderId="0" xfId="0" applyNumberFormat="1" applyFont="1" applyAlignment="1">
      <alignment horizontal="center" vertical="center"/>
    </xf>
    <xf numFmtId="2" fontId="27" fillId="0" borderId="30" xfId="0" applyNumberFormat="1" applyFont="1" applyBorder="1" applyAlignment="1">
      <alignment horizontal="center" vertical="center" wrapText="1"/>
    </xf>
    <xf numFmtId="0" fontId="27" fillId="0" borderId="0" xfId="0" applyFont="1"/>
    <xf numFmtId="0" fontId="27" fillId="10" borderId="51" xfId="0" applyFont="1" applyFill="1" applyBorder="1" applyAlignment="1">
      <alignment horizontal="center" vertical="center" wrapText="1"/>
    </xf>
    <xf numFmtId="0" fontId="27" fillId="0" borderId="0" xfId="0" applyFont="1" applyAlignment="1">
      <alignment vertical="center"/>
    </xf>
    <xf numFmtId="0" fontId="29" fillId="0" borderId="0" xfId="0" applyFont="1" applyAlignment="1">
      <alignment vertical="center"/>
    </xf>
    <xf numFmtId="0" fontId="20" fillId="20" borderId="0" xfId="0" applyFont="1" applyFill="1" applyAlignment="1">
      <alignment horizontal="center" vertical="center" wrapText="1"/>
    </xf>
    <xf numFmtId="2" fontId="20" fillId="0" borderId="0" xfId="0" applyNumberFormat="1" applyFont="1" applyAlignment="1">
      <alignment vertical="center"/>
    </xf>
    <xf numFmtId="0" fontId="29" fillId="0" borderId="24" xfId="0" applyFont="1" applyBorder="1" applyAlignment="1">
      <alignment horizontal="center" vertical="center"/>
    </xf>
    <xf numFmtId="0" fontId="29" fillId="0" borderId="38" xfId="0" applyFont="1" applyBorder="1" applyAlignment="1">
      <alignment horizontal="center" vertical="center"/>
    </xf>
    <xf numFmtId="0" fontId="29" fillId="0" borderId="30" xfId="0" applyFont="1" applyBorder="1" applyAlignment="1">
      <alignment horizontal="center" vertical="center" wrapText="1"/>
    </xf>
    <xf numFmtId="0" fontId="29" fillId="0" borderId="30" xfId="0" applyFont="1" applyBorder="1" applyAlignment="1">
      <alignment horizontal="justify" vertical="center"/>
    </xf>
    <xf numFmtId="165" fontId="29" fillId="0" borderId="30" xfId="26" applyFont="1" applyFill="1" applyBorder="1" applyAlignment="1">
      <alignment horizontal="center" vertical="center" wrapText="1"/>
    </xf>
    <xf numFmtId="2" fontId="29" fillId="0" borderId="30" xfId="0" applyNumberFormat="1" applyFont="1" applyBorder="1" applyAlignment="1">
      <alignment horizontal="center" vertical="center" wrapText="1"/>
    </xf>
    <xf numFmtId="164" fontId="29" fillId="0" borderId="30" xfId="1" applyFont="1" applyFill="1" applyBorder="1" applyAlignment="1">
      <alignment vertical="center"/>
    </xf>
    <xf numFmtId="164" fontId="29" fillId="0" borderId="30" xfId="1" applyFont="1" applyFill="1" applyBorder="1" applyAlignment="1">
      <alignment horizontal="right" vertical="center"/>
    </xf>
    <xf numFmtId="164" fontId="29" fillId="0" borderId="31" xfId="1" applyFont="1" applyFill="1" applyBorder="1" applyAlignment="1">
      <alignment vertical="center"/>
    </xf>
    <xf numFmtId="49" fontId="29" fillId="0" borderId="30" xfId="0" applyNumberFormat="1" applyFont="1" applyBorder="1" applyAlignment="1">
      <alignment horizontal="center" vertical="center" wrapText="1"/>
    </xf>
    <xf numFmtId="0" fontId="29" fillId="0" borderId="30" xfId="0" applyFont="1" applyBorder="1" applyAlignment="1">
      <alignment horizontal="justify" vertical="center" wrapText="1"/>
    </xf>
    <xf numFmtId="0" fontId="29" fillId="0" borderId="30" xfId="0" applyFont="1" applyBorder="1" applyAlignment="1">
      <alignment horizontal="center" vertical="center"/>
    </xf>
    <xf numFmtId="0" fontId="29" fillId="0" borderId="39" xfId="0" applyFont="1" applyBorder="1" applyAlignment="1">
      <alignment horizontal="justify" vertical="center" wrapText="1"/>
    </xf>
    <xf numFmtId="4" fontId="29" fillId="0" borderId="30" xfId="0" applyNumberFormat="1" applyFont="1" applyBorder="1" applyAlignment="1">
      <alignment vertical="center" wrapText="1"/>
    </xf>
    <xf numFmtId="164" fontId="29" fillId="0" borderId="30" xfId="1" applyFont="1" applyFill="1" applyBorder="1" applyAlignment="1">
      <alignment horizontal="center" vertical="center" wrapText="1"/>
    </xf>
    <xf numFmtId="0" fontId="29" fillId="0" borderId="38" xfId="0" applyFont="1" applyBorder="1" applyAlignment="1">
      <alignment horizontal="center" vertical="center" wrapText="1"/>
    </xf>
    <xf numFmtId="0" fontId="29" fillId="3" borderId="36" xfId="0" applyFont="1" applyFill="1" applyBorder="1" applyAlignment="1">
      <alignment horizontal="center" vertical="center"/>
    </xf>
    <xf numFmtId="49" fontId="29" fillId="0" borderId="30" xfId="26" applyNumberFormat="1" applyFont="1" applyFill="1" applyBorder="1" applyAlignment="1">
      <alignment horizontal="center" vertical="center" wrapText="1"/>
    </xf>
    <xf numFmtId="0" fontId="29" fillId="0" borderId="30" xfId="0" quotePrefix="1" applyFont="1" applyBorder="1" applyAlignment="1">
      <alignment horizontal="justify" vertical="center" wrapText="1"/>
    </xf>
    <xf numFmtId="0" fontId="20" fillId="3" borderId="24" xfId="0" applyFont="1" applyFill="1" applyBorder="1" applyAlignment="1">
      <alignment horizontal="center" vertical="center" wrapText="1"/>
    </xf>
    <xf numFmtId="0" fontId="20" fillId="10" borderId="30" xfId="0" applyFont="1" applyFill="1" applyBorder="1" applyAlignment="1">
      <alignment horizontal="center" vertical="center" wrapText="1"/>
    </xf>
    <xf numFmtId="0" fontId="20" fillId="10" borderId="30" xfId="0" applyFont="1" applyFill="1" applyBorder="1" applyAlignment="1">
      <alignment horizontal="justify" vertical="center" wrapText="1"/>
    </xf>
    <xf numFmtId="164" fontId="29" fillId="0" borderId="30" xfId="1" applyFont="1" applyFill="1" applyBorder="1" applyAlignment="1">
      <alignment horizontal="right" vertical="center" wrapText="1"/>
    </xf>
    <xf numFmtId="0" fontId="29" fillId="3" borderId="24" xfId="0" applyFont="1" applyFill="1" applyBorder="1" applyAlignment="1">
      <alignment horizontal="center" vertical="center" wrapText="1"/>
    </xf>
    <xf numFmtId="4" fontId="29" fillId="0" borderId="30" xfId="1" applyNumberFormat="1" applyFont="1" applyFill="1" applyBorder="1" applyAlignment="1">
      <alignment horizontal="right" vertical="center" wrapText="1"/>
    </xf>
    <xf numFmtId="0" fontId="20" fillId="0" borderId="30" xfId="0" applyFont="1" applyBorder="1" applyAlignment="1">
      <alignment horizontal="center" vertical="center"/>
    </xf>
    <xf numFmtId="49" fontId="20" fillId="0" borderId="30" xfId="0" applyNumberFormat="1" applyFont="1" applyBorder="1" applyAlignment="1">
      <alignment horizontal="center" vertical="center" wrapText="1"/>
    </xf>
    <xf numFmtId="0" fontId="20" fillId="0" borderId="30" xfId="0" applyFont="1" applyBorder="1" applyAlignment="1">
      <alignment horizontal="justify" vertical="center" wrapText="1"/>
    </xf>
    <xf numFmtId="164" fontId="20" fillId="8" borderId="31" xfId="1" applyFont="1" applyFill="1" applyBorder="1" applyAlignment="1">
      <alignment horizontal="right" vertical="center"/>
    </xf>
    <xf numFmtId="43" fontId="29" fillId="0" borderId="0" xfId="0" applyNumberFormat="1" applyFont="1" applyAlignment="1">
      <alignment vertical="center"/>
    </xf>
    <xf numFmtId="0" fontId="20" fillId="8" borderId="36" xfId="0" applyFont="1" applyFill="1" applyBorder="1" applyAlignment="1">
      <alignment horizontal="center" vertical="center" wrapText="1"/>
    </xf>
    <xf numFmtId="0" fontId="29" fillId="10" borderId="0" xfId="0" applyFont="1" applyFill="1" applyAlignment="1">
      <alignment vertical="center"/>
    </xf>
    <xf numFmtId="0" fontId="29" fillId="10" borderId="36" xfId="0" applyFont="1" applyFill="1" applyBorder="1" applyAlignment="1">
      <alignment horizontal="center" vertical="center" wrapText="1"/>
    </xf>
    <xf numFmtId="0" fontId="29" fillId="10" borderId="30" xfId="0" applyFont="1" applyFill="1" applyBorder="1" applyAlignment="1">
      <alignment horizontal="center" vertical="center"/>
    </xf>
    <xf numFmtId="0" fontId="29" fillId="10" borderId="39" xfId="0" applyFont="1" applyFill="1" applyBorder="1" applyAlignment="1">
      <alignment horizontal="justify" vertical="center" wrapText="1"/>
    </xf>
    <xf numFmtId="4" fontId="29" fillId="10" borderId="30" xfId="0" applyNumberFormat="1" applyFont="1" applyFill="1" applyBorder="1" applyAlignment="1">
      <alignment vertical="center" wrapText="1"/>
    </xf>
    <xf numFmtId="165" fontId="29" fillId="10" borderId="30" xfId="26" applyFont="1" applyFill="1" applyBorder="1" applyAlignment="1">
      <alignment horizontal="center" vertical="center" wrapText="1"/>
    </xf>
    <xf numFmtId="164" fontId="29" fillId="10" borderId="30" xfId="1" applyFont="1" applyFill="1" applyBorder="1" applyAlignment="1">
      <alignment vertical="center" wrapText="1"/>
    </xf>
    <xf numFmtId="164" fontId="29" fillId="0" borderId="30" xfId="1" applyFont="1" applyFill="1" applyBorder="1" applyAlignment="1">
      <alignment vertical="center" wrapText="1"/>
    </xf>
    <xf numFmtId="44" fontId="29" fillId="0" borderId="30" xfId="1" applyNumberFormat="1" applyFont="1" applyFill="1" applyBorder="1" applyAlignment="1">
      <alignment vertical="center" wrapText="1"/>
    </xf>
    <xf numFmtId="44" fontId="29" fillId="0" borderId="30" xfId="1" applyNumberFormat="1" applyFont="1" applyFill="1" applyBorder="1" applyAlignment="1">
      <alignment horizontal="right" vertical="center" wrapText="1"/>
    </xf>
    <xf numFmtId="0" fontId="20" fillId="8" borderId="24" xfId="0" applyFont="1" applyFill="1" applyBorder="1" applyAlignment="1">
      <alignment horizontal="center" vertical="center" wrapText="1"/>
    </xf>
    <xf numFmtId="0" fontId="20" fillId="8" borderId="38"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29" fillId="0" borderId="24" xfId="0" applyFont="1" applyBorder="1" applyAlignment="1">
      <alignment horizontal="center" vertical="center" wrapText="1"/>
    </xf>
    <xf numFmtId="164" fontId="29" fillId="0" borderId="0" xfId="1" applyFont="1" applyAlignment="1">
      <alignment vertical="center"/>
    </xf>
    <xf numFmtId="165" fontId="21" fillId="18" borderId="53" xfId="12" applyNumberFormat="1" applyFont="1" applyFill="1" applyBorder="1" applyAlignment="1">
      <alignment horizontal="center" vertical="center" wrapText="1"/>
    </xf>
    <xf numFmtId="17" fontId="62" fillId="19" borderId="47" xfId="0" applyNumberFormat="1" applyFont="1" applyFill="1" applyBorder="1" applyAlignment="1">
      <alignment horizontal="center" vertical="center" wrapText="1"/>
    </xf>
    <xf numFmtId="165" fontId="24" fillId="18" borderId="54" xfId="12" applyNumberFormat="1" applyFont="1" applyFill="1" applyBorder="1" applyAlignment="1">
      <alignment horizontal="center" vertical="center" wrapText="1"/>
    </xf>
    <xf numFmtId="165" fontId="24" fillId="18" borderId="53" xfId="12" applyNumberFormat="1" applyFont="1" applyFill="1" applyBorder="1" applyAlignment="1">
      <alignment horizontal="center" vertical="center" wrapText="1"/>
    </xf>
    <xf numFmtId="165" fontId="21" fillId="18" borderId="29" xfId="12" applyNumberFormat="1" applyFont="1" applyFill="1" applyBorder="1" applyAlignment="1">
      <alignment horizontal="center" vertical="center" wrapText="1"/>
    </xf>
    <xf numFmtId="165" fontId="21" fillId="18" borderId="52" xfId="12" applyNumberFormat="1" applyFont="1" applyFill="1" applyBorder="1" applyAlignment="1">
      <alignment horizontal="center" vertical="center" wrapText="1"/>
    </xf>
    <xf numFmtId="0" fontId="29" fillId="10" borderId="22" xfId="0" applyFont="1" applyFill="1" applyBorder="1"/>
    <xf numFmtId="0" fontId="29" fillId="10" borderId="43" xfId="0" applyFont="1" applyFill="1" applyBorder="1"/>
    <xf numFmtId="0" fontId="29" fillId="10" borderId="43" xfId="0" applyFont="1" applyFill="1" applyBorder="1" applyAlignment="1">
      <alignment horizontal="center"/>
    </xf>
    <xf numFmtId="0" fontId="29" fillId="10" borderId="44" xfId="0" applyFont="1" applyFill="1" applyBorder="1"/>
    <xf numFmtId="0" fontId="29" fillId="10" borderId="0" xfId="0" applyFont="1" applyFill="1"/>
    <xf numFmtId="0" fontId="29" fillId="0" borderId="0" xfId="0" applyFont="1"/>
    <xf numFmtId="0" fontId="32" fillId="10" borderId="23" xfId="0" applyFont="1" applyFill="1" applyBorder="1" applyAlignment="1">
      <alignment horizontal="center"/>
    </xf>
    <xf numFmtId="0" fontId="32" fillId="10" borderId="51" xfId="0" applyFont="1" applyFill="1" applyBorder="1" applyAlignment="1">
      <alignment horizontal="center"/>
    </xf>
    <xf numFmtId="0" fontId="32" fillId="10" borderId="52" xfId="0" applyFont="1" applyFill="1" applyBorder="1" applyAlignment="1">
      <alignment horizontal="center"/>
    </xf>
    <xf numFmtId="0" fontId="32" fillId="10" borderId="0" xfId="0" applyFont="1" applyFill="1" applyAlignment="1">
      <alignment horizontal="center"/>
    </xf>
    <xf numFmtId="165" fontId="31" fillId="9" borderId="0" xfId="12" applyNumberFormat="1" applyFont="1" applyFill="1" applyAlignment="1">
      <alignment horizontal="center" vertical="center" wrapText="1"/>
    </xf>
    <xf numFmtId="0" fontId="24" fillId="0" borderId="0" xfId="0" applyFont="1" applyAlignment="1">
      <alignment horizontal="center" vertical="top"/>
    </xf>
    <xf numFmtId="0" fontId="31" fillId="21" borderId="0" xfId="0" applyFont="1" applyFill="1" applyAlignment="1">
      <alignment horizontal="center" vertical="center"/>
    </xf>
    <xf numFmtId="0" fontId="32" fillId="0" borderId="0" xfId="0" applyFont="1"/>
    <xf numFmtId="0" fontId="32" fillId="21" borderId="30" xfId="0" applyFont="1" applyFill="1" applyBorder="1" applyAlignment="1">
      <alignment horizontal="center" vertical="center"/>
    </xf>
    <xf numFmtId="0" fontId="32" fillId="21" borderId="30" xfId="0" applyFont="1" applyFill="1" applyBorder="1" applyAlignment="1">
      <alignment horizontal="center" vertical="center" wrapText="1"/>
    </xf>
    <xf numFmtId="0" fontId="31" fillId="21" borderId="33" xfId="0" applyFont="1" applyFill="1" applyBorder="1" applyAlignment="1">
      <alignment horizontal="center" vertical="center"/>
    </xf>
    <xf numFmtId="2" fontId="31" fillId="21" borderId="55" xfId="0" applyNumberFormat="1" applyFont="1" applyFill="1" applyBorder="1" applyAlignment="1">
      <alignment horizontal="center" vertical="center"/>
    </xf>
    <xf numFmtId="0" fontId="31" fillId="21" borderId="33" xfId="0" applyFont="1" applyFill="1" applyBorder="1" applyAlignment="1">
      <alignment horizontal="center" vertical="center" wrapText="1"/>
    </xf>
    <xf numFmtId="2" fontId="31" fillId="21" borderId="0" xfId="0" applyNumberFormat="1" applyFont="1" applyFill="1" applyAlignment="1">
      <alignment horizontal="center" vertical="center"/>
    </xf>
    <xf numFmtId="0" fontId="32" fillId="0" borderId="56" xfId="0" applyFont="1" applyBorder="1" applyAlignment="1">
      <alignment horizontal="center" vertical="center" wrapText="1"/>
    </xf>
    <xf numFmtId="0" fontId="32" fillId="0" borderId="15" xfId="0" applyFont="1" applyBorder="1" applyAlignment="1">
      <alignment horizontal="center" vertical="center" wrapText="1"/>
    </xf>
    <xf numFmtId="4" fontId="32" fillId="0" borderId="57" xfId="0" applyNumberFormat="1" applyFont="1" applyBorder="1" applyAlignment="1">
      <alignment horizontal="center" vertical="center"/>
    </xf>
    <xf numFmtId="4" fontId="32" fillId="0" borderId="15" xfId="0" applyNumberFormat="1" applyFont="1" applyBorder="1" applyAlignment="1">
      <alignment horizontal="center" vertical="center"/>
    </xf>
    <xf numFmtId="4" fontId="32" fillId="0" borderId="49" xfId="0" applyNumberFormat="1" applyFont="1" applyBorder="1" applyAlignment="1">
      <alignment horizontal="center" vertical="center"/>
    </xf>
    <xf numFmtId="4" fontId="32" fillId="0" borderId="0" xfId="0" applyNumberFormat="1" applyFont="1" applyAlignment="1">
      <alignment horizontal="center" vertical="center"/>
    </xf>
    <xf numFmtId="4" fontId="32" fillId="0" borderId="30" xfId="0" applyNumberFormat="1" applyFont="1" applyBorder="1" applyAlignment="1">
      <alignment horizontal="center" vertical="center"/>
    </xf>
    <xf numFmtId="165" fontId="31" fillId="0" borderId="58" xfId="0" applyNumberFormat="1" applyFont="1" applyBorder="1" applyAlignment="1">
      <alignment horizontal="center" vertical="center"/>
    </xf>
    <xf numFmtId="165" fontId="31" fillId="0" borderId="0" xfId="0" applyNumberFormat="1" applyFont="1" applyAlignment="1">
      <alignment horizontal="center" vertical="center"/>
    </xf>
    <xf numFmtId="0" fontId="31" fillId="0" borderId="0" xfId="0" applyFont="1" applyAlignment="1">
      <alignment horizontal="center" vertical="center"/>
    </xf>
    <xf numFmtId="168" fontId="31" fillId="0" borderId="0" xfId="0" applyNumberFormat="1" applyFont="1" applyAlignment="1">
      <alignment horizontal="center" vertical="center"/>
    </xf>
    <xf numFmtId="0" fontId="32" fillId="0" borderId="0" xfId="0" applyFont="1" applyAlignment="1">
      <alignment horizontal="center"/>
    </xf>
    <xf numFmtId="0" fontId="32" fillId="0" borderId="15" xfId="0" applyFont="1" applyBorder="1" applyAlignment="1">
      <alignment horizontal="center" vertical="center"/>
    </xf>
    <xf numFmtId="4" fontId="32" fillId="0" borderId="45" xfId="0" applyNumberFormat="1" applyFont="1" applyBorder="1" applyAlignment="1">
      <alignment horizontal="center" vertical="center"/>
    </xf>
    <xf numFmtId="4" fontId="32" fillId="0" borderId="59" xfId="0" applyNumberFormat="1" applyFont="1" applyBorder="1" applyAlignment="1">
      <alignment horizontal="center" vertical="center"/>
    </xf>
    <xf numFmtId="0" fontId="32" fillId="0" borderId="0" xfId="0" applyFont="1" applyAlignment="1">
      <alignment horizontal="center" vertical="center"/>
    </xf>
    <xf numFmtId="0" fontId="32" fillId="0" borderId="30" xfId="0" applyFont="1" applyBorder="1" applyAlignment="1">
      <alignment horizontal="center" vertical="center" wrapText="1"/>
    </xf>
    <xf numFmtId="0" fontId="13" fillId="0" borderId="0" xfId="0" applyFont="1" applyAlignment="1">
      <alignment horizontal="center"/>
    </xf>
    <xf numFmtId="169" fontId="32" fillId="0" borderId="30" xfId="0" applyNumberFormat="1" applyFont="1" applyBorder="1" applyAlignment="1">
      <alignment horizontal="center" vertical="center" wrapText="1"/>
    </xf>
    <xf numFmtId="169" fontId="32" fillId="0" borderId="0" xfId="0" applyNumberFormat="1" applyFont="1" applyAlignment="1">
      <alignment horizontal="center" vertical="center" wrapText="1"/>
    </xf>
    <xf numFmtId="0" fontId="32" fillId="0" borderId="0" xfId="0" applyFont="1" applyAlignment="1">
      <alignment vertical="center"/>
    </xf>
    <xf numFmtId="0" fontId="32" fillId="0" borderId="23" xfId="0" applyFont="1" applyBorder="1" applyAlignment="1">
      <alignment vertical="center"/>
    </xf>
    <xf numFmtId="0" fontId="31" fillId="10" borderId="51" xfId="5" applyFont="1" applyFill="1" applyBorder="1" applyAlignment="1">
      <alignment vertical="center"/>
    </xf>
    <xf numFmtId="0" fontId="35" fillId="0" borderId="0" xfId="0" applyFont="1" applyAlignment="1">
      <alignment vertical="center"/>
    </xf>
    <xf numFmtId="165" fontId="36" fillId="21" borderId="30" xfId="21" applyNumberFormat="1" applyFont="1" applyFill="1" applyBorder="1" applyAlignment="1">
      <alignment horizontal="center" vertical="center" wrapText="1"/>
    </xf>
    <xf numFmtId="0" fontId="31" fillId="0" borderId="23" xfId="5" applyFont="1" applyBorder="1" applyAlignment="1">
      <alignment vertical="center"/>
    </xf>
    <xf numFmtId="0" fontId="31" fillId="0" borderId="51" xfId="5" applyFont="1" applyBorder="1" applyAlignment="1">
      <alignment vertical="center"/>
    </xf>
    <xf numFmtId="0" fontId="32" fillId="0" borderId="0" xfId="5" applyFont="1" applyAlignment="1">
      <alignment horizontal="center" vertical="center"/>
    </xf>
    <xf numFmtId="0" fontId="35" fillId="0" borderId="0" xfId="0" applyFont="1"/>
    <xf numFmtId="0" fontId="31" fillId="0" borderId="52" xfId="5" applyFont="1" applyBorder="1" applyAlignment="1">
      <alignment horizontal="center" vertical="center"/>
    </xf>
    <xf numFmtId="0" fontId="21" fillId="0" borderId="30" xfId="0" applyFont="1" applyBorder="1" applyAlignment="1">
      <alignment horizontal="center" vertical="center"/>
    </xf>
    <xf numFmtId="0" fontId="21" fillId="0" borderId="24" xfId="0" applyFont="1" applyBorder="1" applyAlignment="1">
      <alignment horizontal="center"/>
    </xf>
    <xf numFmtId="0" fontId="21" fillId="0" borderId="31" xfId="0" applyFont="1" applyBorder="1" applyAlignment="1">
      <alignment horizontal="center"/>
    </xf>
    <xf numFmtId="0" fontId="21" fillId="0" borderId="38" xfId="0" applyFont="1" applyBorder="1" applyAlignment="1">
      <alignment horizontal="center"/>
    </xf>
    <xf numFmtId="10" fontId="13" fillId="0" borderId="24" xfId="18" applyNumberFormat="1" applyFont="1" applyFill="1" applyBorder="1" applyAlignment="1" applyProtection="1">
      <alignment horizontal="right" vertical="center"/>
    </xf>
    <xf numFmtId="176" fontId="13" fillId="0" borderId="31" xfId="25" applyNumberFormat="1" applyFont="1" applyFill="1" applyBorder="1" applyAlignment="1" applyProtection="1">
      <alignment horizontal="right" vertical="center"/>
    </xf>
    <xf numFmtId="10" fontId="55" fillId="0" borderId="0" xfId="0" applyNumberFormat="1" applyFont="1"/>
    <xf numFmtId="176" fontId="13" fillId="22" borderId="31" xfId="25" applyNumberFormat="1" applyFont="1" applyFill="1" applyBorder="1" applyAlignment="1" applyProtection="1">
      <alignment horizontal="right" vertical="center"/>
    </xf>
    <xf numFmtId="10" fontId="13" fillId="22" borderId="38" xfId="17" applyNumberFormat="1" applyFont="1" applyFill="1" applyBorder="1" applyAlignment="1" applyProtection="1">
      <alignment horizontal="right" vertical="center"/>
    </xf>
    <xf numFmtId="10" fontId="13" fillId="0" borderId="38" xfId="17" applyNumberFormat="1" applyFont="1" applyFill="1" applyBorder="1" applyAlignment="1" applyProtection="1">
      <alignment horizontal="right" vertical="center"/>
    </xf>
    <xf numFmtId="10" fontId="13" fillId="0" borderId="24" xfId="18" applyNumberFormat="1" applyFont="1" applyFill="1" applyBorder="1" applyAlignment="1" applyProtection="1">
      <alignment horizontal="right"/>
    </xf>
    <xf numFmtId="176" fontId="13" fillId="0" borderId="31" xfId="25" applyNumberFormat="1" applyFont="1" applyFill="1" applyBorder="1" applyAlignment="1" applyProtection="1">
      <alignment horizontal="right"/>
    </xf>
    <xf numFmtId="10" fontId="13" fillId="0" borderId="38" xfId="17" applyNumberFormat="1" applyFont="1" applyFill="1" applyBorder="1" applyAlignment="1" applyProtection="1">
      <alignment horizontal="right"/>
    </xf>
    <xf numFmtId="10" fontId="13" fillId="23" borderId="38" xfId="17" applyNumberFormat="1" applyFont="1" applyFill="1" applyBorder="1" applyAlignment="1" applyProtection="1">
      <alignment horizontal="right"/>
    </xf>
    <xf numFmtId="176" fontId="13" fillId="23" borderId="31" xfId="25" applyNumberFormat="1" applyFont="1" applyFill="1" applyBorder="1" applyAlignment="1" applyProtection="1">
      <alignment horizontal="right"/>
    </xf>
    <xf numFmtId="0" fontId="21" fillId="0" borderId="33" xfId="0" applyFont="1" applyBorder="1" applyAlignment="1">
      <alignment horizontal="center" vertical="center"/>
    </xf>
    <xf numFmtId="175" fontId="21" fillId="0" borderId="34" xfId="25" applyFont="1" applyFill="1" applyBorder="1" applyAlignment="1" applyProtection="1">
      <alignment horizontal="center" vertical="center"/>
    </xf>
    <xf numFmtId="10" fontId="21" fillId="0" borderId="32" xfId="18" applyNumberFormat="1" applyFont="1" applyFill="1" applyBorder="1" applyAlignment="1" applyProtection="1">
      <alignment horizontal="center" vertical="center"/>
    </xf>
    <xf numFmtId="10" fontId="21" fillId="0" borderId="60" xfId="17" applyNumberFormat="1" applyFont="1" applyFill="1" applyBorder="1" applyAlignment="1" applyProtection="1">
      <alignment horizontal="center" vertical="center"/>
    </xf>
    <xf numFmtId="0" fontId="29" fillId="10" borderId="35" xfId="0" applyFont="1" applyFill="1" applyBorder="1" applyAlignment="1">
      <alignment horizontal="center" vertical="center" wrapText="1"/>
    </xf>
    <xf numFmtId="0" fontId="29" fillId="10" borderId="0" xfId="0" applyFont="1" applyFill="1" applyAlignment="1">
      <alignment horizontal="center" vertical="center" wrapText="1"/>
    </xf>
    <xf numFmtId="0" fontId="29" fillId="10" borderId="29" xfId="0" applyFont="1" applyFill="1" applyBorder="1" applyAlignment="1">
      <alignment horizontal="center" vertical="center" wrapText="1"/>
    </xf>
    <xf numFmtId="0" fontId="31" fillId="10" borderId="0" xfId="0" applyFont="1" applyFill="1" applyAlignment="1">
      <alignment horizontal="center"/>
    </xf>
    <xf numFmtId="0" fontId="55" fillId="10" borderId="35" xfId="0" applyFont="1" applyFill="1" applyBorder="1" applyAlignment="1">
      <alignment horizontal="center" vertical="center"/>
    </xf>
    <xf numFmtId="0" fontId="55" fillId="10" borderId="29" xfId="0" applyFont="1" applyFill="1" applyBorder="1" applyAlignment="1">
      <alignment horizontal="center" vertical="center"/>
    </xf>
    <xf numFmtId="0" fontId="52" fillId="8" borderId="45" xfId="0" applyFont="1" applyFill="1" applyBorder="1" applyAlignment="1">
      <alignment horizontal="center" vertical="center"/>
    </xf>
    <xf numFmtId="0" fontId="52" fillId="8" borderId="15" xfId="0" applyFont="1" applyFill="1" applyBorder="1" applyAlignment="1">
      <alignment horizontal="center" vertical="center"/>
    </xf>
    <xf numFmtId="165" fontId="21" fillId="0" borderId="0" xfId="12" applyNumberFormat="1" applyFont="1" applyAlignment="1">
      <alignment vertical="center" wrapText="1"/>
    </xf>
    <xf numFmtId="0" fontId="63" fillId="0" borderId="0" xfId="0" applyFont="1"/>
    <xf numFmtId="0" fontId="63" fillId="0" borderId="0" xfId="0" applyFont="1" applyAlignment="1">
      <alignment horizontal="right"/>
    </xf>
    <xf numFmtId="0" fontId="37" fillId="0" borderId="22" xfId="0" applyFont="1" applyBorder="1"/>
    <xf numFmtId="0" fontId="38" fillId="10" borderId="43" xfId="5" applyFont="1" applyFill="1" applyBorder="1" applyAlignment="1">
      <alignment vertical="center"/>
    </xf>
    <xf numFmtId="0" fontId="38" fillId="10" borderId="44" xfId="5" applyFont="1" applyFill="1" applyBorder="1" applyAlignment="1">
      <alignment vertical="center"/>
    </xf>
    <xf numFmtId="0" fontId="37" fillId="10" borderId="35" xfId="0" applyFont="1" applyFill="1" applyBorder="1" applyAlignment="1">
      <alignment horizontal="center" vertical="center" wrapText="1"/>
    </xf>
    <xf numFmtId="0" fontId="37" fillId="10" borderId="0" xfId="0" applyFont="1" applyFill="1" applyAlignment="1">
      <alignment horizontal="center" vertical="center" wrapText="1"/>
    </xf>
    <xf numFmtId="0" fontId="37" fillId="10" borderId="29" xfId="0" applyFont="1" applyFill="1" applyBorder="1" applyAlignment="1">
      <alignment horizontal="center" vertical="center" wrapText="1"/>
    </xf>
    <xf numFmtId="0" fontId="38" fillId="0" borderId="0" xfId="0" applyFont="1" applyAlignment="1">
      <alignment horizontal="center" vertical="center"/>
    </xf>
    <xf numFmtId="0" fontId="37" fillId="0" borderId="23" xfId="0" applyFont="1" applyBorder="1"/>
    <xf numFmtId="0" fontId="38" fillId="10" borderId="51" xfId="5" applyFont="1" applyFill="1" applyBorder="1" applyAlignment="1">
      <alignment vertical="center"/>
    </xf>
    <xf numFmtId="0" fontId="38" fillId="10" borderId="52" xfId="5" applyFont="1" applyFill="1" applyBorder="1" applyAlignment="1">
      <alignment vertical="center"/>
    </xf>
    <xf numFmtId="0" fontId="32" fillId="0" borderId="35" xfId="0" applyFont="1" applyBorder="1" applyAlignment="1">
      <alignment vertical="center"/>
    </xf>
    <xf numFmtId="0" fontId="32" fillId="10" borderId="35" xfId="0" applyFont="1" applyFill="1" applyBorder="1" applyAlignment="1">
      <alignment horizontal="center"/>
    </xf>
    <xf numFmtId="0" fontId="32" fillId="10" borderId="29" xfId="0" applyFont="1" applyFill="1" applyBorder="1" applyAlignment="1">
      <alignment horizontal="center"/>
    </xf>
    <xf numFmtId="0" fontId="29" fillId="0" borderId="0" xfId="0" applyFont="1" applyAlignment="1">
      <alignment horizontal="center" vertical="center"/>
    </xf>
    <xf numFmtId="0" fontId="13" fillId="0" borderId="35" xfId="0" applyFont="1" applyBorder="1"/>
    <xf numFmtId="0" fontId="31" fillId="21" borderId="34" xfId="0" applyFont="1" applyFill="1" applyBorder="1" applyAlignment="1">
      <alignment horizontal="center" vertical="center"/>
    </xf>
    <xf numFmtId="4" fontId="32" fillId="0" borderId="50" xfId="0" applyNumberFormat="1" applyFont="1" applyBorder="1" applyAlignment="1">
      <alignment horizontal="center" vertical="center"/>
    </xf>
    <xf numFmtId="0" fontId="31" fillId="0" borderId="35" xfId="0" applyFont="1" applyBorder="1" applyAlignment="1">
      <alignment vertical="center"/>
    </xf>
    <xf numFmtId="0" fontId="32" fillId="0" borderId="29" xfId="0" applyFont="1" applyBorder="1"/>
    <xf numFmtId="0" fontId="32" fillId="0" borderId="35" xfId="0" applyFont="1" applyBorder="1"/>
    <xf numFmtId="0" fontId="38" fillId="0" borderId="35" xfId="0" applyFont="1" applyBorder="1" applyAlignment="1">
      <alignment vertical="center"/>
    </xf>
    <xf numFmtId="165" fontId="21" fillId="0" borderId="31" xfId="12" applyNumberFormat="1" applyFont="1" applyBorder="1" applyAlignment="1">
      <alignment vertical="center"/>
    </xf>
    <xf numFmtId="0" fontId="56" fillId="0" borderId="35" xfId="0" applyFont="1" applyBorder="1" applyAlignment="1">
      <alignment horizontal="center" vertical="center"/>
    </xf>
    <xf numFmtId="0" fontId="52" fillId="0" borderId="35" xfId="0" applyFont="1" applyBorder="1" applyAlignment="1">
      <alignment horizontal="center" vertical="center"/>
    </xf>
    <xf numFmtId="0" fontId="52" fillId="8" borderId="61" xfId="0" applyFont="1" applyFill="1" applyBorder="1" applyAlignment="1">
      <alignment horizontal="center" vertical="center"/>
    </xf>
    <xf numFmtId="0" fontId="52" fillId="8" borderId="50" xfId="0" applyFont="1" applyFill="1" applyBorder="1" applyAlignment="1">
      <alignment horizontal="center" vertical="center"/>
    </xf>
    <xf numFmtId="0" fontId="12" fillId="10" borderId="0" xfId="0" applyFont="1" applyFill="1" applyAlignment="1" applyProtection="1">
      <alignment vertical="center"/>
      <protection locked="0"/>
    </xf>
    <xf numFmtId="0" fontId="14" fillId="0" borderId="35" xfId="9" applyFont="1" applyBorder="1" applyAlignment="1">
      <alignment horizontal="center" vertical="center"/>
    </xf>
    <xf numFmtId="0" fontId="17" fillId="0" borderId="36" xfId="0" applyFont="1" applyBorder="1" applyAlignment="1">
      <alignment horizontal="center" vertical="center"/>
    </xf>
    <xf numFmtId="2" fontId="17" fillId="0" borderId="31" xfId="0" applyNumberFormat="1" applyFont="1" applyBorder="1" applyAlignment="1">
      <alignment horizontal="center" vertical="center"/>
    </xf>
    <xf numFmtId="2" fontId="17" fillId="8" borderId="31" xfId="0" applyNumberFormat="1" applyFont="1" applyFill="1" applyBorder="1" applyAlignment="1">
      <alignment horizontal="center" vertical="center"/>
    </xf>
    <xf numFmtId="0" fontId="17" fillId="0" borderId="24" xfId="0" applyFont="1" applyBorder="1" applyAlignment="1">
      <alignment horizontal="center" vertical="center"/>
    </xf>
    <xf numFmtId="0" fontId="17" fillId="0" borderId="31" xfId="0" applyFont="1" applyBorder="1" applyAlignment="1">
      <alignment horizontal="center" vertical="center" wrapText="1"/>
    </xf>
    <xf numFmtId="0" fontId="17" fillId="0" borderId="62" xfId="0" applyFont="1" applyBorder="1" applyAlignment="1">
      <alignment horizontal="center" vertical="center"/>
    </xf>
    <xf numFmtId="2" fontId="17" fillId="0" borderId="34" xfId="0" applyNumberFormat="1" applyFont="1" applyBorder="1" applyAlignment="1">
      <alignment horizontal="center" vertical="center"/>
    </xf>
    <xf numFmtId="169" fontId="12" fillId="18" borderId="63" xfId="12" applyNumberFormat="1" applyFont="1" applyFill="1" applyBorder="1" applyAlignment="1">
      <alignment vertical="center" wrapText="1"/>
    </xf>
    <xf numFmtId="0" fontId="29" fillId="0" borderId="22" xfId="0" applyFont="1" applyBorder="1" applyAlignment="1">
      <alignment vertical="center"/>
    </xf>
    <xf numFmtId="0" fontId="29" fillId="0" borderId="43" xfId="0" applyFont="1" applyBorder="1" applyAlignment="1">
      <alignment vertical="center"/>
    </xf>
    <xf numFmtId="0" fontId="29" fillId="0" borderId="35" xfId="0" applyFont="1" applyBorder="1" applyAlignment="1">
      <alignment vertical="center"/>
    </xf>
    <xf numFmtId="0" fontId="29" fillId="10" borderId="35" xfId="0" applyFont="1" applyFill="1" applyBorder="1" applyAlignment="1">
      <alignment vertical="center"/>
    </xf>
    <xf numFmtId="0" fontId="29" fillId="0" borderId="41" xfId="0" applyFont="1" applyBorder="1" applyAlignment="1">
      <alignment vertical="center"/>
    </xf>
    <xf numFmtId="0" fontId="29" fillId="0" borderId="42" xfId="0" applyFont="1" applyBorder="1" applyAlignment="1">
      <alignment vertical="center"/>
    </xf>
    <xf numFmtId="164" fontId="20" fillId="8" borderId="34" xfId="1" applyFont="1" applyFill="1" applyBorder="1" applyAlignment="1">
      <alignment horizontal="right" vertical="center"/>
    </xf>
    <xf numFmtId="0" fontId="22" fillId="0" borderId="38" xfId="0" applyFont="1" applyBorder="1" applyAlignment="1">
      <alignment horizontal="center" vertical="center"/>
    </xf>
    <xf numFmtId="1" fontId="23" fillId="0" borderId="30" xfId="0" applyNumberFormat="1" applyFont="1" applyBorder="1" applyAlignment="1">
      <alignment horizontal="center" vertical="center"/>
    </xf>
    <xf numFmtId="0" fontId="23" fillId="0" borderId="30" xfId="0" applyFont="1" applyBorder="1" applyAlignment="1">
      <alignment horizontal="center" vertical="center"/>
    </xf>
    <xf numFmtId="169" fontId="64" fillId="0" borderId="30" xfId="0" applyNumberFormat="1" applyFont="1" applyBorder="1" applyAlignment="1">
      <alignment horizontal="center" vertical="center"/>
    </xf>
    <xf numFmtId="169" fontId="65" fillId="0" borderId="30" xfId="0" applyNumberFormat="1" applyFont="1" applyBorder="1" applyAlignment="1">
      <alignment horizontal="center" vertical="center"/>
    </xf>
    <xf numFmtId="0" fontId="63" fillId="0" borderId="0" xfId="0" applyFont="1" applyAlignment="1">
      <alignment horizontal="center"/>
    </xf>
    <xf numFmtId="0" fontId="20" fillId="0" borderId="39" xfId="0" applyFont="1" applyBorder="1" applyAlignment="1">
      <alignment horizontal="justify" vertical="center" wrapText="1"/>
    </xf>
    <xf numFmtId="0" fontId="20" fillId="10" borderId="39" xfId="0" applyFont="1" applyFill="1" applyBorder="1" applyAlignment="1">
      <alignment horizontal="justify" vertical="center" wrapText="1"/>
    </xf>
    <xf numFmtId="0" fontId="20" fillId="10" borderId="36" xfId="0" applyFont="1" applyFill="1" applyBorder="1" applyAlignment="1">
      <alignment horizontal="center" vertical="center" wrapText="1"/>
    </xf>
    <xf numFmtId="0" fontId="39" fillId="0" borderId="14" xfId="0" applyFont="1" applyBorder="1" applyAlignment="1">
      <alignment horizontal="center" vertical="center"/>
    </xf>
    <xf numFmtId="0" fontId="39" fillId="0" borderId="64" xfId="5" applyFont="1" applyBorder="1" applyAlignment="1">
      <alignment horizontal="left" vertical="center" wrapText="1"/>
    </xf>
    <xf numFmtId="2" fontId="39" fillId="0" borderId="64" xfId="5" applyNumberFormat="1" applyFont="1" applyBorder="1" applyAlignment="1">
      <alignment horizontal="center" vertical="center" wrapText="1"/>
    </xf>
    <xf numFmtId="4" fontId="39" fillId="0" borderId="15" xfId="5" applyNumberFormat="1" applyFont="1" applyBorder="1" applyAlignment="1">
      <alignment horizontal="center" vertical="center"/>
    </xf>
    <xf numFmtId="4" fontId="39" fillId="0" borderId="49" xfId="5" applyNumberFormat="1" applyFont="1" applyBorder="1" applyAlignment="1">
      <alignment horizontal="center" vertical="center"/>
    </xf>
    <xf numFmtId="4" fontId="39" fillId="0" borderId="65" xfId="5" applyNumberFormat="1" applyFont="1" applyBorder="1" applyAlignment="1">
      <alignment horizontal="center" vertical="center"/>
    </xf>
    <xf numFmtId="4" fontId="40" fillId="9" borderId="58" xfId="30" applyNumberFormat="1" applyFont="1" applyFill="1" applyBorder="1" applyAlignment="1">
      <alignment horizontal="center" vertical="center"/>
    </xf>
    <xf numFmtId="0" fontId="66" fillId="21" borderId="30" xfId="5" applyFont="1" applyFill="1" applyBorder="1" applyAlignment="1">
      <alignment horizontal="center" vertical="center" wrapText="1"/>
    </xf>
    <xf numFmtId="0" fontId="66" fillId="21" borderId="39" xfId="5" applyFont="1" applyFill="1" applyBorder="1" applyAlignment="1">
      <alignment horizontal="center" vertical="center" wrapText="1"/>
    </xf>
    <xf numFmtId="0" fontId="66" fillId="21" borderId="38" xfId="5" applyFont="1" applyFill="1" applyBorder="1" applyAlignment="1">
      <alignment horizontal="center" vertical="center" wrapText="1"/>
    </xf>
    <xf numFmtId="165" fontId="66" fillId="21" borderId="30" xfId="21" applyNumberFormat="1" applyFont="1" applyFill="1" applyBorder="1" applyAlignment="1">
      <alignment horizontal="center" vertical="center" wrapText="1"/>
    </xf>
    <xf numFmtId="2" fontId="66" fillId="21" borderId="30" xfId="5" applyNumberFormat="1" applyFont="1" applyFill="1" applyBorder="1" applyAlignment="1">
      <alignment horizontal="center" vertical="center" wrapText="1"/>
    </xf>
    <xf numFmtId="0" fontId="66" fillId="21" borderId="37" xfId="5" applyFont="1" applyFill="1" applyBorder="1" applyAlignment="1">
      <alignment horizontal="center" vertical="center" wrapText="1"/>
    </xf>
    <xf numFmtId="2" fontId="66" fillId="21" borderId="39" xfId="5" applyNumberFormat="1" applyFont="1" applyFill="1" applyBorder="1" applyAlignment="1">
      <alignment horizontal="center" vertical="center" wrapText="1"/>
    </xf>
    <xf numFmtId="0" fontId="66" fillId="0" borderId="66" xfId="5" applyFont="1" applyBorder="1" applyAlignment="1">
      <alignment horizontal="center" vertical="center" wrapText="1"/>
    </xf>
    <xf numFmtId="0" fontId="66" fillId="0" borderId="67" xfId="5" applyFont="1" applyBorder="1" applyAlignment="1">
      <alignment horizontal="center" vertical="center" wrapText="1"/>
    </xf>
    <xf numFmtId="0" fontId="66" fillId="21" borderId="66" xfId="5" quotePrefix="1" applyFont="1" applyFill="1" applyBorder="1" applyAlignment="1">
      <alignment horizontal="center" vertical="center" wrapText="1"/>
    </xf>
    <xf numFmtId="0" fontId="66" fillId="21" borderId="66" xfId="5" applyFont="1" applyFill="1" applyBorder="1" applyAlignment="1">
      <alignment horizontal="center" vertical="center" wrapText="1"/>
    </xf>
    <xf numFmtId="0" fontId="66" fillId="21" borderId="68" xfId="5" quotePrefix="1" applyFont="1" applyFill="1" applyBorder="1" applyAlignment="1">
      <alignment horizontal="center" vertical="center" wrapText="1"/>
    </xf>
    <xf numFmtId="0" fontId="66" fillId="21" borderId="69" xfId="5" quotePrefix="1" applyFont="1" applyFill="1" applyBorder="1" applyAlignment="1">
      <alignment horizontal="center" vertical="center" wrapText="1"/>
    </xf>
    <xf numFmtId="0" fontId="66" fillId="21" borderId="67" xfId="5" applyFont="1" applyFill="1" applyBorder="1" applyAlignment="1">
      <alignment horizontal="center" vertical="center" wrapText="1"/>
    </xf>
    <xf numFmtId="0" fontId="66" fillId="21" borderId="68" xfId="5" applyFont="1" applyFill="1" applyBorder="1" applyAlignment="1">
      <alignment horizontal="center" vertical="center" wrapText="1"/>
    </xf>
    <xf numFmtId="165" fontId="66" fillId="21" borderId="67" xfId="21" applyNumberFormat="1" applyFont="1" applyFill="1" applyBorder="1" applyAlignment="1">
      <alignment horizontal="center" vertical="center" wrapText="1"/>
    </xf>
    <xf numFmtId="165" fontId="66" fillId="21" borderId="46" xfId="21" applyNumberFormat="1" applyFont="1" applyFill="1" applyBorder="1" applyAlignment="1">
      <alignment horizontal="center" vertical="center" wrapText="1"/>
    </xf>
    <xf numFmtId="168" fontId="39" fillId="0" borderId="15" xfId="5" applyNumberFormat="1" applyFont="1" applyBorder="1" applyAlignment="1">
      <alignment horizontal="center" vertical="center"/>
    </xf>
    <xf numFmtId="169" fontId="27" fillId="0" borderId="0" xfId="0" applyNumberFormat="1" applyFont="1" applyAlignment="1">
      <alignment vertical="center"/>
    </xf>
    <xf numFmtId="0" fontId="28" fillId="21" borderId="30" xfId="0" applyFont="1" applyFill="1" applyBorder="1" applyAlignment="1">
      <alignment horizontal="center" vertical="center" wrapText="1"/>
    </xf>
    <xf numFmtId="0" fontId="20" fillId="8" borderId="24" xfId="0" applyFont="1" applyFill="1" applyBorder="1" applyAlignment="1">
      <alignment horizontal="center" vertical="center"/>
    </xf>
    <xf numFmtId="10" fontId="30" fillId="8" borderId="30" xfId="16" applyNumberFormat="1" applyFont="1" applyFill="1" applyBorder="1" applyAlignment="1">
      <alignment horizontal="center" vertical="center" wrapText="1"/>
    </xf>
    <xf numFmtId="0" fontId="30" fillId="8" borderId="30" xfId="0" applyFont="1" applyFill="1" applyBorder="1" applyAlignment="1">
      <alignment horizontal="center" vertical="center" wrapText="1"/>
    </xf>
    <xf numFmtId="0" fontId="20" fillId="8" borderId="39" xfId="0" applyFont="1" applyFill="1" applyBorder="1" applyAlignment="1">
      <alignment vertical="center" wrapText="1"/>
    </xf>
    <xf numFmtId="0" fontId="20" fillId="8" borderId="39" xfId="0" applyFont="1" applyFill="1" applyBorder="1" applyAlignment="1">
      <alignment vertical="center"/>
    </xf>
    <xf numFmtId="0" fontId="20" fillId="8" borderId="30" xfId="0" applyFont="1" applyFill="1" applyBorder="1" applyAlignment="1">
      <alignment vertical="center"/>
    </xf>
    <xf numFmtId="0" fontId="20" fillId="8" borderId="30" xfId="0" applyFont="1" applyFill="1" applyBorder="1" applyAlignment="1">
      <alignment horizontal="center" vertical="center"/>
    </xf>
    <xf numFmtId="2" fontId="13" fillId="0" borderId="30" xfId="0" applyNumberFormat="1" applyFont="1" applyBorder="1" applyAlignment="1">
      <alignment horizontal="center" vertical="center"/>
    </xf>
    <xf numFmtId="2" fontId="59" fillId="0" borderId="30" xfId="0" applyNumberFormat="1" applyFont="1" applyBorder="1" applyAlignment="1">
      <alignment horizontal="center" vertical="center"/>
    </xf>
    <xf numFmtId="0" fontId="31" fillId="10" borderId="35" xfId="0" applyFont="1" applyFill="1" applyBorder="1" applyAlignment="1">
      <alignment horizontal="center" vertical="center"/>
    </xf>
    <xf numFmtId="0" fontId="31" fillId="10" borderId="0" xfId="0" applyFont="1" applyFill="1" applyAlignment="1">
      <alignment horizontal="center" vertical="center"/>
    </xf>
    <xf numFmtId="0" fontId="31" fillId="10" borderId="29" xfId="0" applyFont="1" applyFill="1" applyBorder="1" applyAlignment="1">
      <alignment horizontal="center" vertical="center"/>
    </xf>
    <xf numFmtId="0" fontId="31" fillId="21" borderId="31" xfId="0" applyFont="1" applyFill="1" applyBorder="1" applyAlignment="1">
      <alignment horizontal="center" vertical="center"/>
    </xf>
    <xf numFmtId="0" fontId="31" fillId="21" borderId="39" xfId="0" applyFont="1" applyFill="1" applyBorder="1" applyAlignment="1">
      <alignment horizontal="center" vertical="center" wrapText="1"/>
    </xf>
    <xf numFmtId="0" fontId="31" fillId="21" borderId="30" xfId="0" applyFont="1" applyFill="1" applyBorder="1" applyAlignment="1">
      <alignment horizontal="center" vertical="center"/>
    </xf>
    <xf numFmtId="0" fontId="32" fillId="0" borderId="22" xfId="0" applyFont="1" applyBorder="1" applyAlignment="1">
      <alignment vertical="center"/>
    </xf>
    <xf numFmtId="0" fontId="31" fillId="10" borderId="43" xfId="5" applyFont="1" applyFill="1" applyBorder="1" applyAlignment="1">
      <alignment vertical="center"/>
    </xf>
    <xf numFmtId="0" fontId="36" fillId="21" borderId="70" xfId="5" applyFont="1" applyFill="1" applyBorder="1" applyAlignment="1">
      <alignment horizontal="center" vertical="center"/>
    </xf>
    <xf numFmtId="0" fontId="36" fillId="0" borderId="35" xfId="5" applyFont="1" applyBorder="1" applyAlignment="1">
      <alignment horizontal="center" vertical="center" wrapText="1"/>
    </xf>
    <xf numFmtId="0" fontId="36" fillId="0" borderId="0" xfId="5" applyFont="1" applyAlignment="1">
      <alignment horizontal="center" vertical="center" wrapText="1"/>
    </xf>
    <xf numFmtId="0" fontId="36" fillId="21" borderId="71" xfId="5" applyFont="1" applyFill="1" applyBorder="1" applyAlignment="1">
      <alignment horizontal="center" vertical="center"/>
    </xf>
    <xf numFmtId="165" fontId="36" fillId="21" borderId="39" xfId="21" applyNumberFormat="1" applyFont="1" applyFill="1" applyBorder="1" applyAlignment="1">
      <alignment horizontal="center" vertical="center" wrapText="1"/>
    </xf>
    <xf numFmtId="165" fontId="36" fillId="21" borderId="31" xfId="21" applyNumberFormat="1" applyFont="1" applyFill="1" applyBorder="1" applyAlignment="1">
      <alignment horizontal="center" vertical="center" wrapText="1"/>
    </xf>
    <xf numFmtId="165" fontId="67" fillId="21" borderId="30" xfId="21" applyNumberFormat="1" applyFont="1" applyFill="1" applyBorder="1" applyAlignment="1">
      <alignment horizontal="center" vertical="center" wrapText="1"/>
    </xf>
    <xf numFmtId="165" fontId="67" fillId="21" borderId="39" xfId="21" applyNumberFormat="1" applyFont="1" applyFill="1" applyBorder="1" applyAlignment="1">
      <alignment horizontal="center" vertical="center" wrapText="1"/>
    </xf>
    <xf numFmtId="165" fontId="67" fillId="21" borderId="31" xfId="21" applyNumberFormat="1" applyFont="1" applyFill="1" applyBorder="1" applyAlignment="1">
      <alignment horizontal="center" vertical="center" wrapText="1"/>
    </xf>
    <xf numFmtId="0" fontId="36" fillId="21" borderId="30" xfId="5" applyFont="1" applyFill="1" applyBorder="1" applyAlignment="1">
      <alignment horizontal="center" vertical="center"/>
    </xf>
    <xf numFmtId="2" fontId="36" fillId="21" borderId="30" xfId="5" applyNumberFormat="1" applyFont="1" applyFill="1" applyBorder="1" applyAlignment="1">
      <alignment horizontal="center" vertical="center"/>
    </xf>
    <xf numFmtId="2" fontId="36" fillId="21" borderId="39" xfId="5" applyNumberFormat="1" applyFont="1" applyFill="1" applyBorder="1" applyAlignment="1">
      <alignment horizontal="center" vertical="center"/>
    </xf>
    <xf numFmtId="2" fontId="36" fillId="21" borderId="31" xfId="5" applyNumberFormat="1" applyFont="1" applyFill="1" applyBorder="1" applyAlignment="1">
      <alignment horizontal="center" vertical="center"/>
    </xf>
    <xf numFmtId="0" fontId="36" fillId="0" borderId="66" xfId="5" applyFont="1" applyBorder="1" applyAlignment="1">
      <alignment horizontal="center" vertical="center"/>
    </xf>
    <xf numFmtId="0" fontId="36" fillId="0" borderId="67" xfId="5" applyFont="1" applyBorder="1" applyAlignment="1">
      <alignment horizontal="center" vertical="center"/>
    </xf>
    <xf numFmtId="0" fontId="36" fillId="21" borderId="66" xfId="5" applyFont="1" applyFill="1" applyBorder="1" applyAlignment="1">
      <alignment horizontal="center" vertical="center"/>
    </xf>
    <xf numFmtId="0" fontId="36" fillId="21" borderId="67" xfId="5" applyFont="1" applyFill="1" applyBorder="1" applyAlignment="1">
      <alignment horizontal="center" vertical="center"/>
    </xf>
    <xf numFmtId="0" fontId="36" fillId="21" borderId="72" xfId="5" applyFont="1" applyFill="1" applyBorder="1" applyAlignment="1">
      <alignment horizontal="center" vertical="center"/>
    </xf>
    <xf numFmtId="0" fontId="31" fillId="0" borderId="46" xfId="5" applyFont="1" applyBorder="1" applyAlignment="1">
      <alignment vertical="center"/>
    </xf>
    <xf numFmtId="0" fontId="37" fillId="0" borderId="14" xfId="0" applyFont="1" applyBorder="1" applyAlignment="1">
      <alignment horizontal="center" vertical="center"/>
    </xf>
    <xf numFmtId="0" fontId="37" fillId="0" borderId="64" xfId="5" applyFont="1" applyBorder="1" applyAlignment="1">
      <alignment horizontal="left" vertical="center" wrapText="1"/>
    </xf>
    <xf numFmtId="2" fontId="37" fillId="0" borderId="64" xfId="5" applyNumberFormat="1" applyFont="1" applyBorder="1" applyAlignment="1">
      <alignment horizontal="center" vertical="center" wrapText="1"/>
    </xf>
    <xf numFmtId="4" fontId="37" fillId="0" borderId="15" xfId="5" applyNumberFormat="1" applyFont="1" applyBorder="1" applyAlignment="1">
      <alignment horizontal="center" vertical="center"/>
    </xf>
    <xf numFmtId="4" fontId="37" fillId="0" borderId="49" xfId="5" applyNumberFormat="1" applyFont="1" applyBorder="1" applyAlignment="1">
      <alignment horizontal="center" vertical="center"/>
    </xf>
    <xf numFmtId="4" fontId="37" fillId="0" borderId="50" xfId="5" applyNumberFormat="1" applyFont="1" applyBorder="1" applyAlignment="1">
      <alignment horizontal="center" vertical="center"/>
    </xf>
    <xf numFmtId="0" fontId="37" fillId="0" borderId="0" xfId="0" applyFont="1" applyAlignment="1">
      <alignment vertical="center"/>
    </xf>
    <xf numFmtId="0" fontId="37" fillId="0" borderId="0" xfId="0" applyFont="1" applyAlignment="1">
      <alignment horizontal="center" vertical="center"/>
    </xf>
    <xf numFmtId="4" fontId="38" fillId="9" borderId="58" xfId="30" applyNumberFormat="1" applyFont="1" applyFill="1" applyBorder="1" applyAlignment="1">
      <alignment horizontal="center" vertical="center"/>
    </xf>
    <xf numFmtId="43" fontId="32" fillId="0" borderId="0" xfId="5" applyNumberFormat="1" applyFont="1" applyAlignment="1">
      <alignment horizontal="center" vertical="center"/>
    </xf>
    <xf numFmtId="43" fontId="55" fillId="0" borderId="0" xfId="0" applyNumberFormat="1" applyFont="1"/>
    <xf numFmtId="164" fontId="29" fillId="10" borderId="30" xfId="1" applyFont="1" applyFill="1" applyBorder="1" applyAlignment="1">
      <alignment horizontal="center" vertical="center" wrapText="1"/>
    </xf>
    <xf numFmtId="0" fontId="29" fillId="10" borderId="30" xfId="0" applyFont="1" applyFill="1" applyBorder="1" applyAlignment="1">
      <alignment horizontal="center" vertical="center" wrapText="1"/>
    </xf>
    <xf numFmtId="0" fontId="21" fillId="10" borderId="29" xfId="6" applyFont="1" applyFill="1" applyBorder="1" applyAlignment="1">
      <alignment horizontal="center" vertical="center"/>
    </xf>
    <xf numFmtId="0" fontId="13" fillId="10" borderId="35" xfId="6" applyFont="1" applyFill="1" applyBorder="1" applyAlignment="1">
      <alignment horizontal="center" vertical="center"/>
    </xf>
    <xf numFmtId="0" fontId="13" fillId="10" borderId="29" xfId="6" applyFont="1" applyFill="1" applyBorder="1" applyAlignment="1">
      <alignment horizontal="center" vertical="center"/>
    </xf>
    <xf numFmtId="165" fontId="21" fillId="18" borderId="73" xfId="12" applyNumberFormat="1" applyFont="1" applyFill="1" applyBorder="1" applyAlignment="1">
      <alignment horizontal="center" vertical="center" wrapText="1"/>
    </xf>
    <xf numFmtId="165" fontId="21" fillId="18" borderId="23" xfId="12" applyNumberFormat="1" applyFont="1" applyFill="1" applyBorder="1" applyAlignment="1">
      <alignment horizontal="center" vertical="center" wrapText="1"/>
    </xf>
    <xf numFmtId="17" fontId="61" fillId="19" borderId="74" xfId="0" applyNumberFormat="1" applyFont="1" applyFill="1" applyBorder="1" applyAlignment="1">
      <alignment horizontal="center" vertical="center" wrapText="1"/>
    </xf>
    <xf numFmtId="17" fontId="61" fillId="19" borderId="27" xfId="0" applyNumberFormat="1" applyFont="1" applyFill="1" applyBorder="1" applyAlignment="1">
      <alignment horizontal="center" vertical="center" wrapText="1"/>
    </xf>
    <xf numFmtId="0" fontId="21" fillId="10" borderId="0" xfId="6" applyFont="1" applyFill="1" applyAlignment="1">
      <alignment horizontal="center" vertical="center"/>
    </xf>
    <xf numFmtId="0" fontId="13" fillId="10" borderId="0" xfId="6" applyFont="1" applyFill="1" applyAlignment="1">
      <alignment horizontal="center" vertical="center"/>
    </xf>
    <xf numFmtId="1" fontId="21" fillId="0" borderId="35" xfId="0" applyNumberFormat="1" applyFont="1" applyBorder="1" applyAlignment="1">
      <alignment horizontal="center" vertical="center" wrapText="1"/>
    </xf>
    <xf numFmtId="0" fontId="61" fillId="19" borderId="27" xfId="0" applyFont="1" applyFill="1" applyBorder="1" applyAlignment="1">
      <alignment horizontal="center" vertical="center" wrapText="1"/>
    </xf>
    <xf numFmtId="0" fontId="64" fillId="0" borderId="24" xfId="0" applyFont="1" applyBorder="1" applyAlignment="1">
      <alignment horizontal="center" vertical="center"/>
    </xf>
    <xf numFmtId="0" fontId="23" fillId="0" borderId="30" xfId="0" applyFont="1" applyBorder="1" applyAlignment="1">
      <alignment horizontal="left" vertical="center" wrapText="1"/>
    </xf>
    <xf numFmtId="4" fontId="23" fillId="0" borderId="30" xfId="0" applyNumberFormat="1" applyFont="1" applyBorder="1" applyAlignment="1">
      <alignment horizontal="right" vertical="center"/>
    </xf>
    <xf numFmtId="4" fontId="23" fillId="0" borderId="3" xfId="0" applyNumberFormat="1" applyFont="1" applyBorder="1" applyAlignment="1">
      <alignment horizontal="right" vertical="center"/>
    </xf>
    <xf numFmtId="4" fontId="22" fillId="0" borderId="31" xfId="0" applyNumberFormat="1" applyFont="1" applyBorder="1" applyAlignment="1">
      <alignment vertical="center"/>
    </xf>
    <xf numFmtId="0" fontId="23" fillId="0" borderId="17" xfId="0" applyFont="1" applyBorder="1" applyAlignment="1">
      <alignment horizontal="center" vertical="center"/>
    </xf>
    <xf numFmtId="0" fontId="23" fillId="0" borderId="13" xfId="0" applyFont="1" applyBorder="1" applyAlignment="1">
      <alignment vertical="top" wrapText="1"/>
    </xf>
    <xf numFmtId="0" fontId="23" fillId="0" borderId="9" xfId="0" applyFont="1" applyBorder="1" applyAlignment="1">
      <alignment horizontal="center" vertical="center"/>
    </xf>
    <xf numFmtId="166" fontId="23" fillId="0" borderId="9" xfId="0" applyNumberFormat="1" applyFont="1" applyBorder="1" applyAlignment="1">
      <alignment horizontal="right" vertical="center"/>
    </xf>
    <xf numFmtId="4" fontId="23" fillId="0" borderId="9" xfId="0" applyNumberFormat="1" applyFont="1" applyBorder="1" applyAlignment="1">
      <alignment horizontal="right" vertical="center"/>
    </xf>
    <xf numFmtId="0" fontId="23" fillId="0" borderId="13" xfId="0" applyFont="1" applyBorder="1" applyAlignment="1">
      <alignment vertical="center" wrapText="1"/>
    </xf>
    <xf numFmtId="2" fontId="23" fillId="0" borderId="9" xfId="0" applyNumberFormat="1" applyFont="1" applyBorder="1" applyAlignment="1">
      <alignment horizontal="right" vertical="center"/>
    </xf>
    <xf numFmtId="165" fontId="60" fillId="0" borderId="30" xfId="12" applyNumberFormat="1" applyFont="1" applyBorder="1" applyAlignment="1">
      <alignment horizontal="center" vertical="center"/>
    </xf>
    <xf numFmtId="165" fontId="22" fillId="0" borderId="31" xfId="12" applyNumberFormat="1" applyFont="1" applyBorder="1" applyAlignment="1">
      <alignment horizontal="center" vertical="center"/>
    </xf>
    <xf numFmtId="10" fontId="23" fillId="0" borderId="30" xfId="17" applyNumberFormat="1" applyFont="1" applyFill="1" applyBorder="1" applyAlignment="1">
      <alignment vertical="center"/>
    </xf>
    <xf numFmtId="0" fontId="59" fillId="0" borderId="0" xfId="0" applyFont="1" applyAlignment="1">
      <alignment vertical="center"/>
    </xf>
    <xf numFmtId="0" fontId="21" fillId="0" borderId="0" xfId="0" applyFont="1" applyAlignment="1">
      <alignment vertical="center"/>
    </xf>
    <xf numFmtId="0" fontId="21" fillId="0" borderId="0" xfId="0" applyFont="1" applyAlignment="1">
      <alignment horizontal="center" vertical="center"/>
    </xf>
    <xf numFmtId="2" fontId="21" fillId="0" borderId="0" xfId="0" applyNumberFormat="1" applyFont="1" applyAlignment="1">
      <alignment vertical="center"/>
    </xf>
    <xf numFmtId="166" fontId="23" fillId="0" borderId="30" xfId="0" applyNumberFormat="1" applyFont="1" applyBorder="1" applyAlignment="1">
      <alignment horizontal="right" vertical="center"/>
    </xf>
    <xf numFmtId="2" fontId="23" fillId="0" borderId="30" xfId="0" applyNumberFormat="1" applyFont="1" applyBorder="1" applyAlignment="1">
      <alignment horizontal="right" vertical="center"/>
    </xf>
    <xf numFmtId="168" fontId="23" fillId="0" borderId="9" xfId="0" applyNumberFormat="1" applyFont="1" applyBorder="1" applyAlignment="1">
      <alignment horizontal="right" vertical="center"/>
    </xf>
    <xf numFmtId="173" fontId="23" fillId="0" borderId="9" xfId="0" applyNumberFormat="1" applyFont="1" applyBorder="1" applyAlignment="1">
      <alignment horizontal="right" vertical="center"/>
    </xf>
    <xf numFmtId="0" fontId="59" fillId="7" borderId="0" xfId="0" applyFont="1" applyFill="1" applyAlignment="1">
      <alignment horizontal="center" vertical="center"/>
    </xf>
    <xf numFmtId="0" fontId="59" fillId="7" borderId="0" xfId="0" applyFont="1" applyFill="1" applyAlignment="1">
      <alignment horizontal="left" vertical="center"/>
    </xf>
    <xf numFmtId="10" fontId="16" fillId="0" borderId="0" xfId="18" applyNumberFormat="1" applyFont="1" applyBorder="1" applyAlignment="1">
      <alignment vertical="center"/>
    </xf>
    <xf numFmtId="10" fontId="16" fillId="0" borderId="29" xfId="18" applyNumberFormat="1" applyFont="1" applyBorder="1" applyAlignment="1">
      <alignment vertical="center"/>
    </xf>
    <xf numFmtId="10" fontId="14" fillId="0" borderId="29" xfId="0" applyNumberFormat="1" applyFont="1" applyBorder="1" applyAlignment="1">
      <alignment vertical="center"/>
    </xf>
    <xf numFmtId="0" fontId="16" fillId="0" borderId="0" xfId="0" applyFont="1" applyAlignment="1">
      <alignment horizontal="center" vertical="center"/>
    </xf>
    <xf numFmtId="10" fontId="13" fillId="0" borderId="0" xfId="9" applyNumberFormat="1" applyFont="1" applyAlignment="1">
      <alignment vertical="center"/>
    </xf>
    <xf numFmtId="171" fontId="13" fillId="0" borderId="0" xfId="9" applyNumberFormat="1" applyFont="1"/>
    <xf numFmtId="180" fontId="13" fillId="0" borderId="0" xfId="9" applyNumberFormat="1" applyFont="1"/>
    <xf numFmtId="180" fontId="13" fillId="0" borderId="0" xfId="9" applyNumberFormat="1" applyFont="1" applyAlignment="1">
      <alignment vertical="center"/>
    </xf>
    <xf numFmtId="0" fontId="16" fillId="0" borderId="35" xfId="0" applyFont="1" applyBorder="1" applyAlignment="1">
      <alignment horizontal="left" vertical="center"/>
    </xf>
    <xf numFmtId="0" fontId="16" fillId="0" borderId="0" xfId="0" quotePrefix="1" applyFont="1" applyAlignment="1">
      <alignment horizontal="center" vertical="center"/>
    </xf>
    <xf numFmtId="0" fontId="16" fillId="0" borderId="0" xfId="0" applyFont="1"/>
    <xf numFmtId="0" fontId="16" fillId="0" borderId="75" xfId="0" applyFont="1" applyBorder="1" applyAlignment="1">
      <alignment vertical="center"/>
    </xf>
    <xf numFmtId="0" fontId="16" fillId="0" borderId="75" xfId="0" applyFont="1" applyBorder="1" applyAlignment="1">
      <alignment horizontal="center" vertical="center"/>
    </xf>
    <xf numFmtId="0" fontId="16" fillId="0" borderId="75" xfId="0" quotePrefix="1" applyFont="1" applyBorder="1" applyAlignment="1">
      <alignment horizontal="center" vertical="center"/>
    </xf>
    <xf numFmtId="0" fontId="16" fillId="0" borderId="75" xfId="0" applyFont="1" applyBorder="1"/>
    <xf numFmtId="0" fontId="16" fillId="3" borderId="76" xfId="9" applyFont="1" applyFill="1" applyBorder="1"/>
    <xf numFmtId="0" fontId="45" fillId="6" borderId="77" xfId="0" applyFont="1" applyFill="1" applyBorder="1" applyAlignment="1">
      <alignment horizontal="center" vertical="center" wrapText="1"/>
    </xf>
    <xf numFmtId="2" fontId="19" fillId="0" borderId="29" xfId="0" applyNumberFormat="1" applyFont="1" applyBorder="1" applyAlignment="1">
      <alignment vertical="center"/>
    </xf>
    <xf numFmtId="0" fontId="18" fillId="0" borderId="35" xfId="0" applyFont="1" applyBorder="1" applyAlignment="1">
      <alignment horizontal="center" vertical="center"/>
    </xf>
    <xf numFmtId="2" fontId="18" fillId="0" borderId="29" xfId="0" applyNumberFormat="1" applyFont="1" applyBorder="1" applyAlignment="1">
      <alignment horizontal="center" vertical="center"/>
    </xf>
    <xf numFmtId="0" fontId="17" fillId="0" borderId="35" xfId="0" applyFont="1" applyBorder="1" applyAlignment="1">
      <alignment horizontal="center" vertical="center"/>
    </xf>
    <xf numFmtId="2" fontId="16" fillId="0" borderId="29" xfId="0" applyNumberFormat="1" applyFont="1" applyBorder="1" applyAlignment="1">
      <alignment horizontal="center" vertical="center"/>
    </xf>
    <xf numFmtId="2" fontId="17" fillId="0" borderId="29" xfId="0" applyNumberFormat="1" applyFont="1" applyBorder="1" applyAlignment="1">
      <alignment horizontal="center" vertical="center"/>
    </xf>
    <xf numFmtId="0" fontId="16" fillId="0" borderId="0" xfId="0" applyFont="1" applyAlignment="1">
      <alignment horizontal="left" vertical="center"/>
    </xf>
    <xf numFmtId="10" fontId="14" fillId="0" borderId="0" xfId="0" applyNumberFormat="1" applyFont="1" applyAlignment="1">
      <alignment vertical="center"/>
    </xf>
    <xf numFmtId="0" fontId="13" fillId="0" borderId="29" xfId="9" applyFont="1" applyBorder="1" applyAlignment="1">
      <alignment vertical="center"/>
    </xf>
    <xf numFmtId="0" fontId="13" fillId="0" borderId="29" xfId="9" applyFont="1" applyBorder="1"/>
    <xf numFmtId="0" fontId="13" fillId="0" borderId="42" xfId="9" applyFont="1" applyBorder="1"/>
    <xf numFmtId="0" fontId="13" fillId="0" borderId="63" xfId="9" applyFont="1" applyBorder="1"/>
    <xf numFmtId="0" fontId="41" fillId="0" borderId="31" xfId="0" applyFont="1" applyBorder="1" applyAlignment="1">
      <alignment horizontal="center" vertical="center" wrapText="1"/>
    </xf>
    <xf numFmtId="9" fontId="66" fillId="21" borderId="30" xfId="5" applyNumberFormat="1" applyFont="1" applyFill="1" applyBorder="1" applyAlignment="1">
      <alignment horizontal="center" vertical="center" wrapText="1"/>
    </xf>
    <xf numFmtId="0" fontId="27" fillId="0" borderId="15" xfId="0" applyFont="1" applyBorder="1" applyAlignment="1">
      <alignment horizontal="left" vertical="center" wrapText="1"/>
    </xf>
    <xf numFmtId="0" fontId="27" fillId="10" borderId="30" xfId="0" applyFont="1" applyFill="1" applyBorder="1" applyAlignment="1">
      <alignment horizontal="left" vertical="center" wrapText="1"/>
    </xf>
    <xf numFmtId="1" fontId="21" fillId="0" borderId="35" xfId="2" applyNumberFormat="1" applyFont="1" applyBorder="1" applyAlignment="1">
      <alignment horizontal="center" vertical="center" wrapText="1"/>
    </xf>
    <xf numFmtId="0" fontId="59" fillId="7" borderId="0" xfId="2" applyFont="1" applyFill="1" applyAlignment="1">
      <alignment vertical="center"/>
    </xf>
    <xf numFmtId="17" fontId="61" fillId="19" borderId="74" xfId="2" applyNumberFormat="1" applyFont="1" applyFill="1" applyBorder="1" applyAlignment="1">
      <alignment horizontal="center" vertical="center" wrapText="1"/>
    </xf>
    <xf numFmtId="0" fontId="61" fillId="19" borderId="27" xfId="2" applyFont="1" applyFill="1" applyBorder="1" applyAlignment="1">
      <alignment horizontal="center" vertical="center" wrapText="1"/>
    </xf>
    <xf numFmtId="0" fontId="57" fillId="0" borderId="0" xfId="2" applyFont="1" applyAlignment="1">
      <alignment horizontal="center" vertical="center"/>
    </xf>
    <xf numFmtId="0" fontId="57" fillId="0" borderId="0" xfId="2" applyFont="1" applyAlignment="1">
      <alignment vertical="center"/>
    </xf>
    <xf numFmtId="0" fontId="64" fillId="0" borderId="24" xfId="2" applyFont="1" applyBorder="1" applyAlignment="1">
      <alignment horizontal="center" vertical="center"/>
    </xf>
    <xf numFmtId="0" fontId="23" fillId="0" borderId="30" xfId="2" applyFont="1" applyBorder="1" applyAlignment="1">
      <alignment horizontal="center" vertical="center"/>
    </xf>
    <xf numFmtId="0" fontId="23" fillId="0" borderId="30" xfId="2" applyFont="1" applyBorder="1" applyAlignment="1">
      <alignment horizontal="left" vertical="center" wrapText="1"/>
    </xf>
    <xf numFmtId="168" fontId="23" fillId="0" borderId="9" xfId="2" applyNumberFormat="1" applyFont="1" applyBorder="1" applyAlignment="1">
      <alignment horizontal="right" vertical="center"/>
    </xf>
    <xf numFmtId="4" fontId="23" fillId="0" borderId="30" xfId="2" applyNumberFormat="1" applyFont="1" applyBorder="1" applyAlignment="1">
      <alignment horizontal="right" vertical="center"/>
    </xf>
    <xf numFmtId="4" fontId="23" fillId="0" borderId="3" xfId="2" applyNumberFormat="1" applyFont="1" applyBorder="1" applyAlignment="1">
      <alignment horizontal="right" vertical="center"/>
    </xf>
    <xf numFmtId="168" fontId="23" fillId="0" borderId="0" xfId="2" applyNumberFormat="1" applyFont="1" applyAlignment="1">
      <alignment horizontal="right" vertical="center"/>
    </xf>
    <xf numFmtId="4" fontId="22" fillId="0" borderId="31" xfId="2" applyNumberFormat="1" applyFont="1" applyBorder="1" applyAlignment="1">
      <alignment vertical="center"/>
    </xf>
    <xf numFmtId="0" fontId="23" fillId="0" borderId="17" xfId="2" applyFont="1" applyBorder="1" applyAlignment="1">
      <alignment horizontal="center" vertical="center"/>
    </xf>
    <xf numFmtId="0" fontId="23" fillId="0" borderId="13" xfId="2" applyFont="1" applyBorder="1" applyAlignment="1">
      <alignment vertical="top" wrapText="1"/>
    </xf>
    <xf numFmtId="0" fontId="23" fillId="0" borderId="9" xfId="2" applyFont="1" applyBorder="1" applyAlignment="1">
      <alignment horizontal="center" vertical="center"/>
    </xf>
    <xf numFmtId="4" fontId="23" fillId="0" borderId="9" xfId="2" applyNumberFormat="1" applyFont="1" applyBorder="1" applyAlignment="1">
      <alignment horizontal="right" vertical="center"/>
    </xf>
    <xf numFmtId="0" fontId="23" fillId="0" borderId="13" xfId="2" applyFont="1" applyBorder="1" applyAlignment="1">
      <alignment vertical="center" wrapText="1"/>
    </xf>
    <xf numFmtId="0" fontId="59" fillId="0" borderId="0" xfId="2" applyFont="1" applyAlignment="1">
      <alignment vertical="center"/>
    </xf>
    <xf numFmtId="0" fontId="21" fillId="0" borderId="0" xfId="2" applyFont="1" applyAlignment="1">
      <alignment vertical="center"/>
    </xf>
    <xf numFmtId="0" fontId="21" fillId="0" borderId="0" xfId="2" applyFont="1" applyAlignment="1">
      <alignment horizontal="center" vertical="center"/>
    </xf>
    <xf numFmtId="2" fontId="21" fillId="0" borderId="0" xfId="2" applyNumberFormat="1" applyFont="1" applyAlignment="1">
      <alignment vertical="center"/>
    </xf>
    <xf numFmtId="0" fontId="13" fillId="0" borderId="0" xfId="2" applyFont="1" applyAlignment="1">
      <alignment vertical="center"/>
    </xf>
    <xf numFmtId="172" fontId="23" fillId="0" borderId="9" xfId="2" applyNumberFormat="1" applyFont="1" applyBorder="1" applyAlignment="1">
      <alignment horizontal="right" vertical="center"/>
    </xf>
    <xf numFmtId="179" fontId="23" fillId="0" borderId="9" xfId="2" applyNumberFormat="1" applyFont="1" applyBorder="1" applyAlignment="1">
      <alignment horizontal="right" vertical="center"/>
    </xf>
    <xf numFmtId="170" fontId="23" fillId="0" borderId="9" xfId="2" applyNumberFormat="1" applyFont="1" applyBorder="1" applyAlignment="1">
      <alignment horizontal="right" vertical="center"/>
    </xf>
    <xf numFmtId="181" fontId="23" fillId="0" borderId="9" xfId="2" applyNumberFormat="1" applyFont="1" applyBorder="1" applyAlignment="1">
      <alignment horizontal="right" vertical="center"/>
    </xf>
    <xf numFmtId="182" fontId="23" fillId="0" borderId="9" xfId="2" applyNumberFormat="1" applyFont="1" applyBorder="1" applyAlignment="1">
      <alignment horizontal="right" vertical="center"/>
    </xf>
    <xf numFmtId="183" fontId="23" fillId="0" borderId="9" xfId="2" applyNumberFormat="1" applyFont="1" applyBorder="1" applyAlignment="1">
      <alignment horizontal="right" vertical="center"/>
    </xf>
    <xf numFmtId="0" fontId="5" fillId="0" borderId="0" xfId="5"/>
    <xf numFmtId="49" fontId="71" fillId="3" borderId="114" xfId="5" applyNumberFormat="1" applyFont="1" applyFill="1" applyBorder="1" applyAlignment="1">
      <alignment horizontal="center"/>
    </xf>
    <xf numFmtId="49" fontId="71" fillId="3" borderId="0" xfId="5" applyNumberFormat="1" applyFont="1" applyFill="1" applyAlignment="1">
      <alignment horizontal="center"/>
    </xf>
    <xf numFmtId="0" fontId="5" fillId="3" borderId="59" xfId="5" applyFill="1" applyBorder="1" applyAlignment="1">
      <alignment horizontal="center" vertical="center"/>
    </xf>
    <xf numFmtId="0" fontId="5" fillId="3" borderId="77" xfId="5" applyFill="1" applyBorder="1" applyAlignment="1">
      <alignment vertical="center"/>
    </xf>
    <xf numFmtId="49" fontId="71" fillId="0" borderId="114" xfId="5" applyNumberFormat="1" applyFont="1" applyBorder="1" applyAlignment="1">
      <alignment horizontal="center" vertical="center"/>
    </xf>
    <xf numFmtId="0" fontId="0" fillId="0" borderId="59" xfId="5" applyFont="1" applyBorder="1" applyAlignment="1">
      <alignment horizontal="center" vertical="center"/>
    </xf>
    <xf numFmtId="2" fontId="5" fillId="0" borderId="77" xfId="5" applyNumberFormat="1" applyBorder="1" applyAlignment="1">
      <alignment vertical="center"/>
    </xf>
    <xf numFmtId="0" fontId="5" fillId="0" borderId="59" xfId="5" quotePrefix="1" applyBorder="1" applyAlignment="1">
      <alignment horizontal="center"/>
    </xf>
    <xf numFmtId="184" fontId="5" fillId="0" borderId="77" xfId="5" applyNumberFormat="1" applyBorder="1"/>
    <xf numFmtId="0" fontId="5" fillId="0" borderId="59" xfId="5" applyBorder="1" applyAlignment="1">
      <alignment horizontal="center"/>
    </xf>
    <xf numFmtId="184" fontId="5" fillId="0" borderId="77" xfId="5" applyNumberFormat="1" applyBorder="1" applyAlignment="1">
      <alignment horizontal="center"/>
    </xf>
    <xf numFmtId="0" fontId="71" fillId="0" borderId="59" xfId="5" applyFont="1" applyBorder="1" applyAlignment="1">
      <alignment horizontal="center"/>
    </xf>
    <xf numFmtId="4" fontId="5" fillId="0" borderId="77" xfId="5" applyNumberFormat="1" applyBorder="1" applyAlignment="1">
      <alignment vertical="center"/>
    </xf>
    <xf numFmtId="184" fontId="71" fillId="0" borderId="77" xfId="5" applyNumberFormat="1" applyFont="1" applyBorder="1"/>
    <xf numFmtId="49" fontId="71" fillId="0" borderId="0" xfId="5" applyNumberFormat="1" applyFont="1" applyAlignment="1">
      <alignment horizontal="center" vertical="center"/>
    </xf>
    <xf numFmtId="0" fontId="5" fillId="0" borderId="59" xfId="5" applyBorder="1" applyAlignment="1">
      <alignment horizontal="center" vertical="center"/>
    </xf>
    <xf numFmtId="0" fontId="71" fillId="0" borderId="114" xfId="5" applyFont="1" applyBorder="1" applyAlignment="1">
      <alignment horizontal="center" vertical="center"/>
    </xf>
    <xf numFmtId="0" fontId="71" fillId="0" borderId="0" xfId="5" applyFont="1" applyAlignment="1">
      <alignment horizontal="center" vertical="center"/>
    </xf>
    <xf numFmtId="0" fontId="5" fillId="0" borderId="0" xfId="5" applyAlignment="1">
      <alignment horizontal="center" vertical="top"/>
    </xf>
    <xf numFmtId="0" fontId="5" fillId="0" borderId="114" xfId="5" applyBorder="1" applyAlignment="1">
      <alignment horizontal="center" vertical="top"/>
    </xf>
    <xf numFmtId="0" fontId="71" fillId="3" borderId="0" xfId="5" applyFont="1" applyFill="1" applyAlignment="1">
      <alignment horizontal="center"/>
    </xf>
    <xf numFmtId="0" fontId="71" fillId="0" borderId="0" xfId="5" applyFont="1" applyAlignment="1">
      <alignment horizontal="left" wrapText="1"/>
    </xf>
    <xf numFmtId="0" fontId="71" fillId="3" borderId="0" xfId="5" applyFont="1" applyFill="1"/>
    <xf numFmtId="185" fontId="71" fillId="0" borderId="77" xfId="5" applyNumberFormat="1" applyFont="1" applyBorder="1"/>
    <xf numFmtId="184" fontId="71" fillId="0" borderId="29" xfId="5" applyNumberFormat="1" applyFont="1" applyBorder="1"/>
    <xf numFmtId="184" fontId="5" fillId="0" borderId="29" xfId="5" applyNumberFormat="1" applyBorder="1"/>
    <xf numFmtId="2" fontId="5" fillId="0" borderId="0" xfId="5" applyNumberFormat="1"/>
    <xf numFmtId="0" fontId="71" fillId="3" borderId="59" xfId="5" applyFont="1" applyFill="1" applyBorder="1" applyAlignment="1">
      <alignment horizontal="center"/>
    </xf>
    <xf numFmtId="184" fontId="71" fillId="3" borderId="77" xfId="5" applyNumberFormat="1" applyFont="1" applyFill="1" applyBorder="1"/>
    <xf numFmtId="0" fontId="5" fillId="0" borderId="42" xfId="5" applyBorder="1" applyAlignment="1">
      <alignment horizontal="center" vertical="top"/>
    </xf>
    <xf numFmtId="0" fontId="71" fillId="0" borderId="115" xfId="5" applyFont="1" applyBorder="1" applyAlignment="1">
      <alignment horizontal="center"/>
    </xf>
    <xf numFmtId="0" fontId="71" fillId="3" borderId="0" xfId="5" applyFont="1" applyFill="1" applyAlignment="1">
      <alignment horizontal="center" vertical="center"/>
    </xf>
    <xf numFmtId="0" fontId="71" fillId="3" borderId="0" xfId="5" applyFont="1" applyFill="1" applyAlignment="1">
      <alignment horizontal="left" wrapText="1"/>
    </xf>
    <xf numFmtId="0" fontId="72" fillId="0" borderId="22" xfId="4" applyFont="1" applyBorder="1" applyAlignment="1">
      <alignment horizontal="center" vertical="center"/>
    </xf>
    <xf numFmtId="0" fontId="46" fillId="0" borderId="0" xfId="4"/>
    <xf numFmtId="0" fontId="72" fillId="0" borderId="35" xfId="4" applyFont="1" applyBorder="1" applyAlignment="1">
      <alignment horizontal="center" vertical="center"/>
    </xf>
    <xf numFmtId="0" fontId="73" fillId="0" borderId="49" xfId="4" applyFont="1" applyBorder="1" applyAlignment="1">
      <alignment vertical="center"/>
    </xf>
    <xf numFmtId="0" fontId="75" fillId="0" borderId="71" xfId="4" applyFont="1" applyBorder="1" applyAlignment="1">
      <alignment vertical="center"/>
    </xf>
    <xf numFmtId="0" fontId="75" fillId="0" borderId="64" xfId="4" applyFont="1" applyBorder="1" applyAlignment="1">
      <alignment vertical="center"/>
    </xf>
    <xf numFmtId="4" fontId="76" fillId="0" borderId="35" xfId="4" applyNumberFormat="1" applyFont="1" applyBorder="1" applyAlignment="1">
      <alignment horizontal="right" vertical="center" shrinkToFit="1"/>
    </xf>
    <xf numFmtId="4" fontId="76" fillId="0" borderId="30" xfId="4" applyNumberFormat="1" applyFont="1" applyBorder="1" applyAlignment="1">
      <alignment horizontal="center" vertical="center" wrapText="1" shrinkToFit="1"/>
    </xf>
    <xf numFmtId="4" fontId="76" fillId="0" borderId="30" xfId="4" applyNumberFormat="1" applyFont="1" applyBorder="1" applyAlignment="1">
      <alignment vertical="center" shrinkToFit="1"/>
    </xf>
    <xf numFmtId="4" fontId="76" fillId="0" borderId="30" xfId="4" applyNumberFormat="1" applyFont="1" applyBorder="1" applyAlignment="1">
      <alignment horizontal="center" vertical="center" shrinkToFit="1"/>
    </xf>
    <xf numFmtId="4" fontId="76" fillId="0" borderId="30" xfId="4" applyNumberFormat="1" applyFont="1" applyBorder="1" applyAlignment="1">
      <alignment horizontal="right" vertical="center" shrinkToFit="1"/>
    </xf>
    <xf numFmtId="0" fontId="73" fillId="0" borderId="38" xfId="4" applyFont="1" applyBorder="1" applyAlignment="1">
      <alignment horizontal="center" vertical="center" wrapText="1"/>
    </xf>
    <xf numFmtId="4" fontId="46" fillId="0" borderId="0" xfId="4" applyNumberFormat="1"/>
    <xf numFmtId="4" fontId="8" fillId="25" borderId="117" xfId="4" applyNumberFormat="1" applyFont="1" applyFill="1" applyBorder="1" applyAlignment="1">
      <alignment horizontal="right" vertical="center" shrinkToFit="1"/>
    </xf>
    <xf numFmtId="4" fontId="8" fillId="25" borderId="117" xfId="4" applyNumberFormat="1" applyFont="1" applyFill="1" applyBorder="1" applyAlignment="1">
      <alignment horizontal="left" vertical="center" shrinkToFit="1"/>
    </xf>
    <xf numFmtId="0" fontId="46" fillId="0" borderId="118" xfId="4" applyBorder="1"/>
    <xf numFmtId="4" fontId="8" fillId="0" borderId="35" xfId="4" applyNumberFormat="1" applyFont="1" applyBorder="1" applyAlignment="1">
      <alignment horizontal="right" vertical="center" shrinkToFit="1"/>
    </xf>
    <xf numFmtId="0" fontId="8" fillId="0" borderId="119" xfId="4" applyFont="1" applyBorder="1" applyAlignment="1">
      <alignment horizontal="center" vertical="center" shrinkToFit="1"/>
    </xf>
    <xf numFmtId="0" fontId="8" fillId="0" borderId="120" xfId="4" applyFont="1" applyBorder="1" applyAlignment="1">
      <alignment horizontal="justify" vertical="center" wrapText="1"/>
    </xf>
    <xf numFmtId="0" fontId="8" fillId="0" borderId="119" xfId="4" applyFont="1" applyBorder="1" applyAlignment="1">
      <alignment horizontal="center" vertical="center"/>
    </xf>
    <xf numFmtId="4" fontId="8" fillId="0" borderId="120" xfId="4" applyNumberFormat="1" applyFont="1" applyBorder="1" applyAlignment="1">
      <alignment horizontal="center" vertical="center" shrinkToFit="1"/>
    </xf>
    <xf numFmtId="4" fontId="8" fillId="0" borderId="120" xfId="4" applyNumberFormat="1" applyFont="1" applyBorder="1" applyAlignment="1">
      <alignment horizontal="right" vertical="center" shrinkToFit="1"/>
    </xf>
    <xf numFmtId="4" fontId="77" fillId="0" borderId="120" xfId="4" applyNumberFormat="1" applyFont="1" applyBorder="1" applyAlignment="1">
      <alignment horizontal="center" vertical="center" shrinkToFit="1"/>
    </xf>
    <xf numFmtId="4" fontId="8" fillId="25" borderId="120" xfId="4" applyNumberFormat="1" applyFont="1" applyFill="1" applyBorder="1" applyAlignment="1">
      <alignment horizontal="right" vertical="center" shrinkToFit="1"/>
    </xf>
    <xf numFmtId="4" fontId="8" fillId="25" borderId="120" xfId="4" applyNumberFormat="1" applyFont="1" applyFill="1" applyBorder="1" applyAlignment="1">
      <alignment horizontal="justify" vertical="center" shrinkToFit="1"/>
    </xf>
    <xf numFmtId="0" fontId="46" fillId="0" borderId="121" xfId="4" applyBorder="1"/>
    <xf numFmtId="4" fontId="78" fillId="0" borderId="122" xfId="4" applyNumberFormat="1" applyFont="1" applyBorder="1" applyAlignment="1">
      <alignment horizontal="right" vertical="center" shrinkToFit="1"/>
    </xf>
    <xf numFmtId="0" fontId="8" fillId="0" borderId="119" xfId="4" applyFont="1" applyBorder="1" applyAlignment="1">
      <alignment horizontal="center" vertical="center" wrapText="1"/>
    </xf>
    <xf numFmtId="4" fontId="8" fillId="0" borderId="41" xfId="4" applyNumberFormat="1" applyFont="1" applyBorder="1" applyAlignment="1">
      <alignment horizontal="right" vertical="center" shrinkToFit="1"/>
    </xf>
    <xf numFmtId="0" fontId="8" fillId="0" borderId="123" xfId="4" applyFont="1" applyBorder="1" applyAlignment="1">
      <alignment horizontal="center" vertical="center" shrinkToFit="1"/>
    </xf>
    <xf numFmtId="0" fontId="8" fillId="0" borderId="124" xfId="4" applyFont="1" applyBorder="1" applyAlignment="1">
      <alignment horizontal="justify" vertical="center" wrapText="1"/>
    </xf>
    <xf numFmtId="0" fontId="8" fillId="0" borderId="123" xfId="4" applyFont="1" applyBorder="1" applyAlignment="1">
      <alignment horizontal="center" vertical="center"/>
    </xf>
    <xf numFmtId="4" fontId="8" fillId="0" borderId="124" xfId="4" applyNumberFormat="1" applyFont="1" applyBorder="1" applyAlignment="1">
      <alignment horizontal="right" vertical="center" shrinkToFit="1"/>
    </xf>
    <xf numFmtId="4" fontId="8" fillId="0" borderId="124" xfId="4" applyNumberFormat="1" applyFont="1" applyBorder="1" applyAlignment="1">
      <alignment horizontal="center" vertical="center" shrinkToFit="1"/>
    </xf>
    <xf numFmtId="0" fontId="46" fillId="0" borderId="125" xfId="4" applyBorder="1"/>
    <xf numFmtId="0" fontId="73" fillId="0" borderId="39" xfId="4" applyFont="1" applyBorder="1"/>
    <xf numFmtId="0" fontId="73" fillId="0" borderId="37" xfId="4" applyFont="1" applyBorder="1" applyAlignment="1">
      <alignment vertical="center"/>
    </xf>
    <xf numFmtId="0" fontId="73" fillId="0" borderId="37" xfId="4" applyFont="1" applyBorder="1"/>
    <xf numFmtId="0" fontId="73" fillId="0" borderId="38" xfId="4" applyFont="1" applyBorder="1"/>
    <xf numFmtId="0" fontId="75" fillId="0" borderId="0" xfId="4" applyFont="1"/>
    <xf numFmtId="4" fontId="75" fillId="0" borderId="0" xfId="4" applyNumberFormat="1" applyFont="1"/>
    <xf numFmtId="4" fontId="73" fillId="0" borderId="0" xfId="4" applyNumberFormat="1" applyFont="1"/>
    <xf numFmtId="0" fontId="80" fillId="4" borderId="24" xfId="5" applyFont="1" applyFill="1" applyBorder="1" applyAlignment="1">
      <alignment horizontal="center" vertical="center"/>
    </xf>
    <xf numFmtId="0" fontId="80" fillId="4" borderId="103" xfId="5" applyFont="1" applyFill="1" applyBorder="1" applyAlignment="1">
      <alignment horizontal="center" vertical="center"/>
    </xf>
    <xf numFmtId="0" fontId="80" fillId="4" borderId="30" xfId="5" applyFont="1" applyFill="1" applyBorder="1" applyAlignment="1">
      <alignment horizontal="center" vertical="center"/>
    </xf>
    <xf numFmtId="0" fontId="80" fillId="4" borderId="40" xfId="5" applyFont="1" applyFill="1" applyBorder="1" applyAlignment="1">
      <alignment horizontal="center" vertical="center"/>
    </xf>
    <xf numFmtId="49" fontId="80" fillId="5" borderId="25" xfId="5" applyNumberFormat="1" applyFont="1" applyFill="1" applyBorder="1" applyAlignment="1">
      <alignment horizontal="center"/>
    </xf>
    <xf numFmtId="0" fontId="80" fillId="5" borderId="103" xfId="5" applyFont="1" applyFill="1" applyBorder="1" applyAlignment="1">
      <alignment horizontal="left" wrapText="1"/>
    </xf>
    <xf numFmtId="0" fontId="81" fillId="5" borderId="45" xfId="5" applyFont="1" applyFill="1" applyBorder="1" applyAlignment="1">
      <alignment horizontal="center" vertical="center"/>
    </xf>
    <xf numFmtId="0" fontId="81" fillId="5" borderId="61" xfId="5" applyFont="1" applyFill="1" applyBorder="1" applyAlignment="1">
      <alignment vertical="center"/>
    </xf>
    <xf numFmtId="49" fontId="80" fillId="5" borderId="114" xfId="5" applyNumberFormat="1" applyFont="1" applyFill="1" applyBorder="1" applyAlignment="1">
      <alignment horizontal="center" vertical="center"/>
    </xf>
    <xf numFmtId="0" fontId="80" fillId="5" borderId="0" xfId="5" applyFont="1" applyFill="1" applyAlignment="1">
      <alignment horizontal="left" wrapText="1"/>
    </xf>
    <xf numFmtId="0" fontId="81" fillId="5" borderId="59" xfId="5" applyFont="1" applyFill="1" applyBorder="1" applyAlignment="1">
      <alignment horizontal="center" vertical="center"/>
    </xf>
    <xf numFmtId="0" fontId="81" fillId="5" borderId="77" xfId="5" applyFont="1" applyFill="1" applyBorder="1" applyAlignment="1">
      <alignment vertical="center"/>
    </xf>
    <xf numFmtId="49" fontId="80" fillId="0" borderId="114" xfId="5" applyNumberFormat="1" applyFont="1" applyBorder="1" applyAlignment="1">
      <alignment horizontal="center" vertical="center"/>
    </xf>
    <xf numFmtId="0" fontId="80" fillId="0" borderId="0" xfId="5" applyFont="1" applyAlignment="1">
      <alignment horizontal="left" wrapText="1"/>
    </xf>
    <xf numFmtId="0" fontId="82" fillId="0" borderId="59" xfId="5" applyFont="1" applyBorder="1" applyAlignment="1">
      <alignment horizontal="center" vertical="center"/>
    </xf>
    <xf numFmtId="2" fontId="80" fillId="0" borderId="77" xfId="5" applyNumberFormat="1" applyFont="1" applyBorder="1" applyAlignment="1">
      <alignment vertical="center"/>
    </xf>
    <xf numFmtId="0" fontId="80" fillId="26" borderId="30" xfId="5" applyFont="1" applyFill="1" applyBorder="1" applyAlignment="1">
      <alignment horizontal="center"/>
    </xf>
    <xf numFmtId="0" fontId="84" fillId="0" borderId="30" xfId="5" applyFont="1" applyBorder="1" applyAlignment="1">
      <alignment horizontal="center" vertical="center"/>
    </xf>
    <xf numFmtId="0" fontId="76" fillId="8" borderId="30" xfId="5" applyFont="1" applyFill="1" applyBorder="1" applyAlignment="1">
      <alignment horizontal="center" vertical="center"/>
    </xf>
    <xf numFmtId="0" fontId="76" fillId="8" borderId="31" xfId="5" applyFont="1" applyFill="1" applyBorder="1" applyAlignment="1">
      <alignment horizontal="center" vertical="center"/>
    </xf>
    <xf numFmtId="2" fontId="81" fillId="0" borderId="30" xfId="5" applyNumberFormat="1" applyFont="1" applyBorder="1" applyAlignment="1">
      <alignment horizontal="center" vertical="center"/>
    </xf>
    <xf numFmtId="1" fontId="81" fillId="0" borderId="39" xfId="5" applyNumberFormat="1" applyFont="1" applyBorder="1" applyAlignment="1">
      <alignment horizontal="center" vertical="center" wrapText="1"/>
    </xf>
    <xf numFmtId="2" fontId="84" fillId="0" borderId="31" xfId="5" applyNumberFormat="1" applyFont="1" applyBorder="1" applyAlignment="1">
      <alignment horizontal="center" vertical="center" wrapText="1"/>
    </xf>
    <xf numFmtId="0" fontId="8" fillId="0" borderId="36" xfId="5" applyFont="1" applyBorder="1" applyAlignment="1">
      <alignment horizontal="right" vertical="center"/>
    </xf>
    <xf numFmtId="2" fontId="8" fillId="0" borderId="38" xfId="5" applyNumberFormat="1" applyFont="1" applyBorder="1" applyAlignment="1">
      <alignment horizontal="left" vertical="center" wrapText="1"/>
    </xf>
    <xf numFmtId="2" fontId="81" fillId="0" borderId="38" xfId="5" applyNumberFormat="1" applyFont="1" applyBorder="1" applyAlignment="1">
      <alignment horizontal="center" vertical="center"/>
    </xf>
    <xf numFmtId="2" fontId="81" fillId="0" borderId="41" xfId="5" applyNumberFormat="1" applyFont="1" applyBorder="1" applyAlignment="1">
      <alignment horizontal="center" vertical="center" wrapText="1"/>
    </xf>
    <xf numFmtId="2" fontId="81" fillId="0" borderId="42" xfId="5" applyNumberFormat="1" applyFont="1" applyBorder="1" applyAlignment="1">
      <alignment horizontal="center" vertical="center" wrapText="1"/>
    </xf>
    <xf numFmtId="2" fontId="81" fillId="0" borderId="83" xfId="5" applyNumberFormat="1" applyFont="1" applyBorder="1" applyAlignment="1">
      <alignment horizontal="center" vertical="center"/>
    </xf>
    <xf numFmtId="1" fontId="8" fillId="0" borderId="83" xfId="5" applyNumberFormat="1" applyFont="1" applyBorder="1" applyAlignment="1">
      <alignment horizontal="right" vertical="center" wrapText="1"/>
    </xf>
    <xf numFmtId="2" fontId="83" fillId="0" borderId="34" xfId="5" applyNumberFormat="1" applyFont="1" applyBorder="1" applyAlignment="1">
      <alignment horizontal="center" vertical="center" wrapText="1"/>
    </xf>
    <xf numFmtId="2" fontId="81" fillId="0" borderId="0" xfId="5" applyNumberFormat="1" applyFont="1" applyAlignment="1">
      <alignment horizontal="center" vertical="center" wrapText="1"/>
    </xf>
    <xf numFmtId="2" fontId="81" fillId="0" borderId="0" xfId="5" applyNumberFormat="1" applyFont="1" applyAlignment="1">
      <alignment horizontal="center" vertical="center"/>
    </xf>
    <xf numFmtId="1" fontId="8" fillId="0" borderId="0" xfId="5" applyNumberFormat="1" applyFont="1" applyAlignment="1">
      <alignment horizontal="right" vertical="center" wrapText="1"/>
    </xf>
    <xf numFmtId="2" fontId="83" fillId="0" borderId="0" xfId="5" applyNumberFormat="1" applyFont="1" applyAlignment="1">
      <alignment horizontal="center" vertical="center" wrapText="1"/>
    </xf>
    <xf numFmtId="2" fontId="81" fillId="0" borderId="38" xfId="5" applyNumberFormat="1" applyFont="1" applyBorder="1" applyAlignment="1">
      <alignment horizontal="left" vertical="center" wrapText="1"/>
    </xf>
    <xf numFmtId="2" fontId="81" fillId="0" borderId="102" xfId="5" applyNumberFormat="1" applyFont="1" applyBorder="1" applyAlignment="1">
      <alignment horizontal="center" vertical="center" wrapText="1"/>
    </xf>
    <xf numFmtId="2" fontId="81" fillId="0" borderId="103" xfId="5" applyNumberFormat="1" applyFont="1" applyBorder="1" applyAlignment="1">
      <alignment horizontal="center" vertical="center" wrapText="1"/>
    </xf>
    <xf numFmtId="2" fontId="81" fillId="0" borderId="103" xfId="5" applyNumberFormat="1" applyFont="1" applyBorder="1" applyAlignment="1">
      <alignment horizontal="center" vertical="center"/>
    </xf>
    <xf numFmtId="1" fontId="8" fillId="0" borderId="103" xfId="5" applyNumberFormat="1" applyFont="1" applyBorder="1" applyAlignment="1">
      <alignment horizontal="right" vertical="center" wrapText="1"/>
    </xf>
    <xf numFmtId="2" fontId="83" fillId="0" borderId="61" xfId="5" applyNumberFormat="1" applyFont="1" applyBorder="1" applyAlignment="1">
      <alignment horizontal="center" vertical="center" wrapText="1"/>
    </xf>
    <xf numFmtId="2" fontId="79" fillId="17" borderId="126" xfId="5" applyNumberFormat="1" applyFont="1" applyFill="1" applyBorder="1" applyAlignment="1">
      <alignment horizontal="center" vertical="center"/>
    </xf>
    <xf numFmtId="0" fontId="81" fillId="0" borderId="0" xfId="5" applyFont="1"/>
    <xf numFmtId="0" fontId="81" fillId="0" borderId="114" xfId="5" applyFont="1" applyBorder="1" applyAlignment="1">
      <alignment horizontal="center" vertical="top"/>
    </xf>
    <xf numFmtId="0" fontId="80" fillId="3" borderId="0" xfId="5" applyFont="1" applyFill="1" applyAlignment="1">
      <alignment horizontal="center" vertical="center"/>
    </xf>
    <xf numFmtId="0" fontId="80" fillId="0" borderId="59" xfId="5" applyFont="1" applyBorder="1" applyAlignment="1">
      <alignment horizontal="center"/>
    </xf>
    <xf numFmtId="184" fontId="80" fillId="0" borderId="77" xfId="5" applyNumberFormat="1" applyFont="1" applyBorder="1"/>
    <xf numFmtId="0" fontId="80" fillId="3" borderId="0" xfId="5" applyFont="1" applyFill="1" applyAlignment="1">
      <alignment horizontal="center"/>
    </xf>
    <xf numFmtId="0" fontId="85" fillId="0" borderId="0" xfId="5" applyFont="1" applyAlignment="1">
      <alignment horizontal="center" vertical="center"/>
    </xf>
    <xf numFmtId="0" fontId="76" fillId="26" borderId="30" xfId="5" applyFont="1" applyFill="1" applyBorder="1" applyAlignment="1">
      <alignment horizontal="center" vertical="center"/>
    </xf>
    <xf numFmtId="2" fontId="81" fillId="0" borderId="127" xfId="5" applyNumberFormat="1" applyFont="1" applyBorder="1" applyAlignment="1">
      <alignment horizontal="center" vertical="center" wrapText="1"/>
    </xf>
    <xf numFmtId="2" fontId="81" fillId="0" borderId="127" xfId="5" applyNumberFormat="1" applyFont="1" applyBorder="1" applyAlignment="1">
      <alignment horizontal="center" vertical="center"/>
    </xf>
    <xf numFmtId="1" fontId="81" fillId="0" borderId="128" xfId="5" applyNumberFormat="1" applyFont="1" applyBorder="1" applyAlignment="1">
      <alignment horizontal="center" vertical="center" wrapText="1"/>
    </xf>
    <xf numFmtId="2" fontId="81" fillId="0" borderId="45" xfId="5" applyNumberFormat="1" applyFont="1" applyBorder="1" applyAlignment="1">
      <alignment horizontal="center" vertical="center" wrapText="1"/>
    </xf>
    <xf numFmtId="2" fontId="81" fillId="0" borderId="59" xfId="5" applyNumberFormat="1" applyFont="1" applyBorder="1" applyAlignment="1">
      <alignment horizontal="center" vertical="center" wrapText="1"/>
    </xf>
    <xf numFmtId="2" fontId="81" fillId="0" borderId="59" xfId="5" applyNumberFormat="1" applyFont="1" applyBorder="1" applyAlignment="1">
      <alignment horizontal="center" vertical="center"/>
    </xf>
    <xf numFmtId="1" fontId="81" fillId="0" borderId="48" xfId="5" applyNumberFormat="1" applyFont="1" applyBorder="1" applyAlignment="1">
      <alignment horizontal="center" vertical="center" wrapText="1"/>
    </xf>
    <xf numFmtId="2" fontId="81" fillId="0" borderId="120" xfId="5" applyNumberFormat="1" applyFont="1" applyBorder="1" applyAlignment="1">
      <alignment horizontal="center" vertical="center" wrapText="1"/>
    </xf>
    <xf numFmtId="2" fontId="81" fillId="0" borderId="129" xfId="5" applyNumberFormat="1" applyFont="1" applyBorder="1" applyAlignment="1">
      <alignment horizontal="center" vertical="center" wrapText="1"/>
    </xf>
    <xf numFmtId="2" fontId="81" fillId="0" borderId="129" xfId="5" applyNumberFormat="1" applyFont="1" applyBorder="1" applyAlignment="1">
      <alignment horizontal="center" vertical="center"/>
    </xf>
    <xf numFmtId="1" fontId="81" fillId="0" borderId="130" xfId="5" applyNumberFormat="1" applyFont="1" applyBorder="1" applyAlignment="1">
      <alignment horizontal="center" vertical="center" wrapText="1"/>
    </xf>
    <xf numFmtId="2" fontId="80" fillId="2" borderId="30" xfId="5" applyNumberFormat="1" applyFont="1" applyFill="1" applyBorder="1" applyAlignment="1">
      <alignment horizontal="center" vertical="center"/>
    </xf>
    <xf numFmtId="0" fontId="81" fillId="0" borderId="59" xfId="5" applyFont="1" applyBorder="1" applyAlignment="1">
      <alignment horizontal="center" vertical="center"/>
    </xf>
    <xf numFmtId="0" fontId="81" fillId="0" borderId="77" xfId="5" applyFont="1" applyBorder="1" applyAlignment="1">
      <alignment vertical="center"/>
    </xf>
    <xf numFmtId="49" fontId="76" fillId="3" borderId="114" xfId="5" applyNumberFormat="1" applyFont="1" applyFill="1" applyBorder="1" applyAlignment="1">
      <alignment horizontal="center"/>
    </xf>
    <xf numFmtId="0" fontId="5" fillId="0" borderId="114" xfId="5" applyBorder="1"/>
    <xf numFmtId="0" fontId="86" fillId="0" borderId="59" xfId="5" applyFont="1" applyBorder="1" applyAlignment="1">
      <alignment horizontal="center" vertical="center"/>
    </xf>
    <xf numFmtId="0" fontId="5" fillId="0" borderId="29" xfId="5" applyBorder="1"/>
    <xf numFmtId="0" fontId="76" fillId="26" borderId="24" xfId="5" applyFont="1" applyFill="1" applyBorder="1" applyAlignment="1">
      <alignment horizontal="center" vertical="center"/>
    </xf>
    <xf numFmtId="0" fontId="76" fillId="26" borderId="31" xfId="5" applyFont="1" applyFill="1" applyBorder="1" applyAlignment="1">
      <alignment horizontal="center" vertical="center"/>
    </xf>
    <xf numFmtId="2" fontId="81" fillId="0" borderId="131" xfId="5" applyNumberFormat="1" applyFont="1" applyBorder="1" applyAlignment="1">
      <alignment horizontal="right" vertical="center" wrapText="1"/>
    </xf>
    <xf numFmtId="2" fontId="81" fillId="0" borderId="132" xfId="5" applyNumberFormat="1" applyFont="1" applyBorder="1" applyAlignment="1">
      <alignment horizontal="left" vertical="center" wrapText="1"/>
    </xf>
    <xf numFmtId="1" fontId="81" fillId="0" borderId="127" xfId="5" applyNumberFormat="1" applyFont="1" applyBorder="1" applyAlignment="1">
      <alignment horizontal="center" vertical="center" wrapText="1"/>
    </xf>
    <xf numFmtId="2" fontId="81" fillId="0" borderId="133" xfId="5" applyNumberFormat="1" applyFont="1" applyBorder="1" applyAlignment="1">
      <alignment horizontal="center" vertical="center" wrapText="1"/>
    </xf>
    <xf numFmtId="2" fontId="81" fillId="0" borderId="134" xfId="5" applyNumberFormat="1" applyFont="1" applyBorder="1" applyAlignment="1">
      <alignment horizontal="right" vertical="center" wrapText="1"/>
    </xf>
    <xf numFmtId="2" fontId="81" fillId="0" borderId="135" xfId="5" applyNumberFormat="1" applyFont="1" applyBorder="1" applyAlignment="1">
      <alignment horizontal="left" vertical="center" wrapText="1"/>
    </xf>
    <xf numFmtId="2" fontId="81" fillId="0" borderId="136" xfId="5" applyNumberFormat="1" applyFont="1" applyBorder="1" applyAlignment="1">
      <alignment horizontal="center" vertical="center"/>
    </xf>
    <xf numFmtId="1" fontId="81" fillId="0" borderId="129" xfId="5" applyNumberFormat="1" applyFont="1" applyBorder="1" applyAlignment="1">
      <alignment horizontal="center" vertical="center" wrapText="1"/>
    </xf>
    <xf numFmtId="2" fontId="81" fillId="0" borderId="137" xfId="5" applyNumberFormat="1" applyFont="1" applyBorder="1" applyAlignment="1">
      <alignment horizontal="center" vertical="center" wrapText="1"/>
    </xf>
    <xf numFmtId="2" fontId="81" fillId="0" borderId="62" xfId="5" applyNumberFormat="1" applyFont="1" applyBorder="1" applyAlignment="1">
      <alignment horizontal="center" vertical="center" wrapText="1"/>
    </xf>
    <xf numFmtId="2" fontId="81" fillId="0" borderId="83" xfId="5" applyNumberFormat="1" applyFont="1" applyBorder="1" applyAlignment="1">
      <alignment horizontal="center" vertical="center" wrapText="1"/>
    </xf>
    <xf numFmtId="2" fontId="83" fillId="17" borderId="126" xfId="5" applyNumberFormat="1" applyFont="1" applyFill="1" applyBorder="1" applyAlignment="1">
      <alignment horizontal="center" vertical="center"/>
    </xf>
    <xf numFmtId="0" fontId="5" fillId="3" borderId="114" xfId="5" applyFill="1" applyBorder="1" applyAlignment="1">
      <alignment horizontal="center" vertical="top"/>
    </xf>
    <xf numFmtId="0" fontId="71" fillId="3" borderId="0" xfId="5" applyFont="1" applyFill="1" applyAlignment="1">
      <alignment horizontal="left" vertical="center" wrapText="1"/>
    </xf>
    <xf numFmtId="2" fontId="81" fillId="0" borderId="77" xfId="5" applyNumberFormat="1" applyFont="1" applyBorder="1" applyAlignment="1">
      <alignment vertical="center"/>
    </xf>
    <xf numFmtId="2" fontId="81" fillId="0" borderId="131" xfId="5" applyNumberFormat="1" applyFont="1" applyBorder="1" applyAlignment="1">
      <alignment horizontal="center" vertical="center" wrapText="1"/>
    </xf>
    <xf numFmtId="2" fontId="81" fillId="0" borderId="134" xfId="5" applyNumberFormat="1" applyFont="1" applyBorder="1" applyAlignment="1">
      <alignment horizontal="center" vertical="center" wrapText="1"/>
    </xf>
    <xf numFmtId="49" fontId="71" fillId="0" borderId="114" xfId="5" applyNumberFormat="1" applyFont="1" applyBorder="1" applyAlignment="1">
      <alignment horizontal="center"/>
    </xf>
    <xf numFmtId="0" fontId="5" fillId="0" borderId="77" xfId="5" applyBorder="1" applyAlignment="1">
      <alignment vertical="center"/>
    </xf>
    <xf numFmtId="0" fontId="87" fillId="0" borderId="59" xfId="5" applyFont="1" applyBorder="1" applyAlignment="1">
      <alignment horizontal="center" vertical="center"/>
    </xf>
    <xf numFmtId="0" fontId="76" fillId="8" borderId="14" xfId="5" applyFont="1" applyFill="1" applyBorder="1" applyAlignment="1">
      <alignment horizontal="center" vertical="center"/>
    </xf>
    <xf numFmtId="0" fontId="76" fillId="8" borderId="15" xfId="5" applyFont="1" applyFill="1" applyBorder="1" applyAlignment="1">
      <alignment horizontal="center" vertical="center"/>
    </xf>
    <xf numFmtId="2" fontId="81" fillId="0" borderId="120" xfId="5" applyNumberFormat="1" applyFont="1" applyBorder="1" applyAlignment="1">
      <alignment horizontal="center" vertical="center"/>
    </xf>
    <xf numFmtId="2" fontId="81" fillId="0" borderId="140" xfId="5" applyNumberFormat="1" applyFont="1" applyBorder="1" applyAlignment="1">
      <alignment horizontal="center" vertical="center" wrapText="1"/>
    </xf>
    <xf numFmtId="2" fontId="81" fillId="0" borderId="141" xfId="5" applyNumberFormat="1" applyFont="1" applyBorder="1" applyAlignment="1">
      <alignment horizontal="center" vertical="center" wrapText="1"/>
    </xf>
    <xf numFmtId="2" fontId="81" fillId="0" borderId="0" xfId="5" applyNumberFormat="1" applyFont="1"/>
    <xf numFmtId="0" fontId="76" fillId="26" borderId="24" xfId="5" applyFont="1" applyFill="1" applyBorder="1" applyAlignment="1">
      <alignment horizontal="center"/>
    </xf>
    <xf numFmtId="0" fontId="76" fillId="26" borderId="30" xfId="5" applyFont="1" applyFill="1" applyBorder="1" applyAlignment="1">
      <alignment horizontal="center"/>
    </xf>
    <xf numFmtId="2" fontId="81" fillId="0" borderId="131" xfId="5" applyNumberFormat="1" applyFont="1" applyBorder="1" applyAlignment="1">
      <alignment horizontal="center" wrapText="1"/>
    </xf>
    <xf numFmtId="2" fontId="81" fillId="0" borderId="127" xfId="5" applyNumberFormat="1" applyFont="1" applyBorder="1" applyAlignment="1">
      <alignment horizontal="center" wrapText="1"/>
    </xf>
    <xf numFmtId="2" fontId="81" fillId="0" borderId="138" xfId="5" applyNumberFormat="1" applyFont="1" applyBorder="1" applyAlignment="1">
      <alignment horizontal="center" wrapText="1"/>
    </xf>
    <xf numFmtId="2" fontId="81" fillId="0" borderId="120" xfId="5" applyNumberFormat="1" applyFont="1" applyBorder="1" applyAlignment="1">
      <alignment horizontal="center" wrapText="1"/>
    </xf>
    <xf numFmtId="2" fontId="81" fillId="0" borderId="134" xfId="5" applyNumberFormat="1" applyFont="1" applyBorder="1" applyAlignment="1">
      <alignment horizontal="center" wrapText="1"/>
    </xf>
    <xf numFmtId="0" fontId="81" fillId="0" borderId="0" xfId="5" applyFont="1" applyAlignment="1">
      <alignment vertical="center"/>
    </xf>
    <xf numFmtId="0" fontId="80" fillId="0" borderId="0" xfId="5" applyFont="1" applyAlignment="1">
      <alignment horizontal="left" vertical="center" wrapText="1"/>
    </xf>
    <xf numFmtId="0" fontId="84" fillId="0" borderId="0" xfId="5" applyFont="1"/>
    <xf numFmtId="0" fontId="84" fillId="0" borderId="114" xfId="5" applyFont="1" applyBorder="1"/>
    <xf numFmtId="0" fontId="83" fillId="3" borderId="0" xfId="5" applyFont="1" applyFill="1" applyAlignment="1">
      <alignment horizontal="left" vertical="center" wrapText="1"/>
    </xf>
    <xf numFmtId="0" fontId="84" fillId="0" borderId="59" xfId="5" applyFont="1" applyBorder="1" applyAlignment="1">
      <alignment horizontal="center" vertical="center"/>
    </xf>
    <xf numFmtId="2" fontId="84" fillId="0" borderId="77" xfId="5" applyNumberFormat="1" applyFont="1" applyBorder="1" applyAlignment="1">
      <alignment vertical="center"/>
    </xf>
    <xf numFmtId="0" fontId="84" fillId="0" borderId="114" xfId="5" applyFont="1" applyBorder="1" applyAlignment="1">
      <alignment horizontal="center" vertical="top"/>
    </xf>
    <xf numFmtId="0" fontId="83" fillId="26" borderId="36" xfId="5" applyFont="1" applyFill="1" applyBorder="1" applyAlignment="1">
      <alignment horizontal="center" vertical="center"/>
    </xf>
    <xf numFmtId="0" fontId="83" fillId="26" borderId="39" xfId="5" applyFont="1" applyFill="1" applyBorder="1" applyAlignment="1">
      <alignment horizontal="center" vertical="center" wrapText="1"/>
    </xf>
    <xf numFmtId="0" fontId="83" fillId="26" borderId="31" xfId="5" applyFont="1" applyFill="1" applyBorder="1" applyAlignment="1">
      <alignment horizontal="center" vertical="center"/>
    </xf>
    <xf numFmtId="0" fontId="83" fillId="0" borderId="59" xfId="5" applyFont="1" applyBorder="1" applyAlignment="1">
      <alignment horizontal="center"/>
    </xf>
    <xf numFmtId="184" fontId="83" fillId="0" borderId="77" xfId="5" applyNumberFormat="1" applyFont="1" applyBorder="1"/>
    <xf numFmtId="0" fontId="88" fillId="0" borderId="0" xfId="5" applyFont="1"/>
    <xf numFmtId="0" fontId="88" fillId="0" borderId="114" xfId="5" applyFont="1" applyBorder="1" applyAlignment="1">
      <alignment horizontal="center" vertical="top"/>
    </xf>
    <xf numFmtId="0" fontId="79" fillId="3" borderId="0" xfId="5" applyFont="1" applyFill="1" applyAlignment="1">
      <alignment horizontal="center"/>
    </xf>
    <xf numFmtId="2" fontId="88" fillId="0" borderId="56" xfId="5" applyNumberFormat="1" applyFont="1" applyBorder="1" applyAlignment="1">
      <alignment horizontal="center" vertical="center"/>
    </xf>
    <xf numFmtId="2" fontId="88" fillId="0" borderId="39" xfId="5" applyNumberFormat="1" applyFont="1" applyBorder="1" applyAlignment="1">
      <alignment horizontal="center" vertical="center"/>
    </xf>
    <xf numFmtId="2" fontId="88" fillId="0" borderId="31" xfId="32" applyNumberFormat="1" applyFont="1" applyBorder="1" applyAlignment="1">
      <alignment horizontal="center" vertical="center"/>
    </xf>
    <xf numFmtId="0" fontId="79" fillId="0" borderId="59" xfId="5" applyFont="1" applyBorder="1" applyAlignment="1">
      <alignment horizontal="center"/>
    </xf>
    <xf numFmtId="184" fontId="79" fillId="0" borderId="77" xfId="5" applyNumberFormat="1" applyFont="1" applyBorder="1"/>
    <xf numFmtId="2" fontId="83" fillId="2" borderId="34" xfId="32" applyNumberFormat="1" applyFont="1" applyFill="1" applyBorder="1" applyAlignment="1">
      <alignment vertical="center"/>
    </xf>
    <xf numFmtId="0" fontId="80" fillId="26" borderId="30" xfId="5" applyFont="1" applyFill="1" applyBorder="1" applyAlignment="1">
      <alignment horizontal="center" vertical="center"/>
    </xf>
    <xf numFmtId="2" fontId="81" fillId="0" borderId="30" xfId="32" applyNumberFormat="1" applyFont="1" applyBorder="1" applyAlignment="1">
      <alignment horizontal="center" vertical="center"/>
    </xf>
    <xf numFmtId="2" fontId="83" fillId="2" borderId="30" xfId="32" applyNumberFormat="1" applyFont="1" applyFill="1" applyBorder="1" applyAlignment="1">
      <alignment horizontal="center" vertical="center"/>
    </xf>
    <xf numFmtId="0" fontId="84" fillId="0" borderId="45" xfId="5" applyFont="1" applyBorder="1" applyAlignment="1">
      <alignment horizontal="center" vertical="center"/>
    </xf>
    <xf numFmtId="0" fontId="80" fillId="26" borderId="36" xfId="5" applyFont="1" applyFill="1" applyBorder="1" applyAlignment="1">
      <alignment horizontal="center" vertical="center"/>
    </xf>
    <xf numFmtId="0" fontId="80" fillId="26" borderId="31" xfId="5" applyFont="1" applyFill="1" applyBorder="1" applyAlignment="1">
      <alignment horizontal="center" vertical="center"/>
    </xf>
    <xf numFmtId="2" fontId="81" fillId="0" borderId="38" xfId="5" applyNumberFormat="1" applyFont="1" applyBorder="1" applyAlignment="1">
      <alignment horizontal="left" vertical="center"/>
    </xf>
    <xf numFmtId="2" fontId="81" fillId="0" borderId="31" xfId="32" applyNumberFormat="1" applyFont="1" applyBorder="1" applyAlignment="1">
      <alignment horizontal="center" vertical="center"/>
    </xf>
    <xf numFmtId="2" fontId="83" fillId="2" borderId="126" xfId="32" applyNumberFormat="1" applyFont="1" applyFill="1" applyBorder="1" applyAlignment="1">
      <alignment horizontal="center" vertical="center"/>
    </xf>
    <xf numFmtId="0" fontId="71" fillId="0" borderId="0" xfId="5" applyFont="1"/>
    <xf numFmtId="0" fontId="8" fillId="0" borderId="0" xfId="5" applyFont="1" applyAlignment="1">
      <alignment horizontal="center" vertical="center"/>
    </xf>
    <xf numFmtId="0" fontId="8" fillId="0" borderId="114" xfId="5" applyFont="1" applyBorder="1" applyAlignment="1">
      <alignment horizontal="center" vertical="center"/>
    </xf>
    <xf numFmtId="0" fontId="76" fillId="3" borderId="0" xfId="5" applyFont="1" applyFill="1" applyAlignment="1">
      <alignment horizontal="center" vertical="center"/>
    </xf>
    <xf numFmtId="0" fontId="76" fillId="0" borderId="59" xfId="5" applyFont="1" applyBorder="1" applyAlignment="1">
      <alignment horizontal="center" vertical="center"/>
    </xf>
    <xf numFmtId="184" fontId="76" fillId="0" borderId="77" xfId="5" applyNumberFormat="1" applyFont="1" applyBorder="1" applyAlignment="1">
      <alignment horizontal="center" vertical="center"/>
    </xf>
    <xf numFmtId="0" fontId="80" fillId="26" borderId="24" xfId="5" applyFont="1" applyFill="1" applyBorder="1" applyAlignment="1">
      <alignment horizontal="center" vertical="center"/>
    </xf>
    <xf numFmtId="2" fontId="81" fillId="0" borderId="24" xfId="5" applyNumberFormat="1" applyFont="1" applyBorder="1" applyAlignment="1">
      <alignment horizontal="center" vertical="center"/>
    </xf>
    <xf numFmtId="2" fontId="81" fillId="0" borderId="49" xfId="5" applyNumberFormat="1" applyFont="1" applyBorder="1" applyAlignment="1">
      <alignment horizontal="center" vertical="center"/>
    </xf>
    <xf numFmtId="2" fontId="81" fillId="0" borderId="25" xfId="5" applyNumberFormat="1" applyFont="1" applyBorder="1" applyAlignment="1">
      <alignment horizontal="center" vertical="center"/>
    </xf>
    <xf numFmtId="2" fontId="81" fillId="0" borderId="45" xfId="5" applyNumberFormat="1" applyFont="1" applyBorder="1" applyAlignment="1">
      <alignment horizontal="center" vertical="center"/>
    </xf>
    <xf numFmtId="2" fontId="81" fillId="0" borderId="61" xfId="32" applyNumberFormat="1" applyFont="1" applyBorder="1" applyAlignment="1">
      <alignment horizontal="center" vertical="center"/>
    </xf>
    <xf numFmtId="2" fontId="81" fillId="0" borderId="36" xfId="5" applyNumberFormat="1" applyFont="1" applyBorder="1" applyAlignment="1">
      <alignment vertical="center"/>
    </xf>
    <xf numFmtId="1" fontId="81" fillId="0" borderId="30" xfId="32" applyNumberFormat="1" applyFont="1" applyBorder="1" applyAlignment="1">
      <alignment horizontal="center" vertical="center"/>
    </xf>
    <xf numFmtId="2" fontId="81" fillId="0" borderId="56" xfId="5" applyNumberFormat="1" applyFont="1" applyBorder="1" applyAlignment="1">
      <alignment horizontal="center" vertical="center"/>
    </xf>
    <xf numFmtId="43" fontId="5" fillId="0" borderId="0" xfId="5" applyNumberFormat="1"/>
    <xf numFmtId="2" fontId="81" fillId="0" borderId="49" xfId="5" applyNumberFormat="1" applyFont="1" applyBorder="1" applyAlignment="1">
      <alignment vertical="center"/>
    </xf>
    <xf numFmtId="1" fontId="81" fillId="0" borderId="30" xfId="5" applyNumberFormat="1" applyFont="1" applyBorder="1" applyAlignment="1">
      <alignment horizontal="center" vertical="center"/>
    </xf>
    <xf numFmtId="43" fontId="81" fillId="0" borderId="71" xfId="32" applyFont="1" applyBorder="1" applyAlignment="1">
      <alignment vertical="center"/>
    </xf>
    <xf numFmtId="0" fontId="5" fillId="0" borderId="116" xfId="5" applyBorder="1" applyAlignment="1">
      <alignment horizontal="center" vertical="top"/>
    </xf>
    <xf numFmtId="0" fontId="5" fillId="0" borderId="63" xfId="5" applyBorder="1"/>
    <xf numFmtId="4" fontId="29" fillId="0" borderId="30" xfId="1" applyNumberFormat="1" applyFont="1" applyFill="1" applyBorder="1" applyAlignment="1">
      <alignment horizontal="right" vertical="center"/>
    </xf>
    <xf numFmtId="169" fontId="29" fillId="0" borderId="0" xfId="0" applyNumberFormat="1" applyFont="1" applyAlignment="1">
      <alignment vertical="center"/>
    </xf>
    <xf numFmtId="165" fontId="29" fillId="0" borderId="0" xfId="26" applyFont="1" applyAlignment="1">
      <alignment vertical="center"/>
    </xf>
    <xf numFmtId="0" fontId="90" fillId="0" borderId="0" xfId="0" applyFont="1"/>
    <xf numFmtId="0" fontId="89" fillId="28" borderId="151" xfId="0" applyFont="1" applyFill="1" applyBorder="1" applyAlignment="1">
      <alignment horizontal="center" vertical="center" wrapText="1"/>
    </xf>
    <xf numFmtId="0" fontId="89" fillId="28" borderId="149" xfId="0" applyFont="1" applyFill="1" applyBorder="1" applyAlignment="1">
      <alignment vertical="center" wrapText="1"/>
    </xf>
    <xf numFmtId="0" fontId="89" fillId="29" borderId="149" xfId="0" applyFont="1" applyFill="1" applyBorder="1" applyAlignment="1">
      <alignment horizontal="center" vertical="center" wrapText="1"/>
    </xf>
    <xf numFmtId="2" fontId="89" fillId="29" borderId="149" xfId="0" applyNumberFormat="1" applyFont="1" applyFill="1" applyBorder="1" applyAlignment="1">
      <alignment horizontal="center" vertical="center" wrapText="1"/>
    </xf>
    <xf numFmtId="2" fontId="89" fillId="0" borderId="149" xfId="0" applyNumberFormat="1" applyFont="1" applyBorder="1" applyAlignment="1">
      <alignment horizontal="center" vertical="center" wrapText="1"/>
    </xf>
    <xf numFmtId="8" fontId="89" fillId="0" borderId="149" xfId="0" applyNumberFormat="1" applyFont="1" applyBorder="1" applyAlignment="1">
      <alignment horizontal="center" vertical="center" wrapText="1"/>
    </xf>
    <xf numFmtId="4" fontId="89" fillId="28" borderId="149" xfId="0" applyNumberFormat="1" applyFont="1" applyFill="1" applyBorder="1" applyAlignment="1">
      <alignment horizontal="center" vertical="center" wrapText="1"/>
    </xf>
    <xf numFmtId="0" fontId="91" fillId="28" borderId="149" xfId="0" applyFont="1" applyFill="1" applyBorder="1" applyAlignment="1">
      <alignment horizontal="center" vertical="top" wrapText="1"/>
    </xf>
    <xf numFmtId="0" fontId="89" fillId="30" borderId="148" xfId="0" applyFont="1" applyFill="1" applyBorder="1" applyAlignment="1">
      <alignment horizontal="center" vertical="center" wrapText="1"/>
    </xf>
    <xf numFmtId="0" fontId="89" fillId="30" borderId="149" xfId="0" applyFont="1" applyFill="1" applyBorder="1" applyAlignment="1">
      <alignment vertical="center" wrapText="1"/>
    </xf>
    <xf numFmtId="1" fontId="89" fillId="0" borderId="149" xfId="0" applyNumberFormat="1" applyFont="1" applyBorder="1" applyAlignment="1">
      <alignment horizontal="center" vertical="center" wrapText="1"/>
    </xf>
    <xf numFmtId="16" fontId="32" fillId="0" borderId="0" xfId="0" applyNumberFormat="1" applyFont="1"/>
    <xf numFmtId="49" fontId="76" fillId="0" borderId="0" xfId="33" applyNumberFormat="1" applyFont="1" applyFill="1" applyBorder="1" applyAlignment="1" applyProtection="1">
      <alignment horizontal="center" vertical="top"/>
    </xf>
    <xf numFmtId="0" fontId="76" fillId="0" borderId="0" xfId="34" applyFont="1" applyAlignment="1">
      <alignment horizontal="center" vertical="top"/>
    </xf>
    <xf numFmtId="0" fontId="75" fillId="0" borderId="0" xfId="35" applyFont="1"/>
    <xf numFmtId="175" fontId="76" fillId="0" borderId="0" xfId="33" applyFont="1" applyFill="1" applyBorder="1" applyAlignment="1" applyProtection="1">
      <alignment vertical="top"/>
    </xf>
    <xf numFmtId="175" fontId="76" fillId="0" borderId="0" xfId="33" applyFont="1" applyFill="1" applyBorder="1" applyAlignment="1" applyProtection="1">
      <alignment horizontal="center" vertical="top"/>
    </xf>
    <xf numFmtId="0" fontId="8" fillId="0" borderId="0" xfId="34" applyFont="1" applyAlignment="1">
      <alignment horizontal="center" vertical="top"/>
    </xf>
    <xf numFmtId="0" fontId="8" fillId="0" borderId="0" xfId="36" applyFont="1"/>
    <xf numFmtId="0" fontId="76" fillId="0" borderId="0" xfId="36" applyFont="1"/>
    <xf numFmtId="0" fontId="71" fillId="0" borderId="0" xfId="36" applyFont="1" applyAlignment="1">
      <alignment horizontal="center"/>
    </xf>
    <xf numFmtId="0" fontId="4" fillId="0" borderId="0" xfId="37" applyFont="1" applyAlignment="1">
      <alignment horizontal="right" vertical="center" wrapText="1"/>
    </xf>
    <xf numFmtId="10" fontId="71" fillId="0" borderId="0" xfId="16" applyNumberFormat="1" applyFont="1" applyBorder="1" applyAlignment="1">
      <alignment horizontal="center" vertical="center" wrapText="1"/>
    </xf>
    <xf numFmtId="0" fontId="8" fillId="0" borderId="0" xfId="36" applyFont="1" applyAlignment="1">
      <alignment wrapText="1"/>
    </xf>
    <xf numFmtId="0" fontId="8" fillId="0" borderId="42" xfId="36" applyFont="1" applyBorder="1" applyAlignment="1">
      <alignment vertical="top" wrapText="1"/>
    </xf>
    <xf numFmtId="0" fontId="76" fillId="0" borderId="42" xfId="36" applyFont="1" applyBorder="1" applyAlignment="1">
      <alignment vertical="top" wrapText="1"/>
    </xf>
    <xf numFmtId="0" fontId="76" fillId="0" borderId="42" xfId="36" applyFont="1" applyBorder="1" applyAlignment="1">
      <alignment horizontal="center" vertical="top" wrapText="1"/>
    </xf>
    <xf numFmtId="0" fontId="8" fillId="0" borderId="42" xfId="36" applyFont="1" applyBorder="1" applyAlignment="1">
      <alignment horizontal="right" vertical="top" wrapText="1"/>
    </xf>
    <xf numFmtId="14" fontId="76" fillId="0" borderId="42" xfId="36" applyNumberFormat="1" applyFont="1" applyBorder="1" applyAlignment="1">
      <alignment horizontal="center" vertical="top" wrapText="1"/>
    </xf>
    <xf numFmtId="0" fontId="8" fillId="0" borderId="0" xfId="36" applyFont="1" applyAlignment="1">
      <alignment horizontal="center" wrapText="1"/>
    </xf>
    <xf numFmtId="0" fontId="8" fillId="0" borderId="0" xfId="36" applyFont="1" applyAlignment="1">
      <alignment horizontal="center" vertical="center" wrapText="1"/>
    </xf>
    <xf numFmtId="0" fontId="8" fillId="0" borderId="0" xfId="36" applyFont="1" applyAlignment="1">
      <alignment horizontal="right" wrapText="1"/>
    </xf>
    <xf numFmtId="0" fontId="8" fillId="0" borderId="0" xfId="36" applyFont="1" applyAlignment="1">
      <alignment vertical="center" wrapText="1"/>
    </xf>
    <xf numFmtId="0" fontId="71" fillId="8" borderId="159" xfId="36" applyFont="1" applyFill="1" applyBorder="1" applyAlignment="1">
      <alignment horizontal="center" vertical="center" wrapText="1"/>
    </xf>
    <xf numFmtId="0" fontId="71" fillId="8" borderId="163" xfId="36" applyFont="1" applyFill="1" applyBorder="1" applyAlignment="1">
      <alignment horizontal="right" vertical="center" wrapText="1"/>
    </xf>
    <xf numFmtId="17" fontId="71" fillId="8" borderId="164" xfId="36" applyNumberFormat="1" applyFont="1" applyFill="1" applyBorder="1" applyAlignment="1">
      <alignment horizontal="center" vertical="center" wrapText="1"/>
    </xf>
    <xf numFmtId="0" fontId="4" fillId="8" borderId="165" xfId="36" applyFont="1" applyFill="1" applyBorder="1" applyAlignment="1">
      <alignment horizontal="center" vertical="center" wrapText="1"/>
    </xf>
    <xf numFmtId="0" fontId="71" fillId="8" borderId="39" xfId="36" applyFont="1" applyFill="1" applyBorder="1" applyAlignment="1">
      <alignment horizontal="right" vertical="center" wrapText="1"/>
    </xf>
    <xf numFmtId="0" fontId="71" fillId="8" borderId="166" xfId="36" applyFont="1" applyFill="1" applyBorder="1" applyAlignment="1">
      <alignment horizontal="center" vertical="center" wrapText="1"/>
    </xf>
    <xf numFmtId="49" fontId="4" fillId="0" borderId="177" xfId="36" applyNumberFormat="1" applyFont="1" applyBorder="1" applyAlignment="1">
      <alignment horizontal="center" vertical="center" wrapText="1"/>
    </xf>
    <xf numFmtId="0" fontId="4" fillId="0" borderId="181" xfId="36" applyFont="1" applyBorder="1" applyAlignment="1">
      <alignment horizontal="center" vertical="center" wrapText="1"/>
    </xf>
    <xf numFmtId="186" fontId="4" fillId="0" borderId="181" xfId="36" applyNumberFormat="1" applyFont="1" applyBorder="1" applyAlignment="1">
      <alignment vertical="center" wrapText="1"/>
    </xf>
    <xf numFmtId="2" fontId="4" fillId="0" borderId="181" xfId="36" applyNumberFormat="1" applyFont="1" applyBorder="1" applyAlignment="1">
      <alignment horizontal="right" vertical="center" wrapText="1"/>
    </xf>
    <xf numFmtId="2" fontId="4" fillId="0" borderId="182" xfId="36" applyNumberFormat="1" applyFont="1" applyBorder="1" applyAlignment="1">
      <alignment vertical="center" wrapText="1"/>
    </xf>
    <xf numFmtId="49" fontId="4" fillId="0" borderId="183" xfId="36" applyNumberFormat="1" applyFont="1" applyBorder="1" applyAlignment="1">
      <alignment horizontal="center" vertical="center" wrapText="1"/>
    </xf>
    <xf numFmtId="0" fontId="4" fillId="0" borderId="186" xfId="36" applyFont="1" applyBorder="1" applyAlignment="1">
      <alignment horizontal="center" vertical="center" wrapText="1"/>
    </xf>
    <xf numFmtId="186" fontId="4" fillId="0" borderId="186" xfId="36" applyNumberFormat="1" applyFont="1" applyBorder="1" applyAlignment="1">
      <alignment vertical="center" wrapText="1"/>
    </xf>
    <xf numFmtId="2" fontId="4" fillId="0" borderId="186" xfId="36" applyNumberFormat="1" applyFont="1" applyBorder="1" applyAlignment="1">
      <alignment horizontal="right" vertical="center" wrapText="1"/>
    </xf>
    <xf numFmtId="0" fontId="4" fillId="0" borderId="186" xfId="36" applyFont="1" applyBorder="1" applyAlignment="1">
      <alignment vertical="center" wrapText="1"/>
    </xf>
    <xf numFmtId="4" fontId="71" fillId="0" borderId="189" xfId="36" applyNumberFormat="1" applyFont="1" applyBorder="1" applyAlignment="1">
      <alignment vertical="center" wrapText="1"/>
    </xf>
    <xf numFmtId="43" fontId="4" fillId="0" borderId="181" xfId="36" applyNumberFormat="1" applyFont="1" applyBorder="1" applyAlignment="1">
      <alignment horizontal="right" vertical="center" wrapText="1"/>
    </xf>
    <xf numFmtId="4" fontId="4" fillId="0" borderId="182" xfId="36" applyNumberFormat="1" applyFont="1" applyBorder="1" applyAlignment="1">
      <alignment vertical="center" wrapText="1"/>
    </xf>
    <xf numFmtId="4" fontId="4" fillId="0" borderId="190" xfId="36" applyNumberFormat="1" applyFont="1" applyBorder="1" applyAlignment="1">
      <alignment vertical="center" wrapText="1"/>
    </xf>
    <xf numFmtId="43" fontId="4" fillId="0" borderId="186" xfId="36" applyNumberFormat="1" applyFont="1" applyBorder="1" applyAlignment="1">
      <alignment horizontal="right" vertical="center" wrapText="1"/>
    </xf>
    <xf numFmtId="0" fontId="71" fillId="0" borderId="194" xfId="36" applyFont="1" applyBorder="1" applyAlignment="1">
      <alignment horizontal="right" vertical="center" wrapText="1"/>
    </xf>
    <xf numFmtId="0" fontId="71" fillId="13" borderId="195" xfId="36" applyFont="1" applyFill="1" applyBorder="1" applyAlignment="1">
      <alignment horizontal="center" vertical="center" wrapText="1"/>
    </xf>
    <xf numFmtId="0" fontId="71" fillId="13" borderId="196" xfId="36" applyFont="1" applyFill="1" applyBorder="1" applyAlignment="1">
      <alignment horizontal="center" vertical="center" wrapText="1"/>
    </xf>
    <xf numFmtId="0" fontId="71" fillId="13" borderId="197" xfId="36" applyFont="1" applyFill="1" applyBorder="1" applyAlignment="1">
      <alignment horizontal="center" vertical="center" wrapText="1"/>
    </xf>
    <xf numFmtId="49" fontId="4" fillId="0" borderId="198" xfId="36" applyNumberFormat="1" applyFont="1" applyBorder="1" applyAlignment="1">
      <alignment horizontal="center" vertical="center" wrapText="1"/>
    </xf>
    <xf numFmtId="0" fontId="4" fillId="0" borderId="199" xfId="36" applyFont="1" applyBorder="1" applyAlignment="1">
      <alignment vertical="center" wrapText="1"/>
    </xf>
    <xf numFmtId="0" fontId="4" fillId="0" borderId="199" xfId="39" applyBorder="1" applyAlignment="1">
      <alignment horizontal="center" vertical="center"/>
    </xf>
    <xf numFmtId="2" fontId="4" fillId="0" borderId="199" xfId="39" applyNumberFormat="1" applyBorder="1" applyAlignment="1">
      <alignment vertical="center"/>
    </xf>
    <xf numFmtId="4" fontId="4" fillId="0" borderId="199" xfId="39" applyNumberFormat="1" applyBorder="1" applyAlignment="1">
      <alignment vertical="center"/>
    </xf>
    <xf numFmtId="4" fontId="4" fillId="0" borderId="200" xfId="36" applyNumberFormat="1" applyFont="1" applyBorder="1" applyAlignment="1">
      <alignment vertical="center" wrapText="1"/>
    </xf>
    <xf numFmtId="0" fontId="4" fillId="0" borderId="186" xfId="39" applyBorder="1" applyAlignment="1">
      <alignment horizontal="center" vertical="center"/>
    </xf>
    <xf numFmtId="2" fontId="4" fillId="0" borderId="186" xfId="39" applyNumberFormat="1" applyBorder="1" applyAlignment="1">
      <alignment vertical="center"/>
    </xf>
    <xf numFmtId="4" fontId="4" fillId="0" borderId="186" xfId="39" applyNumberFormat="1" applyBorder="1" applyAlignment="1">
      <alignment vertical="center"/>
    </xf>
    <xf numFmtId="0" fontId="71" fillId="0" borderId="203" xfId="36" applyFont="1" applyBorder="1" applyAlignment="1">
      <alignment horizontal="right" vertical="center" wrapText="1"/>
    </xf>
    <xf numFmtId="4" fontId="71" fillId="0" borderId="204" xfId="36" applyNumberFormat="1" applyFont="1" applyBorder="1" applyAlignment="1">
      <alignment vertical="center" wrapText="1"/>
    </xf>
    <xf numFmtId="4" fontId="8" fillId="0" borderId="0" xfId="36" applyNumberFormat="1" applyFont="1" applyAlignment="1">
      <alignment wrapText="1"/>
    </xf>
    <xf numFmtId="2" fontId="4" fillId="0" borderId="190" xfId="36" applyNumberFormat="1" applyFont="1" applyBorder="1" applyAlignment="1">
      <alignment vertical="center" wrapText="1"/>
    </xf>
    <xf numFmtId="4" fontId="71" fillId="8" borderId="208" xfId="36" applyNumberFormat="1" applyFont="1" applyFill="1" applyBorder="1" applyAlignment="1">
      <alignment vertical="center" wrapText="1"/>
    </xf>
    <xf numFmtId="4" fontId="94" fillId="0" borderId="0" xfId="36" applyNumberFormat="1" applyFont="1" applyAlignment="1">
      <alignment wrapText="1"/>
    </xf>
    <xf numFmtId="0" fontId="71" fillId="8" borderId="209" xfId="36" applyFont="1" applyFill="1" applyBorder="1" applyAlignment="1">
      <alignment horizontal="left" vertical="center" wrapText="1"/>
    </xf>
    <xf numFmtId="0" fontId="71" fillId="8" borderId="121" xfId="36" applyFont="1" applyFill="1" applyBorder="1" applyAlignment="1">
      <alignment horizontal="left" vertical="center" wrapText="1"/>
    </xf>
    <xf numFmtId="10" fontId="71" fillId="8" borderId="121" xfId="36" applyNumberFormat="1" applyFont="1" applyFill="1" applyBorder="1" applyAlignment="1">
      <alignment horizontal="left" vertical="center" wrapText="1"/>
    </xf>
    <xf numFmtId="4" fontId="71" fillId="8" borderId="190" xfId="36" applyNumberFormat="1" applyFont="1" applyFill="1" applyBorder="1" applyAlignment="1">
      <alignment vertical="center" wrapText="1"/>
    </xf>
    <xf numFmtId="4" fontId="71" fillId="8" borderId="210" xfId="36" applyNumberFormat="1" applyFont="1" applyFill="1" applyBorder="1" applyAlignment="1">
      <alignment vertical="center" wrapText="1"/>
    </xf>
    <xf numFmtId="10" fontId="29" fillId="0" borderId="0" xfId="16" applyNumberFormat="1" applyFont="1" applyAlignment="1">
      <alignment vertical="center"/>
    </xf>
    <xf numFmtId="0" fontId="27" fillId="10" borderId="47" xfId="0" applyFont="1" applyFill="1" applyBorder="1" applyAlignment="1">
      <alignment horizontal="center" vertical="center" wrapText="1"/>
    </xf>
    <xf numFmtId="0" fontId="27" fillId="10" borderId="96" xfId="0" applyFont="1" applyFill="1" applyBorder="1" applyAlignment="1">
      <alignment horizontal="center" vertical="center" wrapText="1"/>
    </xf>
    <xf numFmtId="0" fontId="27" fillId="0" borderId="15" xfId="0" applyFont="1" applyBorder="1" applyAlignment="1">
      <alignment horizontal="center" vertical="center"/>
    </xf>
    <xf numFmtId="169" fontId="27" fillId="0" borderId="15" xfId="0" applyNumberFormat="1" applyFont="1" applyBorder="1" applyAlignment="1">
      <alignment horizontal="center" vertical="center"/>
    </xf>
    <xf numFmtId="169" fontId="27" fillId="10" borderId="15" xfId="0" applyNumberFormat="1" applyFont="1" applyFill="1" applyBorder="1" applyAlignment="1">
      <alignment horizontal="center" vertical="center"/>
    </xf>
    <xf numFmtId="0" fontId="27" fillId="0" borderId="30" xfId="0" applyFont="1" applyBorder="1" applyAlignment="1">
      <alignment horizontal="center" vertical="center"/>
    </xf>
    <xf numFmtId="0" fontId="28" fillId="21" borderId="89" xfId="0" applyFont="1" applyFill="1" applyBorder="1" applyAlignment="1">
      <alignment horizontal="center" vertical="center"/>
    </xf>
    <xf numFmtId="4" fontId="28" fillId="21" borderId="90" xfId="0" applyNumberFormat="1" applyFont="1" applyFill="1" applyBorder="1" applyAlignment="1">
      <alignment horizontal="center" vertical="center"/>
    </xf>
    <xf numFmtId="0" fontId="28" fillId="21" borderId="90" xfId="0" applyFont="1" applyFill="1" applyBorder="1" applyAlignment="1">
      <alignment horizontal="center" vertical="center"/>
    </xf>
    <xf numFmtId="169" fontId="28" fillId="21" borderId="90" xfId="0" applyNumberFormat="1" applyFont="1" applyFill="1" applyBorder="1" applyAlignment="1">
      <alignment horizontal="center" vertical="center"/>
    </xf>
    <xf numFmtId="169" fontId="28" fillId="21" borderId="57" xfId="0" applyNumberFormat="1" applyFont="1" applyFill="1" applyBorder="1" applyAlignment="1">
      <alignment horizontal="center" vertical="center"/>
    </xf>
    <xf numFmtId="0" fontId="20" fillId="10" borderId="35" xfId="0" applyFont="1" applyFill="1" applyBorder="1" applyAlignment="1">
      <alignment vertical="top" wrapText="1"/>
    </xf>
    <xf numFmtId="0" fontId="29" fillId="10" borderId="0" xfId="0" applyFont="1" applyFill="1" applyAlignment="1">
      <alignment vertical="center" wrapText="1"/>
    </xf>
    <xf numFmtId="0" fontId="29" fillId="10" borderId="29" xfId="0" applyFont="1" applyFill="1" applyBorder="1" applyAlignment="1">
      <alignment vertical="center" wrapText="1"/>
    </xf>
    <xf numFmtId="0" fontId="29" fillId="10" borderId="48" xfId="0" applyFont="1" applyFill="1" applyBorder="1" applyAlignment="1">
      <alignment horizontal="center" vertical="center" wrapText="1"/>
    </xf>
    <xf numFmtId="0" fontId="29" fillId="10" borderId="98" xfId="0" applyFont="1" applyFill="1" applyBorder="1" applyAlignment="1">
      <alignment horizontal="center" vertical="center" wrapText="1"/>
    </xf>
    <xf numFmtId="0" fontId="20" fillId="10" borderId="48" xfId="0" applyFont="1" applyFill="1" applyBorder="1" applyAlignment="1">
      <alignment vertical="center" wrapText="1"/>
    </xf>
    <xf numFmtId="0" fontId="29" fillId="10" borderId="39" xfId="0" applyFont="1" applyFill="1" applyBorder="1" applyAlignment="1">
      <alignment horizontal="center" vertical="center" wrapText="1"/>
    </xf>
    <xf numFmtId="165" fontId="12" fillId="18" borderId="64" xfId="12" applyNumberFormat="1" applyFont="1" applyFill="1" applyBorder="1" applyAlignment="1">
      <alignment vertical="center" wrapText="1"/>
    </xf>
    <xf numFmtId="169" fontId="12" fillId="18" borderId="64" xfId="12" applyNumberFormat="1" applyFont="1" applyFill="1" applyBorder="1" applyAlignment="1">
      <alignment vertical="center" wrapText="1"/>
    </xf>
    <xf numFmtId="0" fontId="20" fillId="0" borderId="30" xfId="0" applyFont="1" applyBorder="1" applyAlignment="1">
      <alignment horizontal="center" vertical="center" wrapText="1"/>
    </xf>
    <xf numFmtId="0" fontId="29" fillId="0" borderId="98" xfId="0" applyFont="1" applyBorder="1" applyAlignment="1">
      <alignment vertical="center"/>
    </xf>
    <xf numFmtId="0" fontId="32" fillId="0" borderId="0" xfId="5" applyFont="1" applyAlignment="1">
      <alignment horizontal="justify" vertical="center"/>
    </xf>
    <xf numFmtId="0" fontId="38" fillId="10" borderId="43" xfId="5" applyFont="1" applyFill="1" applyBorder="1" applyAlignment="1">
      <alignment horizontal="justify" vertical="center"/>
    </xf>
    <xf numFmtId="0" fontId="37" fillId="10" borderId="0" xfId="0" applyFont="1" applyFill="1" applyAlignment="1">
      <alignment horizontal="justify" vertical="center" wrapText="1"/>
    </xf>
    <xf numFmtId="0" fontId="38" fillId="10" borderId="51" xfId="5" applyFont="1" applyFill="1" applyBorder="1" applyAlignment="1">
      <alignment horizontal="justify" vertical="center"/>
    </xf>
    <xf numFmtId="165" fontId="66" fillId="21" borderId="37" xfId="21" applyNumberFormat="1" applyFont="1" applyFill="1" applyBorder="1" applyAlignment="1">
      <alignment horizontal="justify" vertical="center" wrapText="1"/>
    </xf>
    <xf numFmtId="0" fontId="66" fillId="21" borderId="39" xfId="5" applyFont="1" applyFill="1" applyBorder="1" applyAlignment="1">
      <alignment horizontal="justify" vertical="center" wrapText="1"/>
    </xf>
    <xf numFmtId="2" fontId="66" fillId="21" borderId="39" xfId="5" applyNumberFormat="1" applyFont="1" applyFill="1" applyBorder="1" applyAlignment="1">
      <alignment horizontal="justify" vertical="center" wrapText="1"/>
    </xf>
    <xf numFmtId="165" fontId="66" fillId="21" borderId="27" xfId="21" applyNumberFormat="1" applyFont="1" applyFill="1" applyBorder="1" applyAlignment="1">
      <alignment horizontal="justify" vertical="center" wrapText="1"/>
    </xf>
    <xf numFmtId="165" fontId="66" fillId="21" borderId="51" xfId="21" applyNumberFormat="1" applyFont="1" applyFill="1" applyBorder="1" applyAlignment="1">
      <alignment horizontal="justify" vertical="center" wrapText="1"/>
    </xf>
    <xf numFmtId="0" fontId="66" fillId="21" borderId="66" xfId="5" applyFont="1" applyFill="1" applyBorder="1" applyAlignment="1">
      <alignment horizontal="justify" vertical="center" wrapText="1"/>
    </xf>
    <xf numFmtId="0" fontId="66" fillId="21" borderId="67" xfId="5" applyFont="1" applyFill="1" applyBorder="1" applyAlignment="1">
      <alignment horizontal="justify" vertical="center" wrapText="1"/>
    </xf>
    <xf numFmtId="0" fontId="31" fillId="0" borderId="51" xfId="5" applyFont="1" applyBorder="1" applyAlignment="1">
      <alignment horizontal="justify" vertical="center"/>
    </xf>
    <xf numFmtId="4" fontId="39" fillId="0" borderId="49" xfId="5" applyNumberFormat="1" applyFont="1" applyBorder="1" applyAlignment="1">
      <alignment horizontal="justify" vertical="center"/>
    </xf>
    <xf numFmtId="4" fontId="39" fillId="0" borderId="15" xfId="5" applyNumberFormat="1" applyFont="1" applyBorder="1" applyAlignment="1">
      <alignment horizontal="justify" vertical="center"/>
    </xf>
    <xf numFmtId="4" fontId="40" fillId="9" borderId="58" xfId="30" applyNumberFormat="1" applyFont="1" applyFill="1" applyBorder="1" applyAlignment="1">
      <alignment horizontal="justify" vertical="center"/>
    </xf>
    <xf numFmtId="0" fontId="31" fillId="10" borderId="0" xfId="5" applyFont="1" applyFill="1" applyAlignment="1">
      <alignment vertical="center"/>
    </xf>
    <xf numFmtId="0" fontId="26" fillId="0" borderId="35" xfId="0" applyFont="1" applyBorder="1" applyAlignment="1">
      <alignment horizontal="center" vertical="center" wrapText="1"/>
    </xf>
    <xf numFmtId="43" fontId="63" fillId="0" borderId="0" xfId="0" applyNumberFormat="1" applyFont="1"/>
    <xf numFmtId="43" fontId="56" fillId="0" borderId="0" xfId="0" applyNumberFormat="1" applyFont="1"/>
    <xf numFmtId="44" fontId="55" fillId="0" borderId="0" xfId="0" applyNumberFormat="1" applyFont="1"/>
    <xf numFmtId="10" fontId="13" fillId="22" borderId="38" xfId="25" applyNumberFormat="1" applyFont="1" applyFill="1" applyBorder="1" applyAlignment="1" applyProtection="1">
      <alignment horizontal="right" vertical="center"/>
    </xf>
    <xf numFmtId="10" fontId="13" fillId="22" borderId="24" xfId="25" applyNumberFormat="1" applyFont="1" applyFill="1" applyBorder="1" applyAlignment="1" applyProtection="1">
      <alignment horizontal="right" vertical="center"/>
    </xf>
    <xf numFmtId="10" fontId="13" fillId="0" borderId="38" xfId="16" applyNumberFormat="1" applyFont="1" applyFill="1" applyBorder="1" applyAlignment="1" applyProtection="1">
      <alignment horizontal="right" vertical="center"/>
    </xf>
    <xf numFmtId="10" fontId="13" fillId="0" borderId="24" xfId="25" applyNumberFormat="1" applyFont="1" applyFill="1" applyBorder="1" applyAlignment="1" applyProtection="1">
      <alignment horizontal="right" vertical="center"/>
    </xf>
    <xf numFmtId="10" fontId="13" fillId="0" borderId="38" xfId="25" applyNumberFormat="1" applyFont="1" applyFill="1" applyBorder="1" applyAlignment="1" applyProtection="1">
      <alignment horizontal="right" vertical="center"/>
    </xf>
    <xf numFmtId="0" fontId="20" fillId="8" borderId="37" xfId="0" applyFont="1" applyFill="1" applyBorder="1" applyAlignment="1">
      <alignment horizontal="right" vertical="center" wrapText="1"/>
    </xf>
    <xf numFmtId="0" fontId="20" fillId="8" borderId="37" xfId="0" applyFont="1" applyFill="1" applyBorder="1" applyAlignment="1">
      <alignment horizontal="center" vertical="center"/>
    </xf>
    <xf numFmtId="0" fontId="20" fillId="8" borderId="40" xfId="0" applyFont="1" applyFill="1" applyBorder="1" applyAlignment="1">
      <alignment horizontal="center" vertical="center"/>
    </xf>
    <xf numFmtId="164" fontId="20" fillId="8" borderId="40" xfId="1" applyFont="1" applyFill="1" applyBorder="1" applyAlignment="1">
      <alignment horizontal="right" vertical="center"/>
    </xf>
    <xf numFmtId="0" fontId="96" fillId="0" borderId="0" xfId="0" applyFont="1"/>
    <xf numFmtId="0" fontId="96" fillId="32" borderId="0" xfId="0" applyFont="1" applyFill="1"/>
    <xf numFmtId="0" fontId="97" fillId="32" borderId="0" xfId="0" applyFont="1" applyFill="1" applyAlignment="1">
      <alignment wrapText="1"/>
    </xf>
    <xf numFmtId="0" fontId="96" fillId="32" borderId="0" xfId="0" applyFont="1" applyFill="1" applyAlignment="1">
      <alignment wrapText="1"/>
    </xf>
    <xf numFmtId="0" fontId="97" fillId="32" borderId="0" xfId="0" applyFont="1" applyFill="1"/>
    <xf numFmtId="0" fontId="29" fillId="8" borderId="36" xfId="0" applyFont="1" applyFill="1" applyBorder="1" applyAlignment="1">
      <alignment horizontal="center" vertical="center" wrapText="1"/>
    </xf>
    <xf numFmtId="164" fontId="29" fillId="8" borderId="37" xfId="1" applyFont="1" applyFill="1" applyBorder="1" applyAlignment="1">
      <alignment horizontal="right" vertical="center"/>
    </xf>
    <xf numFmtId="0" fontId="0" fillId="0" borderId="0" xfId="0" applyAlignment="1">
      <alignment horizontal="left" vertical="top"/>
    </xf>
    <xf numFmtId="0" fontId="55" fillId="0" borderId="0" xfId="0" applyFont="1" applyAlignment="1">
      <alignment horizontal="center"/>
    </xf>
    <xf numFmtId="0" fontId="29" fillId="0" borderId="0" xfId="0" applyFont="1" applyAlignment="1">
      <alignment horizontal="center" vertical="center" wrapText="1"/>
    </xf>
    <xf numFmtId="165" fontId="105" fillId="0" borderId="0" xfId="26" applyFont="1" applyFill="1" applyAlignment="1">
      <alignment horizontal="left" vertical="top"/>
    </xf>
    <xf numFmtId="0" fontId="51" fillId="0" borderId="0" xfId="0" applyFont="1" applyAlignment="1">
      <alignment horizontal="center"/>
    </xf>
    <xf numFmtId="0" fontId="104" fillId="0" borderId="0" xfId="0" applyFont="1" applyAlignment="1">
      <alignment horizontal="left" vertical="top"/>
    </xf>
    <xf numFmtId="0" fontId="55" fillId="0" borderId="0" xfId="0" applyFont="1" applyAlignment="1">
      <alignment horizontal="center" vertical="center" wrapText="1"/>
    </xf>
    <xf numFmtId="0" fontId="55" fillId="8" borderId="0" xfId="0" applyFont="1" applyFill="1"/>
    <xf numFmtId="164" fontId="31" fillId="8" borderId="40" xfId="1" applyFont="1" applyFill="1" applyBorder="1" applyAlignment="1">
      <alignment vertical="center"/>
    </xf>
    <xf numFmtId="0" fontId="31" fillId="8" borderId="0" xfId="0" applyFont="1" applyFill="1"/>
    <xf numFmtId="187" fontId="98" fillId="0" borderId="212" xfId="0" applyNumberFormat="1" applyFont="1" applyBorder="1" applyAlignment="1">
      <alignment horizontal="left" vertical="top" shrinkToFit="1"/>
    </xf>
    <xf numFmtId="0" fontId="0" fillId="0" borderId="212" xfId="0" applyBorder="1" applyAlignment="1">
      <alignment horizontal="left" wrapText="1"/>
    </xf>
    <xf numFmtId="0" fontId="99" fillId="0" borderId="212" xfId="0" applyFont="1" applyBorder="1" applyAlignment="1">
      <alignment horizontal="left" vertical="top" wrapText="1"/>
    </xf>
    <xf numFmtId="0" fontId="100" fillId="0" borderId="212" xfId="0" applyFont="1" applyBorder="1" applyAlignment="1">
      <alignment horizontal="left" vertical="top" wrapText="1"/>
    </xf>
    <xf numFmtId="0" fontId="103" fillId="0" borderId="212" xfId="0" applyFont="1" applyBorder="1" applyAlignment="1">
      <alignment horizontal="left" vertical="center" wrapText="1"/>
    </xf>
    <xf numFmtId="164" fontId="104" fillId="0" borderId="212" xfId="1" applyFont="1" applyFill="1" applyBorder="1" applyAlignment="1">
      <alignment horizontal="left" wrapText="1"/>
    </xf>
    <xf numFmtId="165" fontId="105" fillId="0" borderId="212" xfId="26" applyFont="1" applyFill="1" applyBorder="1" applyAlignment="1">
      <alignment horizontal="left" vertical="top" shrinkToFit="1"/>
    </xf>
    <xf numFmtId="188" fontId="101" fillId="0" borderId="212" xfId="0" applyNumberFormat="1" applyFont="1" applyBorder="1" applyAlignment="1">
      <alignment horizontal="left" vertical="top" shrinkToFit="1"/>
    </xf>
    <xf numFmtId="164" fontId="109" fillId="0" borderId="212" xfId="1" applyFont="1" applyFill="1" applyBorder="1" applyAlignment="1">
      <alignment horizontal="left" vertical="top" wrapText="1"/>
    </xf>
    <xf numFmtId="0" fontId="84" fillId="0" borderId="212" xfId="0" applyFont="1" applyBorder="1" applyAlignment="1">
      <alignment horizontal="left" wrapText="1"/>
    </xf>
    <xf numFmtId="0" fontId="88" fillId="0" borderId="212" xfId="0" applyFont="1" applyBorder="1" applyAlignment="1">
      <alignment horizontal="left" vertical="center" wrapText="1"/>
    </xf>
    <xf numFmtId="0" fontId="51" fillId="0" borderId="0" xfId="0" applyFont="1" applyAlignment="1">
      <alignment horizontal="left"/>
    </xf>
    <xf numFmtId="0" fontId="55" fillId="0" borderId="0" xfId="0" applyFont="1" applyAlignment="1">
      <alignment horizontal="left"/>
    </xf>
    <xf numFmtId="0" fontId="13" fillId="0" borderId="0" xfId="0" applyFont="1" applyAlignment="1">
      <alignment horizontal="left"/>
    </xf>
    <xf numFmtId="0" fontId="84" fillId="0" borderId="0" xfId="0" applyFont="1" applyAlignment="1">
      <alignment horizontal="left" vertical="center"/>
    </xf>
    <xf numFmtId="165" fontId="55" fillId="0" borderId="0" xfId="26" applyFont="1" applyFill="1" applyAlignment="1">
      <alignment horizontal="left"/>
    </xf>
    <xf numFmtId="165" fontId="102" fillId="0" borderId="212" xfId="26" applyFont="1" applyFill="1" applyBorder="1" applyAlignment="1">
      <alignment horizontal="left" vertical="top" shrinkToFit="1"/>
    </xf>
    <xf numFmtId="165" fontId="104" fillId="0" borderId="212" xfId="26" applyFont="1" applyFill="1" applyBorder="1" applyAlignment="1">
      <alignment horizontal="left" wrapText="1"/>
    </xf>
    <xf numFmtId="165" fontId="88" fillId="0" borderId="212" xfId="26" applyFont="1" applyFill="1" applyBorder="1" applyAlignment="1">
      <alignment horizontal="left" wrapText="1"/>
    </xf>
    <xf numFmtId="165" fontId="102" fillId="0" borderId="0" xfId="26" applyFont="1" applyFill="1" applyAlignment="1">
      <alignment horizontal="left" vertical="top"/>
    </xf>
    <xf numFmtId="164" fontId="105" fillId="0" borderId="212" xfId="1" applyFont="1" applyFill="1" applyBorder="1" applyAlignment="1">
      <alignment horizontal="left" vertical="top" shrinkToFit="1"/>
    </xf>
    <xf numFmtId="164" fontId="55" fillId="0" borderId="0" xfId="1" applyFont="1" applyFill="1" applyAlignment="1">
      <alignment horizontal="left"/>
    </xf>
    <xf numFmtId="164" fontId="103" fillId="0" borderId="0" xfId="1" applyFont="1" applyFill="1" applyAlignment="1">
      <alignment horizontal="left" vertical="top"/>
    </xf>
    <xf numFmtId="164" fontId="107" fillId="0" borderId="0" xfId="1" applyFont="1" applyFill="1" applyAlignment="1">
      <alignment horizontal="left" vertical="top"/>
    </xf>
    <xf numFmtId="164" fontId="108" fillId="0" borderId="0" xfId="1" applyFont="1" applyFill="1" applyAlignment="1">
      <alignment horizontal="left"/>
    </xf>
    <xf numFmtId="164" fontId="106" fillId="0" borderId="212" xfId="1" applyFont="1" applyFill="1" applyBorder="1" applyAlignment="1">
      <alignment horizontal="left" vertical="top" shrinkToFit="1"/>
    </xf>
    <xf numFmtId="0" fontId="88" fillId="0" borderId="0" xfId="0" applyFont="1" applyAlignment="1">
      <alignment horizontal="center" vertical="center"/>
    </xf>
    <xf numFmtId="0" fontId="0" fillId="8" borderId="0" xfId="0" applyFill="1" applyAlignment="1">
      <alignment horizontal="left" wrapText="1"/>
    </xf>
    <xf numFmtId="0" fontId="110" fillId="0" borderId="0" xfId="0" applyFont="1" applyAlignment="1">
      <alignment horizontal="center" vertical="center"/>
    </xf>
    <xf numFmtId="0" fontId="55" fillId="8" borderId="0" xfId="0" applyFont="1" applyFill="1" applyAlignment="1">
      <alignment vertical="center"/>
    </xf>
    <xf numFmtId="0" fontId="29" fillId="10" borderId="35" xfId="0" applyFont="1" applyFill="1" applyBorder="1" applyAlignment="1">
      <alignment vertical="center" wrapText="1"/>
    </xf>
    <xf numFmtId="0" fontId="29" fillId="8" borderId="24" xfId="0" applyFont="1" applyFill="1" applyBorder="1" applyAlignment="1">
      <alignment horizontal="center" vertical="center"/>
    </xf>
    <xf numFmtId="0" fontId="29" fillId="8" borderId="24" xfId="0" applyFont="1" applyFill="1" applyBorder="1" applyAlignment="1">
      <alignment horizontal="center" vertical="center" wrapText="1"/>
    </xf>
    <xf numFmtId="0" fontId="29" fillId="0" borderId="36" xfId="0" applyFont="1" applyBorder="1" applyAlignment="1">
      <alignment horizontal="center" vertical="center" wrapText="1"/>
    </xf>
    <xf numFmtId="0" fontId="29" fillId="8" borderId="36" xfId="0" applyFont="1" applyFill="1" applyBorder="1" applyAlignment="1">
      <alignment horizontal="right" vertical="center" wrapText="1"/>
    </xf>
    <xf numFmtId="0" fontId="54" fillId="0" borderId="0" xfId="0" applyFont="1" applyAlignment="1">
      <alignment vertical="center"/>
    </xf>
    <xf numFmtId="176" fontId="13" fillId="31" borderId="31" xfId="25" applyNumberFormat="1" applyFont="1" applyFill="1" applyBorder="1" applyAlignment="1" applyProtection="1">
      <alignment horizontal="right" vertical="center"/>
    </xf>
    <xf numFmtId="165" fontId="13" fillId="0" borderId="24" xfId="26" applyFont="1" applyFill="1" applyBorder="1" applyAlignment="1" applyProtection="1">
      <alignment horizontal="right" vertical="center"/>
    </xf>
    <xf numFmtId="164" fontId="29" fillId="0" borderId="0" xfId="0" applyNumberFormat="1" applyFont="1" applyAlignment="1">
      <alignment vertical="center"/>
    </xf>
    <xf numFmtId="0" fontId="29" fillId="10" borderId="0" xfId="0" applyFont="1" applyFill="1" applyAlignment="1">
      <alignment horizontal="left" vertical="center" wrapText="1"/>
    </xf>
    <xf numFmtId="0" fontId="29" fillId="10" borderId="0" xfId="0" applyFont="1" applyFill="1" applyAlignment="1">
      <alignment horizontal="center" vertical="center"/>
    </xf>
    <xf numFmtId="0" fontId="20" fillId="8" borderId="83" xfId="0" applyFont="1" applyFill="1" applyBorder="1" applyAlignment="1">
      <alignment horizontal="right" vertical="center" wrapText="1"/>
    </xf>
    <xf numFmtId="14" fontId="29" fillId="10" borderId="0" xfId="0" applyNumberFormat="1" applyFont="1" applyFill="1" applyAlignment="1">
      <alignment horizontal="center" vertical="center" wrapText="1"/>
    </xf>
    <xf numFmtId="0" fontId="12" fillId="10" borderId="35" xfId="0" applyFont="1" applyFill="1" applyBorder="1" applyAlignment="1">
      <alignment vertical="center" wrapText="1"/>
    </xf>
    <xf numFmtId="0" fontId="12" fillId="0" borderId="14" xfId="0" applyFont="1" applyBorder="1" applyAlignment="1">
      <alignment horizontal="center" vertical="center" wrapText="1"/>
    </xf>
    <xf numFmtId="0" fontId="12" fillId="0" borderId="49"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0" xfId="0" applyFont="1" applyAlignment="1">
      <alignment horizontal="center" vertical="center" wrapText="1"/>
    </xf>
    <xf numFmtId="0" fontId="20" fillId="0" borderId="0" xfId="0" applyFont="1" applyAlignment="1">
      <alignment horizontal="center" vertical="center" wrapText="1"/>
    </xf>
    <xf numFmtId="0" fontId="12" fillId="8" borderId="24" xfId="0" applyFont="1" applyFill="1" applyBorder="1" applyAlignment="1">
      <alignment horizontal="center" vertical="center"/>
    </xf>
    <xf numFmtId="0" fontId="12" fillId="8" borderId="30" xfId="0" applyFont="1" applyFill="1" applyBorder="1" applyAlignment="1">
      <alignment horizontal="center" vertical="center"/>
    </xf>
    <xf numFmtId="165" fontId="12" fillId="8" borderId="30" xfId="26" applyFont="1" applyFill="1" applyBorder="1" applyAlignment="1">
      <alignment vertical="center"/>
    </xf>
    <xf numFmtId="165" fontId="12" fillId="8" borderId="39" xfId="26" applyFont="1" applyFill="1" applyBorder="1" applyAlignment="1">
      <alignment vertical="center"/>
    </xf>
    <xf numFmtId="10" fontId="12" fillId="8" borderId="30" xfId="16" applyNumberFormat="1" applyFont="1" applyFill="1" applyBorder="1" applyAlignment="1">
      <alignment horizontal="center" vertical="center"/>
    </xf>
    <xf numFmtId="189" fontId="32" fillId="0" borderId="0" xfId="26" applyNumberFormat="1" applyFont="1" applyAlignment="1">
      <alignment vertical="center"/>
    </xf>
    <xf numFmtId="171" fontId="32" fillId="0" borderId="0" xfId="16" applyNumberFormat="1" applyFont="1" applyAlignment="1">
      <alignment vertical="center"/>
    </xf>
    <xf numFmtId="0" fontId="114" fillId="0" borderId="24" xfId="0" applyFont="1" applyBorder="1" applyAlignment="1">
      <alignment horizontal="center" vertical="center"/>
    </xf>
    <xf numFmtId="0" fontId="114" fillId="0" borderId="30" xfId="0" applyFont="1" applyBorder="1" applyAlignment="1">
      <alignment horizontal="center" vertical="center" wrapText="1"/>
    </xf>
    <xf numFmtId="0" fontId="114" fillId="0" borderId="30" xfId="0" applyFont="1" applyBorder="1" applyAlignment="1">
      <alignment horizontal="justify" vertical="center"/>
    </xf>
    <xf numFmtId="165" fontId="114" fillId="0" borderId="30" xfId="26" applyFont="1" applyFill="1" applyBorder="1" applyAlignment="1">
      <alignment horizontal="center" vertical="center" wrapText="1"/>
    </xf>
    <xf numFmtId="2" fontId="114" fillId="0" borderId="30" xfId="0" applyNumberFormat="1" applyFont="1" applyBorder="1" applyAlignment="1">
      <alignment horizontal="center" vertical="center" wrapText="1"/>
    </xf>
    <xf numFmtId="164" fontId="114" fillId="0" borderId="30" xfId="1" applyFont="1" applyFill="1" applyBorder="1" applyAlignment="1">
      <alignment vertical="center"/>
    </xf>
    <xf numFmtId="164" fontId="114" fillId="0" borderId="30" xfId="1" applyFont="1" applyFill="1" applyBorder="1" applyAlignment="1">
      <alignment horizontal="right" vertical="center"/>
    </xf>
    <xf numFmtId="164" fontId="114" fillId="0" borderId="39" xfId="1" applyFont="1" applyFill="1" applyBorder="1" applyAlignment="1">
      <alignment horizontal="right" vertical="center"/>
    </xf>
    <xf numFmtId="164" fontId="114" fillId="0" borderId="39" xfId="1" applyFont="1" applyFill="1" applyBorder="1" applyAlignment="1">
      <alignment vertical="center"/>
    </xf>
    <xf numFmtId="10" fontId="114" fillId="0" borderId="30" xfId="16" applyNumberFormat="1" applyFont="1" applyFill="1" applyBorder="1" applyAlignment="1">
      <alignment horizontal="center" vertical="center"/>
    </xf>
    <xf numFmtId="0" fontId="114" fillId="0" borderId="30" xfId="0" applyFont="1" applyBorder="1" applyAlignment="1">
      <alignment horizontal="justify" vertical="center" wrapText="1"/>
    </xf>
    <xf numFmtId="0" fontId="12" fillId="8" borderId="37" xfId="0" applyFont="1" applyFill="1" applyBorder="1" applyAlignment="1">
      <alignment horizontal="right" vertical="center"/>
    </xf>
    <xf numFmtId="164" fontId="12" fillId="8" borderId="39" xfId="1" applyFont="1" applyFill="1" applyBorder="1" applyAlignment="1">
      <alignment horizontal="right" vertical="center"/>
    </xf>
    <xf numFmtId="0" fontId="114" fillId="0" borderId="39" xfId="0" applyFont="1" applyBorder="1" applyAlignment="1">
      <alignment horizontal="justify" vertical="center" wrapText="1"/>
    </xf>
    <xf numFmtId="4" fontId="114" fillId="0" borderId="30" xfId="0" applyNumberFormat="1" applyFont="1" applyBorder="1" applyAlignment="1">
      <alignment vertical="center" wrapText="1"/>
    </xf>
    <xf numFmtId="164" fontId="114" fillId="0" borderId="30" xfId="1" applyFont="1" applyFill="1" applyBorder="1" applyAlignment="1">
      <alignment horizontal="center" vertical="center" wrapText="1"/>
    </xf>
    <xf numFmtId="171" fontId="32" fillId="0" borderId="0" xfId="16" applyNumberFormat="1" applyFont="1" applyFill="1" applyAlignment="1">
      <alignment vertical="center"/>
    </xf>
    <xf numFmtId="0" fontId="12" fillId="8" borderId="30" xfId="0" applyFont="1" applyFill="1" applyBorder="1" applyAlignment="1">
      <alignment horizontal="center" vertical="center" wrapText="1"/>
    </xf>
    <xf numFmtId="0" fontId="114" fillId="3" borderId="36" xfId="0" applyFont="1" applyFill="1" applyBorder="1" applyAlignment="1">
      <alignment horizontal="center" vertical="center"/>
    </xf>
    <xf numFmtId="164" fontId="114" fillId="10" borderId="30" xfId="1" applyFont="1" applyFill="1" applyBorder="1" applyAlignment="1">
      <alignment horizontal="center" vertical="center" wrapText="1"/>
    </xf>
    <xf numFmtId="0" fontId="114" fillId="0" borderId="30" xfId="0" quotePrefix="1" applyFont="1" applyBorder="1" applyAlignment="1">
      <alignment horizontal="justify" vertical="center" wrapText="1"/>
    </xf>
    <xf numFmtId="0" fontId="12" fillId="8" borderId="37" xfId="0" applyFont="1" applyFill="1" applyBorder="1" applyAlignment="1">
      <alignment horizontal="right" vertical="center" wrapText="1"/>
    </xf>
    <xf numFmtId="0" fontId="12" fillId="8" borderId="24" xfId="0" applyFont="1" applyFill="1" applyBorder="1" applyAlignment="1">
      <alignment horizontal="center" vertical="center" wrapText="1"/>
    </xf>
    <xf numFmtId="10" fontId="12" fillId="8" borderId="30" xfId="16" applyNumberFormat="1" applyFont="1" applyFill="1" applyBorder="1" applyAlignment="1">
      <alignment horizontal="center" vertical="center" wrapText="1"/>
    </xf>
    <xf numFmtId="0" fontId="12" fillId="3" borderId="24" xfId="0" applyFont="1" applyFill="1" applyBorder="1" applyAlignment="1">
      <alignment horizontal="center" vertical="center" wrapText="1"/>
    </xf>
    <xf numFmtId="0" fontId="12" fillId="10" borderId="30" xfId="0" applyFont="1" applyFill="1" applyBorder="1" applyAlignment="1">
      <alignment horizontal="justify" vertical="center" wrapText="1"/>
    </xf>
    <xf numFmtId="164" fontId="114" fillId="0" borderId="30" xfId="1" applyFont="1" applyFill="1" applyBorder="1" applyAlignment="1">
      <alignment horizontal="right" vertical="center" wrapText="1"/>
    </xf>
    <xf numFmtId="0" fontId="114" fillId="3" borderId="24" xfId="0" applyFont="1" applyFill="1" applyBorder="1" applyAlignment="1">
      <alignment horizontal="center" vertical="center" wrapText="1"/>
    </xf>
    <xf numFmtId="0" fontId="114" fillId="0" borderId="24" xfId="0" applyFont="1" applyBorder="1" applyAlignment="1">
      <alignment horizontal="center" vertical="center" wrapText="1"/>
    </xf>
    <xf numFmtId="4" fontId="114" fillId="0" borderId="30" xfId="1" applyNumberFormat="1" applyFont="1" applyFill="1" applyBorder="1" applyAlignment="1">
      <alignment horizontal="right" vertical="center" wrapText="1"/>
    </xf>
    <xf numFmtId="0" fontId="12" fillId="0" borderId="30" xfId="0" applyFont="1" applyBorder="1" applyAlignment="1">
      <alignment horizontal="justify" vertical="center" wrapText="1"/>
    </xf>
    <xf numFmtId="0" fontId="114" fillId="10" borderId="24" xfId="0" applyFont="1" applyFill="1" applyBorder="1" applyAlignment="1">
      <alignment horizontal="center" vertical="center" wrapText="1"/>
    </xf>
    <xf numFmtId="0" fontId="114" fillId="10" borderId="39" xfId="0" applyFont="1" applyFill="1" applyBorder="1" applyAlignment="1">
      <alignment horizontal="justify" vertical="center" wrapText="1"/>
    </xf>
    <xf numFmtId="165" fontId="114" fillId="10" borderId="30" xfId="26" applyFont="1" applyFill="1" applyBorder="1" applyAlignment="1">
      <alignment horizontal="center" vertical="center" wrapText="1"/>
    </xf>
    <xf numFmtId="164" fontId="114" fillId="10" borderId="30" xfId="1" applyFont="1" applyFill="1" applyBorder="1" applyAlignment="1">
      <alignment horizontal="right" vertical="center" wrapText="1"/>
    </xf>
    <xf numFmtId="164" fontId="114" fillId="10" borderId="39" xfId="1" applyFont="1" applyFill="1" applyBorder="1" applyAlignment="1">
      <alignment horizontal="right" vertical="center"/>
    </xf>
    <xf numFmtId="164" fontId="114" fillId="10" borderId="39" xfId="1" applyFont="1" applyFill="1" applyBorder="1" applyAlignment="1">
      <alignment vertical="center"/>
    </xf>
    <xf numFmtId="10" fontId="114" fillId="10" borderId="30" xfId="16" applyNumberFormat="1" applyFont="1" applyFill="1" applyBorder="1" applyAlignment="1">
      <alignment horizontal="center" vertical="center"/>
    </xf>
    <xf numFmtId="0" fontId="12" fillId="8" borderId="36" xfId="0" applyFont="1" applyFill="1" applyBorder="1" applyAlignment="1">
      <alignment horizontal="center" vertical="center" wrapText="1"/>
    </xf>
    <xf numFmtId="0" fontId="114" fillId="10" borderId="36" xfId="0" applyFont="1" applyFill="1" applyBorder="1" applyAlignment="1">
      <alignment horizontal="center" vertical="center" wrapText="1"/>
    </xf>
    <xf numFmtId="4" fontId="114" fillId="10" borderId="30" xfId="0" applyNumberFormat="1" applyFont="1" applyFill="1" applyBorder="1" applyAlignment="1">
      <alignment vertical="center" wrapText="1"/>
    </xf>
    <xf numFmtId="164" fontId="114" fillId="10" borderId="30" xfId="1" applyFont="1" applyFill="1" applyBorder="1" applyAlignment="1">
      <alignment vertical="center" wrapText="1"/>
    </xf>
    <xf numFmtId="164" fontId="114" fillId="0" borderId="30" xfId="1" applyFont="1" applyFill="1" applyBorder="1" applyAlignment="1">
      <alignment vertical="center" wrapText="1"/>
    </xf>
    <xf numFmtId="44" fontId="114" fillId="0" borderId="30" xfId="1" applyNumberFormat="1" applyFont="1" applyFill="1" applyBorder="1" applyAlignment="1">
      <alignment vertical="center" wrapText="1"/>
    </xf>
    <xf numFmtId="44" fontId="114" fillId="0" borderId="30" xfId="1" applyNumberFormat="1" applyFont="1" applyFill="1" applyBorder="1" applyAlignment="1">
      <alignment horizontal="right" vertical="center" wrapText="1"/>
    </xf>
    <xf numFmtId="0" fontId="12" fillId="10" borderId="36" xfId="0" applyFont="1" applyFill="1" applyBorder="1" applyAlignment="1">
      <alignment horizontal="center" vertical="center" wrapText="1"/>
    </xf>
    <xf numFmtId="0" fontId="12" fillId="10" borderId="39" xfId="0" applyFont="1" applyFill="1" applyBorder="1" applyAlignment="1">
      <alignment horizontal="justify" vertical="center" wrapText="1"/>
    </xf>
    <xf numFmtId="0" fontId="29" fillId="33" borderId="0" xfId="0" applyFont="1" applyFill="1" applyAlignment="1">
      <alignment vertical="center"/>
    </xf>
    <xf numFmtId="0" fontId="12" fillId="0" borderId="36" xfId="0" applyFont="1" applyBorder="1" applyAlignment="1">
      <alignment horizontal="center" vertical="center" wrapText="1"/>
    </xf>
    <xf numFmtId="0" fontId="12" fillId="0" borderId="39" xfId="0" applyFont="1" applyBorder="1" applyAlignment="1">
      <alignment horizontal="justify" vertical="center" wrapText="1"/>
    </xf>
    <xf numFmtId="0" fontId="114" fillId="0" borderId="36" xfId="0" applyFont="1" applyBorder="1" applyAlignment="1">
      <alignment horizontal="center" vertical="center" wrapText="1"/>
    </xf>
    <xf numFmtId="0" fontId="20" fillId="0" borderId="41" xfId="0" applyFont="1" applyBorder="1" applyAlignment="1">
      <alignment horizontal="right" vertical="center" wrapText="1"/>
    </xf>
    <xf numFmtId="0" fontId="20" fillId="0" borderId="42" xfId="0" applyFont="1" applyBorder="1" applyAlignment="1">
      <alignment horizontal="right" vertical="center" wrapText="1"/>
    </xf>
    <xf numFmtId="164" fontId="20" fillId="0" borderId="33" xfId="1" applyFont="1" applyFill="1" applyBorder="1" applyAlignment="1">
      <alignment horizontal="right" vertical="center"/>
    </xf>
    <xf numFmtId="164" fontId="20" fillId="0" borderId="42" xfId="1" applyFont="1" applyFill="1" applyBorder="1" applyAlignment="1">
      <alignment horizontal="right" vertical="center"/>
    </xf>
    <xf numFmtId="164" fontId="29" fillId="0" borderId="39" xfId="1" applyFont="1" applyFill="1" applyBorder="1" applyAlignment="1">
      <alignment horizontal="right" vertical="center"/>
    </xf>
    <xf numFmtId="164" fontId="20" fillId="8" borderId="61" xfId="1" applyFont="1" applyFill="1" applyBorder="1" applyAlignment="1">
      <alignment horizontal="right" vertical="center"/>
    </xf>
    <xf numFmtId="165" fontId="31" fillId="18" borderId="20" xfId="12" applyNumberFormat="1" applyFont="1" applyFill="1" applyBorder="1" applyAlignment="1">
      <alignment vertical="center" wrapText="1"/>
    </xf>
    <xf numFmtId="190" fontId="31" fillId="18" borderId="94" xfId="16" applyNumberFormat="1" applyFont="1" applyFill="1" applyBorder="1" applyAlignment="1">
      <alignment horizontal="center" vertical="center" wrapText="1"/>
    </xf>
    <xf numFmtId="165" fontId="12" fillId="0" borderId="0" xfId="12" applyNumberFormat="1" applyFont="1" applyAlignment="1">
      <alignment horizontal="right" vertical="center" wrapText="1"/>
    </xf>
    <xf numFmtId="169" fontId="12" fillId="0" borderId="0" xfId="12" applyNumberFormat="1" applyFont="1" applyAlignment="1">
      <alignment vertical="center" wrapText="1"/>
    </xf>
    <xf numFmtId="2" fontId="115" fillId="0" borderId="0" xfId="0" applyNumberFormat="1" applyFont="1" applyAlignment="1">
      <alignment vertical="center"/>
    </xf>
    <xf numFmtId="190" fontId="29" fillId="0" borderId="0" xfId="0" applyNumberFormat="1" applyFont="1" applyAlignment="1">
      <alignment vertical="center"/>
    </xf>
    <xf numFmtId="191" fontId="115" fillId="0" borderId="0" xfId="26" applyNumberFormat="1" applyFont="1" applyAlignment="1">
      <alignment vertical="center"/>
    </xf>
    <xf numFmtId="192" fontId="115" fillId="0" borderId="0" xfId="0" applyNumberFormat="1" applyFont="1" applyAlignment="1">
      <alignment vertical="center"/>
    </xf>
    <xf numFmtId="193" fontId="115" fillId="0" borderId="0" xfId="26" applyNumberFormat="1" applyFont="1" applyAlignment="1">
      <alignment vertical="center"/>
    </xf>
    <xf numFmtId="194" fontId="29" fillId="0" borderId="0" xfId="0" applyNumberFormat="1" applyFont="1" applyAlignment="1">
      <alignment vertical="center"/>
    </xf>
    <xf numFmtId="193" fontId="35" fillId="0" borderId="0" xfId="26" applyNumberFormat="1" applyFont="1" applyAlignment="1">
      <alignment vertical="center"/>
    </xf>
    <xf numFmtId="195" fontId="29" fillId="0" borderId="0" xfId="0" applyNumberFormat="1" applyFont="1" applyAlignment="1">
      <alignment vertical="center"/>
    </xf>
    <xf numFmtId="165" fontId="12" fillId="8" borderId="15" xfId="26" applyFont="1" applyFill="1" applyBorder="1" applyAlignment="1">
      <alignment vertical="center" wrapText="1"/>
    </xf>
    <xf numFmtId="10" fontId="12" fillId="8" borderId="15" xfId="16" applyNumberFormat="1" applyFont="1" applyFill="1" applyBorder="1" applyAlignment="1">
      <alignment horizontal="center" vertical="center"/>
    </xf>
    <xf numFmtId="0" fontId="12" fillId="8" borderId="14" xfId="0" applyFont="1" applyFill="1" applyBorder="1" applyAlignment="1">
      <alignment horizontal="center" vertical="center" wrapText="1"/>
    </xf>
    <xf numFmtId="0" fontId="12" fillId="8" borderId="15" xfId="0" applyFont="1" applyFill="1" applyBorder="1" applyAlignment="1">
      <alignment horizontal="center" vertical="center" wrapText="1"/>
    </xf>
    <xf numFmtId="165" fontId="12" fillId="8" borderId="15" xfId="26" applyFont="1" applyFill="1" applyBorder="1" applyAlignment="1">
      <alignment vertical="center"/>
    </xf>
    <xf numFmtId="0" fontId="12" fillId="8" borderId="56" xfId="0" applyFont="1" applyFill="1" applyBorder="1" applyAlignment="1">
      <alignment horizontal="center" vertical="center" wrapText="1"/>
    </xf>
    <xf numFmtId="0" fontId="12" fillId="8" borderId="15" xfId="0" applyFont="1" applyFill="1" applyBorder="1" applyAlignment="1">
      <alignment horizontal="center" vertical="center"/>
    </xf>
    <xf numFmtId="165" fontId="12" fillId="8" borderId="50" xfId="26" applyFont="1" applyFill="1" applyBorder="1" applyAlignment="1">
      <alignment horizontal="right" vertical="center"/>
    </xf>
    <xf numFmtId="165" fontId="12" fillId="8" borderId="49" xfId="26" applyFont="1" applyFill="1" applyBorder="1" applyAlignment="1">
      <alignment vertical="center" wrapText="1"/>
    </xf>
    <xf numFmtId="0" fontId="12" fillId="8" borderId="14" xfId="0" applyFont="1" applyFill="1" applyBorder="1" applyAlignment="1">
      <alignment horizontal="center" vertical="center"/>
    </xf>
    <xf numFmtId="165" fontId="12" fillId="8" borderId="49" xfId="26" applyFont="1" applyFill="1" applyBorder="1" applyAlignment="1">
      <alignment vertical="center"/>
    </xf>
    <xf numFmtId="0" fontId="29" fillId="0" borderId="32" xfId="0" applyFont="1" applyBorder="1" applyAlignment="1">
      <alignment horizontal="center" vertical="center" wrapText="1"/>
    </xf>
    <xf numFmtId="0" fontId="29" fillId="0" borderId="55" xfId="0" applyFont="1" applyBorder="1" applyAlignment="1">
      <alignment horizontal="justify" vertical="center" wrapText="1"/>
    </xf>
    <xf numFmtId="4" fontId="29" fillId="0" borderId="33" xfId="0" applyNumberFormat="1" applyFont="1" applyBorder="1" applyAlignment="1">
      <alignment vertical="center" wrapText="1"/>
    </xf>
    <xf numFmtId="2" fontId="29" fillId="0" borderId="33" xfId="0" applyNumberFormat="1" applyFont="1" applyBorder="1" applyAlignment="1">
      <alignment horizontal="center" vertical="center" wrapText="1"/>
    </xf>
    <xf numFmtId="164" fontId="29" fillId="0" borderId="33" xfId="1" applyFont="1" applyFill="1" applyBorder="1" applyAlignment="1">
      <alignment horizontal="center" vertical="center" wrapText="1"/>
    </xf>
    <xf numFmtId="164" fontId="29" fillId="0" borderId="55" xfId="1" applyFont="1" applyFill="1" applyBorder="1" applyAlignment="1">
      <alignment horizontal="right" vertical="center"/>
    </xf>
    <xf numFmtId="164" fontId="29" fillId="0" borderId="55" xfId="1" applyFont="1" applyFill="1" applyBorder="1" applyAlignment="1">
      <alignment vertical="center"/>
    </xf>
    <xf numFmtId="189" fontId="32" fillId="0" borderId="42" xfId="26" applyNumberFormat="1" applyFont="1" applyBorder="1" applyAlignment="1">
      <alignment vertical="center"/>
    </xf>
    <xf numFmtId="171" fontId="32" fillId="0" borderId="42" xfId="16" applyNumberFormat="1" applyFont="1" applyBorder="1" applyAlignment="1">
      <alignment vertical="center"/>
    </xf>
    <xf numFmtId="2" fontId="20" fillId="0" borderId="42" xfId="0" applyNumberFormat="1" applyFont="1" applyBorder="1" applyAlignment="1">
      <alignment vertical="center"/>
    </xf>
    <xf numFmtId="164" fontId="29" fillId="0" borderId="34" xfId="1" applyFont="1" applyFill="1" applyBorder="1" applyAlignment="1">
      <alignment vertical="center"/>
    </xf>
    <xf numFmtId="0" fontId="12" fillId="0" borderId="62" xfId="0" applyFont="1" applyBorder="1" applyAlignment="1">
      <alignment horizontal="right" vertical="center" wrapText="1"/>
    </xf>
    <xf numFmtId="0" fontId="12" fillId="0" borderId="83" xfId="0" applyFont="1" applyBorder="1" applyAlignment="1">
      <alignment horizontal="right" vertical="center" wrapText="1"/>
    </xf>
    <xf numFmtId="164" fontId="12" fillId="0" borderId="83" xfId="1" applyFont="1" applyFill="1" applyBorder="1" applyAlignment="1">
      <alignment horizontal="right" vertical="center"/>
    </xf>
    <xf numFmtId="10" fontId="12" fillId="0" borderId="33" xfId="16" applyNumberFormat="1" applyFont="1" applyFill="1" applyBorder="1" applyAlignment="1">
      <alignment horizontal="center" vertical="center"/>
    </xf>
    <xf numFmtId="171" fontId="32" fillId="0" borderId="42" xfId="16" applyNumberFormat="1" applyFont="1" applyFill="1" applyBorder="1" applyAlignment="1">
      <alignment vertical="center"/>
    </xf>
    <xf numFmtId="0" fontId="12" fillId="0" borderId="62" xfId="0" applyFont="1" applyBorder="1" applyAlignment="1">
      <alignment horizontal="right" vertical="center"/>
    </xf>
    <xf numFmtId="0" fontId="12" fillId="0" borderId="83" xfId="0" applyFont="1" applyBorder="1" applyAlignment="1">
      <alignment horizontal="right" vertical="center"/>
    </xf>
    <xf numFmtId="0" fontId="20" fillId="0" borderId="42" xfId="0" applyFont="1" applyBorder="1" applyAlignment="1">
      <alignment horizontal="center" vertical="center" wrapText="1"/>
    </xf>
    <xf numFmtId="0" fontId="66" fillId="0" borderId="49" xfId="5" applyFont="1" applyBorder="1" applyAlignment="1">
      <alignment horizontal="center" vertical="center" wrapText="1"/>
    </xf>
    <xf numFmtId="165" fontId="29" fillId="0" borderId="37" xfId="26" applyFont="1" applyFill="1" applyBorder="1" applyAlignment="1">
      <alignment horizontal="center" vertical="center" wrapText="1"/>
    </xf>
    <xf numFmtId="43" fontId="63" fillId="0" borderId="0" xfId="0" applyNumberFormat="1" applyFont="1" applyAlignment="1">
      <alignment horizontal="center"/>
    </xf>
    <xf numFmtId="0" fontId="116" fillId="0" borderId="0" xfId="0" applyFont="1"/>
    <xf numFmtId="0" fontId="0" fillId="0" borderId="0" xfId="0" applyAlignment="1">
      <alignment horizontal="center"/>
    </xf>
    <xf numFmtId="2" fontId="0" fillId="0" borderId="0" xfId="0" applyNumberFormat="1"/>
    <xf numFmtId="10" fontId="0" fillId="0" borderId="0" xfId="0" applyNumberFormat="1" applyAlignment="1">
      <alignment horizontal="center"/>
    </xf>
    <xf numFmtId="9" fontId="0" fillId="0" borderId="0" xfId="0" applyNumberFormat="1" applyAlignment="1">
      <alignment horizontal="center"/>
    </xf>
    <xf numFmtId="1" fontId="0" fillId="0" borderId="0" xfId="0" applyNumberFormat="1"/>
    <xf numFmtId="3" fontId="0" fillId="0" borderId="0" xfId="0" applyNumberFormat="1"/>
    <xf numFmtId="0" fontId="4" fillId="0" borderId="0" xfId="0" applyFont="1"/>
    <xf numFmtId="0" fontId="122" fillId="0" borderId="0" xfId="0" applyFont="1" applyAlignment="1">
      <alignment horizontal="center"/>
    </xf>
    <xf numFmtId="0" fontId="122" fillId="0" borderId="0" xfId="0" applyFont="1"/>
    <xf numFmtId="0" fontId="123" fillId="0" borderId="0" xfId="0" applyFont="1"/>
    <xf numFmtId="0" fontId="123" fillId="0" borderId="30" xfId="0" applyFont="1" applyBorder="1" applyAlignment="1">
      <alignment horizontal="center" vertical="center"/>
    </xf>
    <xf numFmtId="0" fontId="123" fillId="0" borderId="30" xfId="0" applyFont="1" applyBorder="1" applyAlignment="1">
      <alignment horizontal="center"/>
    </xf>
    <xf numFmtId="3" fontId="123" fillId="0" borderId="30" xfId="0" applyNumberFormat="1" applyFont="1" applyBorder="1" applyAlignment="1">
      <alignment horizontal="center"/>
    </xf>
    <xf numFmtId="2" fontId="123" fillId="0" borderId="0" xfId="0" applyNumberFormat="1" applyFont="1"/>
    <xf numFmtId="0" fontId="124" fillId="0" borderId="30" xfId="0" applyFont="1" applyBorder="1" applyAlignment="1">
      <alignment horizontal="center"/>
    </xf>
    <xf numFmtId="3" fontId="124" fillId="0" borderId="30" xfId="0" applyNumberFormat="1" applyFont="1" applyBorder="1" applyAlignment="1">
      <alignment horizontal="center"/>
    </xf>
    <xf numFmtId="0" fontId="125" fillId="0" borderId="30" xfId="0" applyFont="1" applyBorder="1" applyAlignment="1">
      <alignment horizontal="center" vertical="center" wrapText="1"/>
    </xf>
    <xf numFmtId="0" fontId="125" fillId="0" borderId="30" xfId="0" applyFont="1" applyBorder="1" applyAlignment="1">
      <alignment horizontal="center" wrapText="1"/>
    </xf>
    <xf numFmtId="0" fontId="126" fillId="0" borderId="30" xfId="0" applyFont="1" applyBorder="1" applyAlignment="1">
      <alignment horizontal="center" vertical="center"/>
    </xf>
    <xf numFmtId="3" fontId="126" fillId="0" borderId="30" xfId="0" applyNumberFormat="1" applyFont="1" applyBorder="1" applyAlignment="1">
      <alignment horizontal="center" vertical="center"/>
    </xf>
    <xf numFmtId="2" fontId="126" fillId="0" borderId="30" xfId="0" applyNumberFormat="1" applyFont="1" applyBorder="1" applyAlignment="1">
      <alignment horizontal="center" vertical="center"/>
    </xf>
    <xf numFmtId="0" fontId="127" fillId="0" borderId="30" xfId="0" applyFont="1" applyBorder="1" applyAlignment="1">
      <alignment horizontal="center" vertical="center"/>
    </xf>
    <xf numFmtId="3" fontId="127" fillId="0" borderId="30" xfId="0" applyNumberFormat="1" applyFont="1" applyBorder="1" applyAlignment="1">
      <alignment horizontal="center" vertical="center"/>
    </xf>
    <xf numFmtId="2" fontId="127" fillId="0" borderId="30" xfId="0" applyNumberFormat="1" applyFont="1" applyBorder="1" applyAlignment="1">
      <alignment horizontal="center" vertical="center"/>
    </xf>
    <xf numFmtId="0" fontId="127" fillId="0" borderId="0" xfId="0" applyFont="1" applyAlignment="1">
      <alignment horizontal="center" vertical="center"/>
    </xf>
    <xf numFmtId="3" fontId="127" fillId="0" borderId="0" xfId="0" applyNumberFormat="1" applyFont="1" applyAlignment="1">
      <alignment horizontal="center" vertical="center"/>
    </xf>
    <xf numFmtId="2" fontId="127" fillId="0" borderId="0" xfId="0" applyNumberFormat="1" applyFont="1" applyAlignment="1">
      <alignment horizontal="center" vertical="center"/>
    </xf>
    <xf numFmtId="0" fontId="123" fillId="0" borderId="0" xfId="0" applyFont="1" applyAlignment="1">
      <alignment horizontal="right"/>
    </xf>
    <xf numFmtId="0" fontId="128" fillId="0" borderId="0" xfId="0" applyFont="1" applyAlignment="1">
      <alignment horizontal="right"/>
    </xf>
    <xf numFmtId="0" fontId="128" fillId="0" borderId="0" xfId="0" applyFont="1" applyAlignment="1">
      <alignment horizontal="center"/>
    </xf>
    <xf numFmtId="0" fontId="128" fillId="0" borderId="0" xfId="0" applyFont="1"/>
    <xf numFmtId="4" fontId="128" fillId="0" borderId="0" xfId="0" applyNumberFormat="1" applyFont="1"/>
    <xf numFmtId="0" fontId="123" fillId="0" borderId="0" xfId="0" applyFont="1" applyAlignment="1">
      <alignment horizontal="center"/>
    </xf>
    <xf numFmtId="0" fontId="128" fillId="0" borderId="71" xfId="0" applyFont="1" applyBorder="1" applyAlignment="1">
      <alignment horizontal="center"/>
    </xf>
    <xf numFmtId="2" fontId="123" fillId="0" borderId="0" xfId="0" applyNumberFormat="1" applyFont="1" applyAlignment="1">
      <alignment horizontal="right"/>
    </xf>
    <xf numFmtId="0" fontId="124" fillId="0" borderId="0" xfId="0" applyFont="1" applyAlignment="1">
      <alignment horizontal="right"/>
    </xf>
    <xf numFmtId="0" fontId="124" fillId="0" borderId="0" xfId="0" applyFont="1"/>
    <xf numFmtId="0" fontId="129" fillId="0" borderId="0" xfId="0" applyFont="1"/>
    <xf numFmtId="196" fontId="124" fillId="0" borderId="0" xfId="0" applyNumberFormat="1" applyFont="1"/>
    <xf numFmtId="0" fontId="124" fillId="0" borderId="0" xfId="0" applyFont="1" applyAlignment="1">
      <alignment horizontal="left"/>
    </xf>
    <xf numFmtId="0" fontId="123" fillId="0" borderId="0" xfId="0" applyFont="1" applyAlignment="1">
      <alignment vertical="center"/>
    </xf>
    <xf numFmtId="0" fontId="128" fillId="0" borderId="0" xfId="0" applyFont="1" applyAlignment="1">
      <alignment horizontal="right" vertical="center"/>
    </xf>
    <xf numFmtId="0" fontId="128" fillId="0" borderId="0" xfId="0" applyFont="1" applyAlignment="1">
      <alignment vertical="center"/>
    </xf>
    <xf numFmtId="196" fontId="128" fillId="0" borderId="0" xfId="0" applyNumberFormat="1" applyFont="1"/>
    <xf numFmtId="196" fontId="123" fillId="0" borderId="0" xfId="0" applyNumberFormat="1" applyFont="1"/>
    <xf numFmtId="2" fontId="128" fillId="0" borderId="0" xfId="0" applyNumberFormat="1" applyFont="1"/>
    <xf numFmtId="0" fontId="130" fillId="0" borderId="0" xfId="0" applyFont="1" applyAlignment="1">
      <alignment horizontal="center"/>
    </xf>
    <xf numFmtId="0" fontId="132" fillId="0" borderId="0" xfId="0" applyFont="1" applyAlignment="1">
      <alignment horizontal="right"/>
    </xf>
    <xf numFmtId="0" fontId="132" fillId="0" borderId="0" xfId="0" applyFont="1"/>
    <xf numFmtId="0" fontId="132" fillId="0" borderId="71" xfId="0" applyFont="1" applyBorder="1" applyAlignment="1">
      <alignment horizontal="center"/>
    </xf>
    <xf numFmtId="0" fontId="132" fillId="0" borderId="0" xfId="0" applyFont="1" applyAlignment="1">
      <alignment horizontal="left"/>
    </xf>
    <xf numFmtId="0" fontId="134" fillId="0" borderId="0" xfId="0" applyFont="1"/>
    <xf numFmtId="0" fontId="135" fillId="0" borderId="0" xfId="0" applyFont="1" applyAlignment="1">
      <alignment horizontal="right"/>
    </xf>
    <xf numFmtId="2" fontId="135" fillId="0" borderId="0" xfId="0" applyNumberFormat="1" applyFont="1" applyAlignment="1">
      <alignment horizontal="right"/>
    </xf>
    <xf numFmtId="0" fontId="135" fillId="0" borderId="0" xfId="0" applyFont="1"/>
    <xf numFmtId="0" fontId="123" fillId="0" borderId="39" xfId="0" applyFont="1" applyBorder="1"/>
    <xf numFmtId="0" fontId="123" fillId="0" borderId="37" xfId="0" applyFont="1" applyBorder="1"/>
    <xf numFmtId="2" fontId="123" fillId="0" borderId="30" xfId="0" applyNumberFormat="1" applyFont="1" applyBorder="1" applyAlignment="1">
      <alignment horizontal="center"/>
    </xf>
    <xf numFmtId="0" fontId="123" fillId="34" borderId="30" xfId="0" applyFont="1" applyFill="1" applyBorder="1" applyAlignment="1">
      <alignment horizontal="center"/>
    </xf>
    <xf numFmtId="0" fontId="123" fillId="0" borderId="30" xfId="0" applyFont="1" applyBorder="1"/>
    <xf numFmtId="0" fontId="123" fillId="0" borderId="30" xfId="0" applyFont="1" applyBorder="1" applyAlignment="1">
      <alignment horizontal="right"/>
    </xf>
    <xf numFmtId="2" fontId="123" fillId="0" borderId="30" xfId="0" applyNumberFormat="1" applyFont="1" applyBorder="1"/>
    <xf numFmtId="0" fontId="136" fillId="0" borderId="0" xfId="0" applyFont="1"/>
    <xf numFmtId="0" fontId="137" fillId="0" borderId="0" xfId="0" applyFont="1" applyAlignment="1">
      <alignment horizontal="center"/>
    </xf>
    <xf numFmtId="2" fontId="136" fillId="0" borderId="0" xfId="0" applyNumberFormat="1" applyFont="1"/>
    <xf numFmtId="0" fontId="138" fillId="0" borderId="0" xfId="0" applyFont="1" applyAlignment="1">
      <alignment horizontal="right"/>
    </xf>
    <xf numFmtId="0" fontId="138" fillId="35" borderId="71" xfId="0" applyFont="1" applyFill="1" applyBorder="1" applyAlignment="1">
      <alignment horizontal="center"/>
    </xf>
    <xf numFmtId="0" fontId="138" fillId="0" borderId="0" xfId="0" applyFont="1"/>
    <xf numFmtId="0" fontId="138" fillId="0" borderId="0" xfId="0" applyFont="1" applyAlignment="1">
      <alignment horizontal="center"/>
    </xf>
    <xf numFmtId="0" fontId="123" fillId="6" borderId="0" xfId="0" applyFont="1" applyFill="1"/>
    <xf numFmtId="2" fontId="138" fillId="0" borderId="0" xfId="0" applyNumberFormat="1" applyFont="1"/>
    <xf numFmtId="0" fontId="136" fillId="0" borderId="39" xfId="0" applyFont="1" applyBorder="1"/>
    <xf numFmtId="0" fontId="136" fillId="0" borderId="37" xfId="0" applyFont="1" applyBorder="1"/>
    <xf numFmtId="0" fontId="136" fillId="0" borderId="38" xfId="0" applyFont="1" applyBorder="1"/>
    <xf numFmtId="0" fontId="136" fillId="0" borderId="30" xfId="0" applyFont="1" applyBorder="1" applyAlignment="1">
      <alignment horizontal="center"/>
    </xf>
    <xf numFmtId="2" fontId="136" fillId="0" borderId="30" xfId="0" applyNumberFormat="1" applyFont="1" applyBorder="1"/>
    <xf numFmtId="0" fontId="136" fillId="0" borderId="30" xfId="0" applyFont="1" applyBorder="1"/>
    <xf numFmtId="0" fontId="136" fillId="0" borderId="30" xfId="0" applyFont="1" applyBorder="1" applyAlignment="1">
      <alignment horizontal="right"/>
    </xf>
    <xf numFmtId="0" fontId="139" fillId="0" borderId="0" xfId="0" applyFont="1" applyAlignment="1">
      <alignment horizontal="right"/>
    </xf>
    <xf numFmtId="0" fontId="139" fillId="0" borderId="0" xfId="0" applyFont="1"/>
    <xf numFmtId="0" fontId="139" fillId="35" borderId="71" xfId="0" applyFont="1" applyFill="1" applyBorder="1" applyAlignment="1">
      <alignment horizontal="center"/>
    </xf>
    <xf numFmtId="0" fontId="139" fillId="0" borderId="0" xfId="0" applyFont="1" applyAlignment="1">
      <alignment horizontal="left"/>
    </xf>
    <xf numFmtId="0" fontId="140" fillId="0" borderId="0" xfId="0" applyFont="1"/>
    <xf numFmtId="0" fontId="141" fillId="0" borderId="0" xfId="0" applyFont="1" applyAlignment="1">
      <alignment horizontal="right"/>
    </xf>
    <xf numFmtId="2" fontId="140" fillId="0" borderId="0" xfId="0" applyNumberFormat="1" applyFont="1" applyAlignment="1">
      <alignment horizontal="right"/>
    </xf>
    <xf numFmtId="0" fontId="142" fillId="0" borderId="0" xfId="0" applyFont="1" applyAlignment="1">
      <alignment horizontal="center"/>
    </xf>
    <xf numFmtId="0" fontId="142" fillId="0" borderId="0" xfId="0" applyFont="1" applyAlignment="1">
      <alignment horizontal="left"/>
    </xf>
    <xf numFmtId="2" fontId="124" fillId="0" borderId="0" xfId="0" applyNumberFormat="1" applyFont="1"/>
    <xf numFmtId="9" fontId="128" fillId="0" borderId="0" xfId="0" applyNumberFormat="1" applyFont="1"/>
    <xf numFmtId="2" fontId="129" fillId="0" borderId="0" xfId="0" applyNumberFormat="1" applyFont="1"/>
    <xf numFmtId="0" fontId="136" fillId="0" borderId="0" xfId="0" applyFont="1" applyAlignment="1">
      <alignment horizontal="right"/>
    </xf>
    <xf numFmtId="1" fontId="123" fillId="0" borderId="0" xfId="0" applyNumberFormat="1" applyFont="1"/>
    <xf numFmtId="0" fontId="123" fillId="0" borderId="38" xfId="0" applyFont="1" applyBorder="1"/>
    <xf numFmtId="0" fontId="124" fillId="0" borderId="37" xfId="0" applyFont="1" applyBorder="1"/>
    <xf numFmtId="0" fontId="124" fillId="0" borderId="38" xfId="0" applyFont="1" applyBorder="1"/>
    <xf numFmtId="196" fontId="144" fillId="0" borderId="0" xfId="0" applyNumberFormat="1" applyFont="1" applyAlignment="1">
      <alignment horizontal="right"/>
    </xf>
    <xf numFmtId="2" fontId="126" fillId="0" borderId="0" xfId="0" applyNumberFormat="1" applyFont="1"/>
    <xf numFmtId="0" fontId="142" fillId="0" borderId="0" xfId="0" applyFont="1" applyAlignment="1">
      <alignment horizontal="right"/>
    </xf>
    <xf numFmtId="196" fontId="135" fillId="0" borderId="0" xfId="0" applyNumberFormat="1" applyFont="1" applyAlignment="1">
      <alignment horizontal="right"/>
    </xf>
    <xf numFmtId="2" fontId="128" fillId="0" borderId="0" xfId="0" applyNumberFormat="1" applyFont="1" applyAlignment="1">
      <alignment horizontal="left"/>
    </xf>
    <xf numFmtId="3" fontId="128" fillId="0" borderId="0" xfId="0" applyNumberFormat="1" applyFont="1" applyAlignment="1">
      <alignment horizontal="center"/>
    </xf>
    <xf numFmtId="1" fontId="124" fillId="0" borderId="0" xfId="0" applyNumberFormat="1" applyFont="1"/>
    <xf numFmtId="0" fontId="123" fillId="0" borderId="0" xfId="0" applyFont="1" applyAlignment="1">
      <alignment horizontal="center" vertical="center"/>
    </xf>
    <xf numFmtId="0" fontId="145" fillId="0" borderId="0" xfId="0" applyFont="1"/>
    <xf numFmtId="0" fontId="146" fillId="0" borderId="0" xfId="0" applyFont="1"/>
    <xf numFmtId="164" fontId="88" fillId="32" borderId="0" xfId="0" applyNumberFormat="1" applyFont="1" applyFill="1"/>
    <xf numFmtId="10" fontId="13" fillId="0" borderId="24" xfId="18" applyNumberFormat="1" applyFont="1" applyFill="1" applyBorder="1" applyAlignment="1" applyProtection="1">
      <alignment horizontal="center" vertical="center"/>
    </xf>
    <xf numFmtId="175" fontId="13" fillId="0" borderId="31" xfId="25" applyFont="1" applyFill="1" applyBorder="1" applyAlignment="1" applyProtection="1">
      <alignment horizontal="center" vertical="center"/>
    </xf>
    <xf numFmtId="3" fontId="29" fillId="10" borderId="36" xfId="0" applyNumberFormat="1" applyFont="1" applyFill="1" applyBorder="1" applyAlignment="1">
      <alignment horizontal="center" vertical="center" wrapText="1"/>
    </xf>
    <xf numFmtId="10" fontId="13" fillId="0" borderId="38" xfId="18" applyNumberFormat="1" applyFont="1" applyFill="1" applyBorder="1" applyAlignment="1" applyProtection="1">
      <alignment horizontal="right" vertical="center"/>
    </xf>
    <xf numFmtId="10" fontId="13" fillId="31" borderId="38" xfId="25" applyNumberFormat="1" applyFont="1" applyFill="1" applyBorder="1" applyAlignment="1" applyProtection="1">
      <alignment horizontal="right" vertical="center"/>
    </xf>
    <xf numFmtId="10" fontId="13" fillId="36" borderId="38" xfId="25" applyNumberFormat="1" applyFont="1" applyFill="1" applyBorder="1" applyAlignment="1" applyProtection="1">
      <alignment horizontal="right" vertical="center"/>
    </xf>
    <xf numFmtId="176" fontId="13" fillId="36" borderId="31" xfId="25" applyNumberFormat="1" applyFont="1" applyFill="1" applyBorder="1" applyAlignment="1" applyProtection="1">
      <alignment horizontal="right" vertical="center"/>
    </xf>
    <xf numFmtId="10" fontId="13" fillId="31" borderId="38" xfId="17" applyNumberFormat="1" applyFont="1" applyFill="1" applyBorder="1" applyAlignment="1" applyProtection="1">
      <alignment horizontal="right"/>
    </xf>
    <xf numFmtId="176" fontId="13" fillId="31" borderId="31" xfId="25" applyNumberFormat="1" applyFont="1" applyFill="1" applyBorder="1" applyAlignment="1" applyProtection="1">
      <alignment horizontal="right"/>
    </xf>
    <xf numFmtId="9" fontId="13" fillId="0" borderId="24" xfId="16" applyFont="1" applyFill="1" applyBorder="1" applyAlignment="1" applyProtection="1">
      <alignment horizontal="right" vertical="center"/>
    </xf>
    <xf numFmtId="10" fontId="20" fillId="0" borderId="42" xfId="1" applyNumberFormat="1" applyFont="1" applyFill="1" applyBorder="1" applyAlignment="1">
      <alignment horizontal="right" vertical="center"/>
    </xf>
    <xf numFmtId="10" fontId="29" fillId="0" borderId="42" xfId="1" applyNumberFormat="1" applyFont="1" applyFill="1" applyBorder="1" applyAlignment="1">
      <alignment vertical="center"/>
    </xf>
    <xf numFmtId="10" fontId="29" fillId="0" borderId="0" xfId="1" applyNumberFormat="1" applyFont="1" applyFill="1" applyBorder="1" applyAlignment="1">
      <alignment vertical="center"/>
    </xf>
    <xf numFmtId="10" fontId="20" fillId="8" borderId="0" xfId="1" applyNumberFormat="1" applyFont="1" applyFill="1" applyBorder="1" applyAlignment="1">
      <alignment horizontal="right" vertical="center"/>
    </xf>
    <xf numFmtId="0" fontId="115" fillId="0" borderId="0" xfId="0" applyFont="1" applyAlignment="1">
      <alignment vertical="center"/>
    </xf>
    <xf numFmtId="190" fontId="147" fillId="0" borderId="0" xfId="0" applyNumberFormat="1" applyFont="1" applyAlignment="1">
      <alignment vertical="center"/>
    </xf>
    <xf numFmtId="2" fontId="29" fillId="0" borderId="30" xfId="0" applyNumberFormat="1" applyFont="1" applyBorder="1" applyAlignment="1">
      <alignment horizontal="right" vertical="center" wrapText="1"/>
    </xf>
    <xf numFmtId="43" fontId="57" fillId="0" borderId="0" xfId="0" applyNumberFormat="1" applyFont="1" applyAlignment="1">
      <alignment vertical="center"/>
    </xf>
    <xf numFmtId="2" fontId="59" fillId="7" borderId="0" xfId="0" applyNumberFormat="1" applyFont="1" applyFill="1" applyAlignment="1">
      <alignment vertical="center"/>
    </xf>
    <xf numFmtId="196" fontId="57" fillId="0" borderId="0" xfId="0" applyNumberFormat="1" applyFont="1" applyAlignment="1">
      <alignment vertical="center"/>
    </xf>
    <xf numFmtId="0" fontId="29" fillId="0" borderId="0" xfId="0" applyFont="1" applyAlignment="1">
      <alignment horizontal="center"/>
    </xf>
    <xf numFmtId="0" fontId="20" fillId="0" borderId="0" xfId="0" applyFont="1" applyAlignment="1">
      <alignment vertical="center"/>
    </xf>
    <xf numFmtId="0" fontId="29" fillId="0" borderId="0" xfId="0" applyFont="1" applyAlignment="1">
      <alignment vertical="center" wrapText="1"/>
    </xf>
    <xf numFmtId="2" fontId="29" fillId="0" borderId="0" xfId="0" applyNumberFormat="1" applyFont="1" applyAlignment="1">
      <alignment vertical="center" wrapText="1"/>
    </xf>
    <xf numFmtId="0" fontId="20" fillId="0" borderId="30" xfId="0" applyFont="1" applyBorder="1" applyAlignment="1">
      <alignment vertical="center"/>
    </xf>
    <xf numFmtId="2" fontId="20" fillId="0" borderId="30" xfId="0" applyNumberFormat="1" applyFont="1" applyBorder="1" applyAlignment="1">
      <alignment horizontal="center" vertical="center" wrapText="1"/>
    </xf>
    <xf numFmtId="2" fontId="20" fillId="0" borderId="0" xfId="0" applyNumberFormat="1" applyFont="1" applyAlignment="1">
      <alignment vertical="center" wrapText="1"/>
    </xf>
    <xf numFmtId="2" fontId="29" fillId="0" borderId="0" xfId="0" applyNumberFormat="1" applyFont="1" applyAlignment="1">
      <alignment horizontal="center" vertical="center" wrapText="1"/>
    </xf>
    <xf numFmtId="2" fontId="29" fillId="0" borderId="39" xfId="0" applyNumberFormat="1" applyFont="1" applyBorder="1" applyAlignment="1">
      <alignment horizontal="center" vertical="center" wrapText="1"/>
    </xf>
    <xf numFmtId="2" fontId="29" fillId="0" borderId="37" xfId="0" applyNumberFormat="1" applyFont="1" applyBorder="1" applyAlignment="1">
      <alignment horizontal="center" vertical="center" wrapText="1"/>
    </xf>
    <xf numFmtId="2" fontId="29" fillId="0" borderId="38" xfId="0" applyNumberFormat="1" applyFont="1" applyBorder="1" applyAlignment="1">
      <alignment horizontal="center" vertical="center" wrapText="1"/>
    </xf>
    <xf numFmtId="2" fontId="20" fillId="0" borderId="0" xfId="0" applyNumberFormat="1" applyFont="1" applyAlignment="1">
      <alignment horizontal="center" vertical="center" wrapText="1"/>
    </xf>
    <xf numFmtId="4" fontId="32" fillId="33" borderId="15" xfId="0" applyNumberFormat="1" applyFont="1" applyFill="1" applyBorder="1" applyAlignment="1">
      <alignment horizontal="center" vertical="center"/>
    </xf>
    <xf numFmtId="10" fontId="66" fillId="21" borderId="49" xfId="16" applyNumberFormat="1" applyFont="1" applyFill="1" applyBorder="1" applyAlignment="1">
      <alignment horizontal="center" vertical="center" wrapText="1"/>
    </xf>
    <xf numFmtId="9" fontId="66" fillId="21" borderId="30" xfId="16" applyFont="1" applyFill="1" applyBorder="1" applyAlignment="1">
      <alignment horizontal="center" vertical="center" wrapText="1"/>
    </xf>
    <xf numFmtId="0" fontId="12" fillId="10" borderId="35" xfId="0" applyFont="1" applyFill="1" applyBorder="1" applyAlignment="1">
      <alignment horizontal="left" vertical="center" wrapText="1"/>
    </xf>
    <xf numFmtId="165" fontId="29" fillId="10" borderId="0" xfId="26" applyFont="1" applyFill="1" applyAlignment="1">
      <alignment horizontal="left" vertical="center" wrapText="1"/>
    </xf>
    <xf numFmtId="164" fontId="29" fillId="10" borderId="0" xfId="1" applyFont="1" applyFill="1" applyAlignment="1">
      <alignment horizontal="left" vertical="center" wrapText="1"/>
    </xf>
    <xf numFmtId="0" fontId="115" fillId="0" borderId="0" xfId="5" applyFont="1" applyAlignment="1">
      <alignment horizontal="center" vertical="center"/>
    </xf>
    <xf numFmtId="0" fontId="147" fillId="0" borderId="0" xfId="5" applyFont="1" applyAlignment="1">
      <alignment horizontal="center" vertical="center"/>
    </xf>
    <xf numFmtId="43" fontId="96" fillId="32" borderId="0" xfId="0" applyNumberFormat="1" applyFont="1" applyFill="1" applyAlignment="1">
      <alignment wrapText="1"/>
    </xf>
    <xf numFmtId="0" fontId="2" fillId="0" borderId="0" xfId="41"/>
    <xf numFmtId="2" fontId="2" fillId="0" borderId="0" xfId="41" applyNumberFormat="1"/>
    <xf numFmtId="0" fontId="96" fillId="0" borderId="30" xfId="41" applyFont="1" applyBorder="1" applyAlignment="1">
      <alignment horizontal="center" vertical="center" wrapText="1"/>
    </xf>
    <xf numFmtId="2" fontId="96" fillId="0" borderId="30" xfId="41" applyNumberFormat="1" applyFont="1" applyBorder="1" applyAlignment="1">
      <alignment horizontal="center" vertical="center" wrapText="1"/>
    </xf>
    <xf numFmtId="196" fontId="96" fillId="0" borderId="30" xfId="41" applyNumberFormat="1" applyFont="1" applyBorder="1" applyAlignment="1">
      <alignment horizontal="center" vertical="center" wrapText="1"/>
    </xf>
    <xf numFmtId="2" fontId="97" fillId="0" borderId="0" xfId="41" applyNumberFormat="1" applyFont="1" applyAlignment="1">
      <alignment horizontal="center"/>
    </xf>
    <xf numFmtId="196" fontId="2" fillId="0" borderId="0" xfId="41" applyNumberFormat="1"/>
    <xf numFmtId="0" fontId="8" fillId="0" borderId="0" xfId="41" applyFont="1" applyAlignment="1">
      <alignment horizontal="left"/>
    </xf>
    <xf numFmtId="0" fontId="4" fillId="0" borderId="30" xfId="41" applyFont="1" applyBorder="1" applyAlignment="1">
      <alignment horizontal="center"/>
    </xf>
    <xf numFmtId="2" fontId="4" fillId="0" borderId="30" xfId="41" applyNumberFormat="1" applyFont="1" applyBorder="1" applyAlignment="1">
      <alignment horizontal="center"/>
    </xf>
    <xf numFmtId="196" fontId="4" fillId="0" borderId="30" xfId="41" applyNumberFormat="1" applyFont="1" applyBorder="1" applyAlignment="1">
      <alignment horizontal="center"/>
    </xf>
    <xf numFmtId="0" fontId="2" fillId="0" borderId="30" xfId="41" applyBorder="1" applyAlignment="1">
      <alignment horizontal="center"/>
    </xf>
    <xf numFmtId="2" fontId="2" fillId="0" borderId="30" xfId="41" applyNumberFormat="1" applyBorder="1" applyAlignment="1">
      <alignment horizontal="center"/>
    </xf>
    <xf numFmtId="196" fontId="2" fillId="0" borderId="30" xfId="41" applyNumberFormat="1" applyBorder="1" applyAlignment="1">
      <alignment horizontal="center"/>
    </xf>
    <xf numFmtId="0" fontId="2" fillId="0" borderId="30" xfId="41" applyBorder="1" applyAlignment="1">
      <alignment horizontal="center" vertical="center"/>
    </xf>
    <xf numFmtId="2" fontId="2" fillId="0" borderId="30" xfId="41" applyNumberFormat="1" applyBorder="1" applyAlignment="1">
      <alignment horizontal="center" vertical="center"/>
    </xf>
    <xf numFmtId="196" fontId="2" fillId="0" borderId="30" xfId="41" applyNumberFormat="1" applyBorder="1" applyAlignment="1">
      <alignment horizontal="center" vertical="center"/>
    </xf>
    <xf numFmtId="2" fontId="2" fillId="0" borderId="0" xfId="41" applyNumberFormat="1" applyAlignment="1">
      <alignment horizontal="center"/>
    </xf>
    <xf numFmtId="2" fontId="2" fillId="0" borderId="38" xfId="41" applyNumberFormat="1" applyBorder="1" applyAlignment="1">
      <alignment horizontal="centerContinuous"/>
    </xf>
    <xf numFmtId="2" fontId="76" fillId="0" borderId="39" xfId="41" applyNumberFormat="1" applyFont="1" applyBorder="1" applyAlignment="1">
      <alignment horizontal="centerContinuous"/>
    </xf>
    <xf numFmtId="0" fontId="2" fillId="0" borderId="37" xfId="41" applyBorder="1" applyAlignment="1">
      <alignment horizontal="centerContinuous"/>
    </xf>
    <xf numFmtId="2" fontId="76" fillId="0" borderId="37" xfId="41" applyNumberFormat="1" applyFont="1" applyBorder="1" applyAlignment="1">
      <alignment horizontal="centerContinuous"/>
    </xf>
    <xf numFmtId="0" fontId="76" fillId="0" borderId="37" xfId="41" applyFont="1" applyBorder="1" applyAlignment="1">
      <alignment horizontal="centerContinuous"/>
    </xf>
    <xf numFmtId="196" fontId="76" fillId="0" borderId="37" xfId="41" applyNumberFormat="1" applyFont="1" applyBorder="1" applyAlignment="1">
      <alignment horizontal="centerContinuous"/>
    </xf>
    <xf numFmtId="2" fontId="2" fillId="0" borderId="37" xfId="41" applyNumberFormat="1" applyBorder="1" applyAlignment="1">
      <alignment horizontal="centerContinuous"/>
    </xf>
    <xf numFmtId="2" fontId="148" fillId="0" borderId="39" xfId="41" applyNumberFormat="1" applyFont="1" applyBorder="1"/>
    <xf numFmtId="0" fontId="2" fillId="0" borderId="38" xfId="41" applyBorder="1"/>
    <xf numFmtId="49" fontId="2" fillId="0" borderId="39" xfId="41" applyNumberFormat="1" applyBorder="1"/>
    <xf numFmtId="49" fontId="2" fillId="0" borderId="38" xfId="41" applyNumberFormat="1" applyBorder="1"/>
    <xf numFmtId="49" fontId="2" fillId="0" borderId="39" xfId="41" applyNumberFormat="1" applyBorder="1" applyAlignment="1">
      <alignment horizontal="centerContinuous"/>
    </xf>
    <xf numFmtId="49" fontId="2" fillId="0" borderId="38" xfId="41" applyNumberFormat="1" applyBorder="1" applyAlignment="1">
      <alignment horizontal="centerContinuous"/>
    </xf>
    <xf numFmtId="0" fontId="2" fillId="0" borderId="0" xfId="41" applyAlignment="1">
      <alignment horizontal="center"/>
    </xf>
    <xf numFmtId="0" fontId="2" fillId="0" borderId="30" xfId="41" applyBorder="1"/>
    <xf numFmtId="2" fontId="2" fillId="0" borderId="30" xfId="41" applyNumberFormat="1" applyBorder="1"/>
    <xf numFmtId="196" fontId="2" fillId="0" borderId="30" xfId="41" applyNumberFormat="1" applyBorder="1"/>
    <xf numFmtId="0" fontId="149" fillId="0" borderId="30" xfId="41" applyFont="1" applyBorder="1" applyAlignment="1">
      <alignment horizontal="centerContinuous"/>
    </xf>
    <xf numFmtId="0" fontId="2" fillId="0" borderId="30" xfId="41" applyBorder="1" applyAlignment="1">
      <alignment horizontal="centerContinuous"/>
    </xf>
    <xf numFmtId="2" fontId="2" fillId="0" borderId="30" xfId="41" applyNumberFormat="1" applyBorder="1" applyAlignment="1">
      <alignment horizontal="centerContinuous"/>
    </xf>
    <xf numFmtId="196" fontId="2" fillId="0" borderId="30" xfId="41" applyNumberFormat="1" applyBorder="1" applyAlignment="1">
      <alignment horizontal="centerContinuous"/>
    </xf>
    <xf numFmtId="2" fontId="75" fillId="0" borderId="0" xfId="41" applyNumberFormat="1" applyFont="1"/>
    <xf numFmtId="2" fontId="150" fillId="0" borderId="0" xfId="41" applyNumberFormat="1" applyFont="1"/>
    <xf numFmtId="4" fontId="2" fillId="0" borderId="0" xfId="41" applyNumberFormat="1"/>
    <xf numFmtId="2" fontId="150" fillId="0" borderId="30" xfId="41" applyNumberFormat="1" applyFont="1" applyBorder="1" applyAlignment="1">
      <alignment horizontal="center"/>
    </xf>
    <xf numFmtId="2" fontId="150" fillId="33" borderId="30" xfId="41" applyNumberFormat="1" applyFont="1" applyFill="1" applyBorder="1" applyAlignment="1">
      <alignment horizontal="center"/>
    </xf>
    <xf numFmtId="4" fontId="150" fillId="38" borderId="30" xfId="41" applyNumberFormat="1" applyFont="1" applyFill="1" applyBorder="1" applyAlignment="1">
      <alignment horizontal="center"/>
    </xf>
    <xf numFmtId="4" fontId="150" fillId="38" borderId="30" xfId="41" applyNumberFormat="1" applyFont="1" applyFill="1" applyBorder="1"/>
    <xf numFmtId="2" fontId="2" fillId="38" borderId="30" xfId="41" applyNumberFormat="1" applyFill="1" applyBorder="1" applyAlignment="1">
      <alignment horizontal="center"/>
    </xf>
    <xf numFmtId="2" fontId="151" fillId="0" borderId="30" xfId="41" applyNumberFormat="1" applyFont="1" applyBorder="1"/>
    <xf numFmtId="196" fontId="150" fillId="0" borderId="30" xfId="41" applyNumberFormat="1" applyFont="1" applyBorder="1" applyAlignment="1">
      <alignment horizontal="center" vertical="center" wrapText="1"/>
    </xf>
    <xf numFmtId="2" fontId="150" fillId="0" borderId="30" xfId="41" applyNumberFormat="1" applyFont="1" applyBorder="1" applyAlignment="1">
      <alignment horizontal="center" vertical="center"/>
    </xf>
    <xf numFmtId="2" fontId="2" fillId="38" borderId="0" xfId="41" applyNumberFormat="1" applyFill="1"/>
    <xf numFmtId="4" fontId="2" fillId="38" borderId="30" xfId="41" applyNumberFormat="1" applyFill="1" applyBorder="1" applyAlignment="1">
      <alignment horizontal="center"/>
    </xf>
    <xf numFmtId="165" fontId="2" fillId="0" borderId="0" xfId="26" applyFont="1" applyFill="1"/>
    <xf numFmtId="0" fontId="20" fillId="8" borderId="41" xfId="0" applyFont="1" applyFill="1" applyBorder="1" applyAlignment="1">
      <alignment horizontal="right" vertical="center" wrapText="1"/>
    </xf>
    <xf numFmtId="0" fontId="20" fillId="8" borderId="42" xfId="0" applyFont="1" applyFill="1" applyBorder="1" applyAlignment="1">
      <alignment horizontal="right" vertical="center" wrapText="1"/>
    </xf>
    <xf numFmtId="164" fontId="20" fillId="8" borderId="63" xfId="1" applyFont="1" applyFill="1" applyBorder="1" applyAlignment="1">
      <alignment horizontal="right" vertical="center"/>
    </xf>
    <xf numFmtId="0" fontId="20" fillId="8" borderId="0" xfId="0" applyFont="1" applyFill="1" applyAlignment="1">
      <alignment horizontal="right" vertical="center" wrapText="1"/>
    </xf>
    <xf numFmtId="0" fontId="20" fillId="8" borderId="98" xfId="0" applyFont="1" applyFill="1" applyBorder="1" applyAlignment="1">
      <alignment horizontal="right" vertical="center" wrapText="1"/>
    </xf>
    <xf numFmtId="164" fontId="20" fillId="8" borderId="29" xfId="1" applyFont="1" applyFill="1" applyBorder="1" applyAlignment="1">
      <alignment horizontal="right" vertical="center"/>
    </xf>
    <xf numFmtId="164" fontId="20" fillId="8" borderId="30" xfId="1" applyFont="1" applyFill="1" applyBorder="1" applyAlignment="1">
      <alignment horizontal="right" vertical="center"/>
    </xf>
    <xf numFmtId="0" fontId="29" fillId="8" borderId="59" xfId="0" applyFont="1" applyFill="1" applyBorder="1" applyAlignment="1">
      <alignment horizontal="center" vertical="center" wrapText="1"/>
    </xf>
    <xf numFmtId="0" fontId="20" fillId="8" borderId="59" xfId="0" applyFont="1" applyFill="1" applyBorder="1" applyAlignment="1">
      <alignment horizontal="right" vertical="center" wrapText="1"/>
    </xf>
    <xf numFmtId="0" fontId="20" fillId="8" borderId="0" xfId="0" applyFont="1" applyFill="1" applyAlignment="1">
      <alignment horizontal="left" vertical="center" wrapText="1"/>
    </xf>
    <xf numFmtId="0" fontId="20" fillId="8" borderId="30" xfId="0" applyFont="1" applyFill="1" applyBorder="1" applyAlignment="1">
      <alignment horizontal="left" vertical="center" wrapText="1"/>
    </xf>
    <xf numFmtId="0" fontId="29" fillId="0" borderId="30" xfId="0" applyFont="1" applyBorder="1" applyAlignment="1">
      <alignment horizontal="right" vertical="center" wrapText="1"/>
    </xf>
    <xf numFmtId="0" fontId="29" fillId="0" borderId="30" xfId="0" applyFont="1" applyBorder="1" applyAlignment="1">
      <alignment horizontal="left" vertical="center" wrapText="1"/>
    </xf>
    <xf numFmtId="0" fontId="29" fillId="0" borderId="30" xfId="0" applyFont="1" applyBorder="1" applyAlignment="1">
      <alignment vertical="center" wrapText="1"/>
    </xf>
    <xf numFmtId="165" fontId="29" fillId="0" borderId="30" xfId="26" applyFont="1" applyFill="1" applyBorder="1" applyAlignment="1">
      <alignment horizontal="right" vertical="center" wrapText="1"/>
    </xf>
    <xf numFmtId="0" fontId="66" fillId="0" borderId="64" xfId="5" applyFont="1" applyBorder="1" applyAlignment="1">
      <alignment horizontal="center" vertical="center" wrapText="1"/>
    </xf>
    <xf numFmtId="0" fontId="66" fillId="0" borderId="66" xfId="5" quotePrefix="1" applyFont="1" applyBorder="1" applyAlignment="1">
      <alignment horizontal="center" vertical="center" wrapText="1"/>
    </xf>
    <xf numFmtId="2" fontId="1" fillId="0" borderId="0" xfId="41" applyNumberFormat="1" applyFont="1" applyAlignment="1">
      <alignment wrapText="1"/>
    </xf>
    <xf numFmtId="0" fontId="12" fillId="0" borderId="35" xfId="0" applyFont="1" applyBorder="1" applyAlignment="1">
      <alignment horizontal="center" vertical="center" wrapText="1"/>
    </xf>
    <xf numFmtId="165" fontId="12" fillId="0" borderId="0" xfId="26" applyFont="1" applyFill="1" applyBorder="1" applyAlignment="1">
      <alignment vertical="center"/>
    </xf>
    <xf numFmtId="165" fontId="12" fillId="0" borderId="59" xfId="26" applyFont="1" applyFill="1" applyBorder="1" applyAlignment="1">
      <alignment vertical="center" wrapText="1"/>
    </xf>
    <xf numFmtId="164" fontId="20" fillId="0" borderId="115" xfId="1" applyFont="1" applyFill="1" applyBorder="1" applyAlignment="1">
      <alignment horizontal="right" vertical="center"/>
    </xf>
    <xf numFmtId="165" fontId="12" fillId="8" borderId="30" xfId="26" applyFont="1" applyFill="1" applyBorder="1" applyAlignment="1">
      <alignment vertical="center" wrapText="1"/>
    </xf>
    <xf numFmtId="165" fontId="66" fillId="21" borderId="38" xfId="26" applyFont="1" applyFill="1" applyBorder="1" applyAlignment="1">
      <alignment horizontal="left" vertical="center" wrapText="1"/>
    </xf>
    <xf numFmtId="0" fontId="20" fillId="37" borderId="37" xfId="0" applyFont="1" applyFill="1" applyBorder="1" applyAlignment="1">
      <alignment horizontal="right" vertical="center"/>
    </xf>
    <xf numFmtId="0" fontId="20" fillId="8" borderId="37" xfId="0" applyFont="1" applyFill="1" applyBorder="1" applyAlignment="1">
      <alignment horizontal="right" vertical="center"/>
    </xf>
    <xf numFmtId="0" fontId="20" fillId="8" borderId="30" xfId="0" applyFont="1" applyFill="1" applyBorder="1" applyAlignment="1">
      <alignment horizontal="right" vertical="center" wrapText="1"/>
    </xf>
    <xf numFmtId="165" fontId="12" fillId="18" borderId="42" xfId="12" applyNumberFormat="1" applyFont="1" applyFill="1" applyBorder="1" applyAlignment="1">
      <alignment horizontal="right" vertical="center" wrapText="1"/>
    </xf>
    <xf numFmtId="10" fontId="68" fillId="21" borderId="15" xfId="5" applyNumberFormat="1" applyFont="1" applyFill="1" applyBorder="1" applyAlignment="1">
      <alignment horizontal="center" vertical="center" wrapText="1"/>
    </xf>
    <xf numFmtId="165" fontId="68" fillId="21" borderId="66" xfId="21" applyNumberFormat="1" applyFont="1" applyFill="1" applyBorder="1" applyAlignment="1">
      <alignment horizontal="center" vertical="center" wrapText="1"/>
    </xf>
    <xf numFmtId="165" fontId="89" fillId="0" borderId="149" xfId="26" applyFont="1" applyBorder="1" applyAlignment="1">
      <alignment horizontal="center" vertical="center" wrapText="1"/>
    </xf>
    <xf numFmtId="165" fontId="29" fillId="0" borderId="30" xfId="26" applyFont="1" applyBorder="1" applyAlignment="1">
      <alignment horizontal="right" vertical="center" wrapText="1"/>
    </xf>
    <xf numFmtId="49" fontId="152" fillId="3" borderId="0" xfId="0" applyNumberFormat="1" applyFont="1" applyFill="1" applyAlignment="1">
      <alignment horizontal="left"/>
    </xf>
    <xf numFmtId="0" fontId="152" fillId="3" borderId="0" xfId="0" applyFont="1" applyFill="1"/>
    <xf numFmtId="0" fontId="152" fillId="3" borderId="0" xfId="0" applyFont="1" applyFill="1" applyAlignment="1">
      <alignment wrapText="1"/>
    </xf>
    <xf numFmtId="0" fontId="152" fillId="3" borderId="0" xfId="0" applyFont="1" applyFill="1" applyAlignment="1">
      <alignment horizontal="center"/>
    </xf>
    <xf numFmtId="0" fontId="153" fillId="3" borderId="0" xfId="0" applyFont="1" applyFill="1" applyAlignment="1">
      <alignment horizontal="center"/>
    </xf>
    <xf numFmtId="0" fontId="154" fillId="0" borderId="0" xfId="0" applyFont="1" applyAlignment="1">
      <alignment horizontal="left"/>
    </xf>
    <xf numFmtId="0" fontId="152" fillId="0" borderId="0" xfId="0" applyFont="1"/>
    <xf numFmtId="0" fontId="152" fillId="0" borderId="30" xfId="0" applyFont="1" applyBorder="1" applyAlignment="1">
      <alignment horizontal="center"/>
    </xf>
    <xf numFmtId="0" fontId="152" fillId="0" borderId="30" xfId="0" applyFont="1" applyBorder="1"/>
    <xf numFmtId="49" fontId="152" fillId="4" borderId="30" xfId="0" applyNumberFormat="1" applyFont="1" applyFill="1" applyBorder="1" applyProtection="1">
      <protection locked="0"/>
    </xf>
    <xf numFmtId="0" fontId="153" fillId="0" borderId="30" xfId="0" applyFont="1" applyBorder="1" applyAlignment="1">
      <alignment horizontal="center"/>
    </xf>
    <xf numFmtId="0" fontId="153" fillId="0" borderId="30" xfId="0" applyFont="1" applyBorder="1"/>
    <xf numFmtId="49" fontId="153" fillId="4" borderId="30" xfId="0" quotePrefix="1" applyNumberFormat="1" applyFont="1" applyFill="1" applyBorder="1" applyAlignment="1" applyProtection="1">
      <alignment horizontal="center" wrapText="1"/>
      <protection locked="0"/>
    </xf>
    <xf numFmtId="49" fontId="153" fillId="4" borderId="30" xfId="0" applyNumberFormat="1" applyFont="1" applyFill="1" applyBorder="1" applyAlignment="1" applyProtection="1">
      <alignment wrapText="1"/>
      <protection locked="0"/>
    </xf>
    <xf numFmtId="49" fontId="153" fillId="4" borderId="30" xfId="0" applyNumberFormat="1" applyFont="1" applyFill="1" applyBorder="1" applyAlignment="1" applyProtection="1">
      <alignment horizontal="center" wrapText="1"/>
      <protection locked="0"/>
    </xf>
    <xf numFmtId="0" fontId="152" fillId="0" borderId="0" xfId="0" applyFont="1" applyAlignment="1">
      <alignment horizontal="center"/>
    </xf>
    <xf numFmtId="0" fontId="152" fillId="0" borderId="181" xfId="0" applyFont="1" applyBorder="1" applyAlignment="1">
      <alignment horizontal="center"/>
    </xf>
    <xf numFmtId="49" fontId="152" fillId="4" borderId="186" xfId="0" applyNumberFormat="1" applyFont="1" applyFill="1" applyBorder="1" applyAlignment="1" applyProtection="1">
      <alignment horizontal="center" wrapText="1"/>
      <protection locked="0"/>
    </xf>
    <xf numFmtId="0" fontId="153" fillId="0" borderId="186" xfId="0" applyFont="1" applyBorder="1"/>
    <xf numFmtId="4" fontId="29" fillId="0" borderId="30" xfId="0" applyNumberFormat="1" applyFont="1" applyBorder="1" applyAlignment="1">
      <alignment horizontal="right" vertical="center" wrapText="1"/>
    </xf>
    <xf numFmtId="10" fontId="30" fillId="8" borderId="39" xfId="16" applyNumberFormat="1" applyFont="1" applyFill="1" applyBorder="1" applyAlignment="1">
      <alignment horizontal="center" vertical="center" wrapText="1"/>
    </xf>
    <xf numFmtId="0" fontId="66" fillId="0" borderId="67" xfId="5" quotePrefix="1" applyFont="1" applyBorder="1" applyAlignment="1">
      <alignment horizontal="center" vertical="center" wrapText="1"/>
    </xf>
    <xf numFmtId="198" fontId="31" fillId="18" borderId="94" xfId="16" applyNumberFormat="1" applyFont="1" applyFill="1" applyBorder="1" applyAlignment="1">
      <alignment horizontal="center" vertical="center" wrapText="1"/>
    </xf>
    <xf numFmtId="10" fontId="12" fillId="0" borderId="39" xfId="16" applyNumberFormat="1" applyFont="1" applyFill="1" applyBorder="1" applyAlignment="1">
      <alignment horizontal="center" vertical="center"/>
    </xf>
    <xf numFmtId="199" fontId="29" fillId="0" borderId="0" xfId="0" applyNumberFormat="1" applyFont="1" applyAlignment="1">
      <alignment vertical="center"/>
    </xf>
    <xf numFmtId="0" fontId="155" fillId="0" borderId="0" xfId="0" applyFont="1" applyAlignment="1">
      <alignment vertical="center"/>
    </xf>
    <xf numFmtId="0" fontId="28" fillId="0" borderId="0" xfId="0" applyFont="1" applyAlignment="1">
      <alignment horizontal="center" vertical="center"/>
    </xf>
    <xf numFmtId="0" fontId="27" fillId="10" borderId="48" xfId="0" applyFont="1" applyFill="1" applyBorder="1" applyAlignment="1">
      <alignment horizontal="center" vertical="center" wrapText="1"/>
    </xf>
    <xf numFmtId="0" fontId="27" fillId="10" borderId="0" xfId="0" applyFont="1" applyFill="1" applyAlignment="1">
      <alignment horizontal="center" vertical="center" wrapText="1"/>
    </xf>
    <xf numFmtId="0" fontId="27" fillId="10" borderId="98" xfId="0" applyFont="1" applyFill="1" applyBorder="1" applyAlignment="1">
      <alignment horizontal="center" vertical="center" wrapText="1"/>
    </xf>
    <xf numFmtId="165" fontId="20" fillId="18" borderId="105" xfId="12" applyNumberFormat="1" applyFont="1" applyFill="1" applyBorder="1" applyAlignment="1">
      <alignment horizontal="center" vertical="center" wrapText="1"/>
    </xf>
    <xf numFmtId="165" fontId="20" fillId="18" borderId="79" xfId="12" applyNumberFormat="1" applyFont="1" applyFill="1" applyBorder="1" applyAlignment="1">
      <alignment horizontal="center" vertical="center" wrapText="1"/>
    </xf>
    <xf numFmtId="165" fontId="20" fillId="18" borderId="211" xfId="12" applyNumberFormat="1" applyFont="1" applyFill="1" applyBorder="1" applyAlignment="1">
      <alignment horizontal="center" vertical="center" wrapText="1"/>
    </xf>
    <xf numFmtId="0" fontId="28" fillId="0" borderId="48" xfId="0" applyFont="1" applyBorder="1" applyAlignment="1">
      <alignment horizontal="center" vertical="center" wrapText="1"/>
    </xf>
    <xf numFmtId="0" fontId="28" fillId="0" borderId="0" xfId="0" applyFont="1" applyAlignment="1">
      <alignment horizontal="center" vertical="center" wrapText="1"/>
    </xf>
    <xf numFmtId="0" fontId="28" fillId="0" borderId="98" xfId="0" applyFont="1" applyBorder="1" applyAlignment="1">
      <alignment horizontal="center" vertical="center" wrapText="1"/>
    </xf>
    <xf numFmtId="0" fontId="28" fillId="21" borderId="57" xfId="0" applyFont="1" applyFill="1" applyBorder="1" applyAlignment="1">
      <alignment horizontal="center" vertical="center"/>
    </xf>
    <xf numFmtId="0" fontId="27" fillId="0" borderId="113" xfId="0" applyFont="1" applyBorder="1" applyAlignment="1">
      <alignment horizontal="center"/>
    </xf>
    <xf numFmtId="0" fontId="27" fillId="0" borderId="103" xfId="0" applyFont="1" applyBorder="1" applyAlignment="1">
      <alignment horizontal="center"/>
    </xf>
    <xf numFmtId="0" fontId="27" fillId="0" borderId="104" xfId="0" applyFont="1" applyBorder="1" applyAlignment="1">
      <alignment horizontal="center"/>
    </xf>
    <xf numFmtId="0" fontId="28" fillId="10" borderId="48" xfId="0" applyFont="1" applyFill="1" applyBorder="1" applyAlignment="1">
      <alignment horizontal="center" vertical="center" wrapText="1"/>
    </xf>
    <xf numFmtId="0" fontId="28" fillId="10" borderId="0" xfId="0" applyFont="1" applyFill="1" applyAlignment="1">
      <alignment horizontal="center" vertical="center" wrapText="1"/>
    </xf>
    <xf numFmtId="0" fontId="28" fillId="10" borderId="98" xfId="0" applyFont="1" applyFill="1" applyBorder="1" applyAlignment="1">
      <alignment horizontal="center" vertical="center" wrapText="1"/>
    </xf>
    <xf numFmtId="0" fontId="89" fillId="28" borderId="156" xfId="0" applyFont="1" applyFill="1" applyBorder="1" applyAlignment="1">
      <alignment horizontal="center" vertical="center" wrapText="1"/>
    </xf>
    <xf numFmtId="0" fontId="89" fillId="28" borderId="157" xfId="0" applyFont="1" applyFill="1" applyBorder="1" applyAlignment="1">
      <alignment horizontal="center" vertical="center" wrapText="1"/>
    </xf>
    <xf numFmtId="0" fontId="89" fillId="28" borderId="158" xfId="0" applyFont="1" applyFill="1" applyBorder="1" applyAlignment="1">
      <alignment horizontal="center" vertical="center" wrapText="1"/>
    </xf>
    <xf numFmtId="0" fontId="89" fillId="28" borderId="155" xfId="0" applyFont="1" applyFill="1" applyBorder="1" applyAlignment="1">
      <alignment horizontal="center" vertical="center" wrapText="1"/>
    </xf>
    <xf numFmtId="0" fontId="89" fillId="28" borderId="150" xfId="0" applyFont="1" applyFill="1" applyBorder="1" applyAlignment="1">
      <alignment horizontal="center" vertical="center" wrapText="1"/>
    </xf>
    <xf numFmtId="0" fontId="89" fillId="28" borderId="148" xfId="0" applyFont="1" applyFill="1" applyBorder="1" applyAlignment="1">
      <alignment horizontal="center" vertical="center" wrapText="1"/>
    </xf>
    <xf numFmtId="0" fontId="89" fillId="18" borderId="145" xfId="0" applyFont="1" applyFill="1" applyBorder="1" applyAlignment="1">
      <alignment horizontal="center" vertical="center" wrapText="1"/>
    </xf>
    <xf numFmtId="0" fontId="89" fillId="18" borderId="146" xfId="0" applyFont="1" applyFill="1" applyBorder="1" applyAlignment="1">
      <alignment horizontal="center" vertical="center" wrapText="1"/>
    </xf>
    <xf numFmtId="0" fontId="89" fillId="18" borderId="147" xfId="0" applyFont="1" applyFill="1" applyBorder="1" applyAlignment="1">
      <alignment horizontal="center" vertical="center" wrapText="1"/>
    </xf>
    <xf numFmtId="0" fontId="89" fillId="0" borderId="152" xfId="0" applyFont="1" applyBorder="1" applyAlignment="1">
      <alignment horizontal="center" vertical="center" wrapText="1"/>
    </xf>
    <xf numFmtId="0" fontId="89" fillId="0" borderId="153" xfId="0" applyFont="1" applyBorder="1" applyAlignment="1">
      <alignment horizontal="center" vertical="center" wrapText="1"/>
    </xf>
    <xf numFmtId="0" fontId="89" fillId="0" borderId="154" xfId="0" applyFont="1" applyBorder="1" applyAlignment="1">
      <alignment horizontal="center" vertical="center" wrapText="1"/>
    </xf>
    <xf numFmtId="0" fontId="89" fillId="28" borderId="155" xfId="0" applyFont="1" applyFill="1" applyBorder="1" applyAlignment="1">
      <alignment vertical="center" wrapText="1"/>
    </xf>
    <xf numFmtId="0" fontId="89" fillId="28" borderId="150" xfId="0" applyFont="1" applyFill="1" applyBorder="1" applyAlignment="1">
      <alignment vertical="center" wrapText="1"/>
    </xf>
    <xf numFmtId="0" fontId="89" fillId="28" borderId="148" xfId="0" applyFont="1" applyFill="1" applyBorder="1" applyAlignment="1">
      <alignment vertical="center" wrapText="1"/>
    </xf>
    <xf numFmtId="174" fontId="31" fillId="0" borderId="0" xfId="0" applyNumberFormat="1" applyFont="1" applyAlignment="1">
      <alignment vertical="center"/>
    </xf>
    <xf numFmtId="2" fontId="20" fillId="0" borderId="0" xfId="0" applyNumberFormat="1" applyFont="1" applyAlignment="1">
      <alignment vertical="center"/>
    </xf>
    <xf numFmtId="0" fontId="20" fillId="20" borderId="0" xfId="0" applyFont="1" applyFill="1" applyAlignment="1">
      <alignment horizontal="center" vertical="center" wrapText="1"/>
    </xf>
    <xf numFmtId="2" fontId="20" fillId="0" borderId="43" xfId="0" applyNumberFormat="1" applyFont="1" applyBorder="1" applyAlignment="1">
      <alignment vertical="center"/>
    </xf>
    <xf numFmtId="0" fontId="12" fillId="8" borderId="36" xfId="0" applyFont="1" applyFill="1" applyBorder="1" applyAlignment="1">
      <alignment horizontal="right" vertical="center"/>
    </xf>
    <xf numFmtId="0" fontId="12" fillId="8" borderId="37" xfId="0" applyFont="1" applyFill="1" applyBorder="1" applyAlignment="1">
      <alignment horizontal="right" vertical="center"/>
    </xf>
    <xf numFmtId="0" fontId="12" fillId="8" borderId="36" xfId="0" applyFont="1" applyFill="1" applyBorder="1" applyAlignment="1">
      <alignment horizontal="right" vertical="center" wrapText="1"/>
    </xf>
    <xf numFmtId="0" fontId="12" fillId="8" borderId="37" xfId="0" applyFont="1" applyFill="1" applyBorder="1" applyAlignment="1">
      <alignment horizontal="right" vertical="center" wrapText="1"/>
    </xf>
    <xf numFmtId="0" fontId="12" fillId="8" borderId="37" xfId="0" applyFont="1" applyFill="1" applyBorder="1" applyAlignment="1">
      <alignment horizontal="center" vertical="center" wrapText="1"/>
    </xf>
    <xf numFmtId="0" fontId="29" fillId="10" borderId="22" xfId="0" applyFont="1" applyFill="1" applyBorder="1" applyAlignment="1">
      <alignment horizontal="center" vertical="center"/>
    </xf>
    <xf numFmtId="0" fontId="29" fillId="10" borderId="43" xfId="0" applyFont="1" applyFill="1" applyBorder="1" applyAlignment="1">
      <alignment horizontal="center" vertical="center"/>
    </xf>
    <xf numFmtId="0" fontId="29" fillId="10" borderId="35" xfId="0" applyFont="1" applyFill="1" applyBorder="1" applyAlignment="1">
      <alignment horizontal="center" vertical="center"/>
    </xf>
    <xf numFmtId="0" fontId="29" fillId="10" borderId="0" xfId="0" applyFont="1" applyFill="1" applyAlignment="1">
      <alignment horizontal="center" vertical="center"/>
    </xf>
    <xf numFmtId="0" fontId="112" fillId="10" borderId="35" xfId="0" applyFont="1" applyFill="1" applyBorder="1" applyAlignment="1">
      <alignment horizontal="center" vertical="center" wrapText="1"/>
    </xf>
    <xf numFmtId="0" fontId="112" fillId="10" borderId="0" xfId="0" applyFont="1" applyFill="1" applyAlignment="1">
      <alignment horizontal="center" vertical="center" wrapText="1"/>
    </xf>
    <xf numFmtId="0" fontId="113" fillId="10" borderId="35" xfId="0" applyFont="1" applyFill="1" applyBorder="1" applyAlignment="1">
      <alignment horizontal="center" vertical="center" wrapText="1"/>
    </xf>
    <xf numFmtId="0" fontId="113" fillId="10" borderId="0" xfId="0" applyFont="1" applyFill="1" applyAlignment="1">
      <alignment horizontal="center" vertical="center" wrapText="1"/>
    </xf>
    <xf numFmtId="14" fontId="29" fillId="10" borderId="35" xfId="0" applyNumberFormat="1" applyFont="1" applyFill="1" applyBorder="1" applyAlignment="1">
      <alignment horizontal="center" vertical="center" wrapText="1"/>
    </xf>
    <xf numFmtId="14" fontId="29" fillId="10" borderId="0" xfId="0" applyNumberFormat="1" applyFont="1" applyFill="1" applyAlignment="1">
      <alignment horizontal="center" vertical="center" wrapText="1"/>
    </xf>
    <xf numFmtId="0" fontId="12" fillId="10" borderId="0" xfId="0" applyFont="1" applyFill="1" applyAlignment="1">
      <alignment horizontal="left" vertical="center" wrapText="1"/>
    </xf>
    <xf numFmtId="0" fontId="31" fillId="8" borderId="87" xfId="0" applyFont="1" applyFill="1" applyBorder="1" applyAlignment="1">
      <alignment horizontal="center" vertical="center" wrapText="1"/>
    </xf>
    <xf numFmtId="0" fontId="31" fillId="8" borderId="115" xfId="0" applyFont="1" applyFill="1" applyBorder="1" applyAlignment="1">
      <alignment horizontal="center" vertical="center" wrapText="1"/>
    </xf>
    <xf numFmtId="0" fontId="31" fillId="8" borderId="90" xfId="0" applyFont="1" applyFill="1" applyBorder="1" applyAlignment="1">
      <alignment horizontal="center" vertical="center" wrapText="1"/>
    </xf>
    <xf numFmtId="0" fontId="31" fillId="8" borderId="34" xfId="0" applyFont="1" applyFill="1" applyBorder="1" applyAlignment="1">
      <alignment horizontal="center" vertical="center" wrapText="1"/>
    </xf>
    <xf numFmtId="0" fontId="31" fillId="8" borderId="214" xfId="0" applyFont="1" applyFill="1" applyBorder="1" applyAlignment="1">
      <alignment horizontal="center" vertical="center" wrapText="1"/>
    </xf>
    <xf numFmtId="0" fontId="31" fillId="8" borderId="215" xfId="0" applyFont="1" applyFill="1" applyBorder="1" applyAlignment="1">
      <alignment horizontal="center" vertical="center" wrapText="1"/>
    </xf>
    <xf numFmtId="0" fontId="20" fillId="20" borderId="43" xfId="0" applyFont="1" applyFill="1" applyBorder="1" applyAlignment="1">
      <alignment horizontal="center" vertical="center" wrapText="1"/>
    </xf>
    <xf numFmtId="0" fontId="31" fillId="8" borderId="57" xfId="0" applyFont="1" applyFill="1" applyBorder="1" applyAlignment="1">
      <alignment horizontal="center" vertical="center" wrapText="1"/>
    </xf>
    <xf numFmtId="0" fontId="31" fillId="8" borderId="33" xfId="0" applyFont="1" applyFill="1" applyBorder="1" applyAlignment="1">
      <alignment horizontal="center" vertical="center" wrapText="1"/>
    </xf>
    <xf numFmtId="0" fontId="31" fillId="8" borderId="213" xfId="0" applyFont="1" applyFill="1" applyBorder="1" applyAlignment="1">
      <alignment horizontal="center" vertical="center" wrapText="1"/>
    </xf>
    <xf numFmtId="0" fontId="31" fillId="8" borderId="116" xfId="0" applyFont="1" applyFill="1" applyBorder="1" applyAlignment="1">
      <alignment horizontal="center" vertical="center" wrapText="1"/>
    </xf>
    <xf numFmtId="0" fontId="20" fillId="8" borderId="62" xfId="0" applyFont="1" applyFill="1" applyBorder="1" applyAlignment="1">
      <alignment horizontal="right" vertical="center" wrapText="1"/>
    </xf>
    <xf numFmtId="0" fontId="20" fillId="8" borderId="83" xfId="0" applyFont="1" applyFill="1" applyBorder="1" applyAlignment="1">
      <alignment horizontal="right" vertical="center" wrapText="1"/>
    </xf>
    <xf numFmtId="165" fontId="31" fillId="18" borderId="86" xfId="12" applyNumberFormat="1" applyFont="1" applyFill="1" applyBorder="1" applyAlignment="1">
      <alignment horizontal="center" vertical="center" wrapText="1"/>
    </xf>
    <xf numFmtId="165" fontId="31" fillId="18" borderId="20" xfId="12" applyNumberFormat="1" applyFont="1" applyFill="1" applyBorder="1" applyAlignment="1">
      <alignment horizontal="center" vertical="center" wrapText="1"/>
    </xf>
    <xf numFmtId="43" fontId="29" fillId="0" borderId="0" xfId="0" applyNumberFormat="1" applyFont="1" applyAlignment="1">
      <alignment horizontal="center" vertical="center"/>
    </xf>
    <xf numFmtId="0" fontId="29" fillId="0" borderId="0" xfId="0" applyFont="1" applyAlignment="1">
      <alignment horizontal="center" vertical="center"/>
    </xf>
    <xf numFmtId="0" fontId="20" fillId="10" borderId="48" xfId="0" applyFont="1" applyFill="1" applyBorder="1" applyAlignment="1">
      <alignment horizontal="left" vertical="center" wrapText="1"/>
    </xf>
    <xf numFmtId="0" fontId="20" fillId="10" borderId="0" xfId="0" applyFont="1" applyFill="1" applyAlignment="1">
      <alignment horizontal="left" vertical="center" wrapText="1"/>
    </xf>
    <xf numFmtId="169" fontId="29" fillId="10" borderId="0" xfId="0" applyNumberFormat="1" applyFont="1" applyFill="1" applyAlignment="1">
      <alignment horizontal="left" vertical="center" wrapText="1"/>
    </xf>
    <xf numFmtId="0" fontId="29" fillId="10" borderId="0" xfId="0" applyFont="1" applyFill="1" applyAlignment="1">
      <alignment horizontal="left" vertical="center" wrapText="1"/>
    </xf>
    <xf numFmtId="0" fontId="29" fillId="10" borderId="98" xfId="0" applyFont="1" applyFill="1" applyBorder="1" applyAlignment="1">
      <alignment horizontal="left" vertical="center" wrapText="1"/>
    </xf>
    <xf numFmtId="0" fontId="29" fillId="10" borderId="113" xfId="0" applyFont="1" applyFill="1" applyBorder="1" applyAlignment="1">
      <alignment horizontal="center" vertical="center"/>
    </xf>
    <xf numFmtId="0" fontId="29" fillId="10" borderId="103" xfId="0" applyFont="1" applyFill="1" applyBorder="1" applyAlignment="1">
      <alignment horizontal="center" vertical="center"/>
    </xf>
    <xf numFmtId="0" fontId="29" fillId="10" borderId="104" xfId="0" applyFont="1" applyFill="1" applyBorder="1" applyAlignment="1">
      <alignment horizontal="center" vertical="center"/>
    </xf>
    <xf numFmtId="0" fontId="29" fillId="10" borderId="48" xfId="0" applyFont="1" applyFill="1" applyBorder="1" applyAlignment="1">
      <alignment horizontal="center" vertical="center"/>
    </xf>
    <xf numFmtId="0" fontId="29" fillId="10" borderId="98" xfId="0" applyFont="1" applyFill="1" applyBorder="1" applyAlignment="1">
      <alignment horizontal="center" vertical="center"/>
    </xf>
    <xf numFmtId="0" fontId="20" fillId="10" borderId="48" xfId="0" applyFont="1" applyFill="1" applyBorder="1" applyAlignment="1">
      <alignment horizontal="center" vertical="center" wrapText="1"/>
    </xf>
    <xf numFmtId="0" fontId="20" fillId="10" borderId="0" xfId="0" applyFont="1" applyFill="1" applyAlignment="1">
      <alignment horizontal="center" vertical="center" wrapText="1"/>
    </xf>
    <xf numFmtId="0" fontId="20" fillId="10" borderId="98"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0" xfId="0" applyFont="1" applyFill="1" applyAlignment="1">
      <alignment horizontal="center" vertical="center" wrapText="1"/>
    </xf>
    <xf numFmtId="0" fontId="29" fillId="10" borderId="98" xfId="0" applyFont="1" applyFill="1" applyBorder="1" applyAlignment="1">
      <alignment horizontal="center" vertical="center" wrapText="1"/>
    </xf>
    <xf numFmtId="0" fontId="20" fillId="10" borderId="98" xfId="0" applyFont="1" applyFill="1" applyBorder="1" applyAlignment="1">
      <alignment horizontal="left" vertical="center" wrapText="1"/>
    </xf>
    <xf numFmtId="165" fontId="12" fillId="18" borderId="39" xfId="12" applyNumberFormat="1" applyFont="1" applyFill="1" applyBorder="1" applyAlignment="1">
      <alignment horizontal="center" vertical="center" wrapText="1"/>
    </xf>
    <xf numFmtId="165" fontId="12" fillId="18" borderId="37" xfId="12" applyNumberFormat="1" applyFont="1" applyFill="1" applyBorder="1" applyAlignment="1">
      <alignment horizontal="center" vertical="center" wrapText="1"/>
    </xf>
    <xf numFmtId="165" fontId="12" fillId="18" borderId="38" xfId="12" applyNumberFormat="1" applyFont="1" applyFill="1" applyBorder="1" applyAlignment="1">
      <alignment horizontal="center" vertical="center" wrapText="1"/>
    </xf>
    <xf numFmtId="0" fontId="30" fillId="8" borderId="30" xfId="0" applyFont="1" applyFill="1" applyBorder="1" applyAlignment="1">
      <alignment horizontal="center" vertical="center" wrapText="1"/>
    </xf>
    <xf numFmtId="0" fontId="29" fillId="10" borderId="48" xfId="0" applyFont="1" applyFill="1" applyBorder="1" applyAlignment="1">
      <alignment horizontal="left" vertical="center" wrapText="1"/>
    </xf>
    <xf numFmtId="0" fontId="20" fillId="0" borderId="47" xfId="0" applyFont="1" applyBorder="1" applyAlignment="1">
      <alignment horizontal="right" vertical="center" wrapText="1"/>
    </xf>
    <xf numFmtId="0" fontId="20" fillId="0" borderId="51" xfId="0" applyFont="1" applyBorder="1" applyAlignment="1">
      <alignment horizontal="right" vertical="center" wrapText="1"/>
    </xf>
    <xf numFmtId="0" fontId="20" fillId="0" borderId="96" xfId="0" applyFont="1" applyBorder="1" applyAlignment="1">
      <alignment horizontal="right" vertical="center" wrapText="1"/>
    </xf>
    <xf numFmtId="165" fontId="12" fillId="18" borderId="105" xfId="12" applyNumberFormat="1" applyFont="1" applyFill="1" applyBorder="1" applyAlignment="1">
      <alignment horizontal="center" vertical="center" wrapText="1"/>
    </xf>
    <xf numFmtId="165" fontId="12" fillId="18" borderId="79" xfId="12" applyNumberFormat="1" applyFont="1" applyFill="1" applyBorder="1" applyAlignment="1">
      <alignment horizontal="center" vertical="center" wrapText="1"/>
    </xf>
    <xf numFmtId="165" fontId="12" fillId="18" borderId="211" xfId="12" applyNumberFormat="1" applyFont="1" applyFill="1" applyBorder="1" applyAlignment="1">
      <alignment horizontal="center" vertical="center" wrapText="1"/>
    </xf>
    <xf numFmtId="165" fontId="12" fillId="0" borderId="54" xfId="12" applyNumberFormat="1" applyFont="1" applyBorder="1" applyAlignment="1">
      <alignment horizontal="center" vertical="center" wrapText="1"/>
    </xf>
    <xf numFmtId="165" fontId="12" fillId="0" borderId="84" xfId="12" applyNumberFormat="1" applyFont="1" applyBorder="1" applyAlignment="1">
      <alignment horizontal="center" vertical="center" wrapText="1"/>
    </xf>
    <xf numFmtId="165" fontId="12" fillId="0" borderId="97" xfId="12" applyNumberFormat="1" applyFont="1" applyBorder="1" applyAlignment="1">
      <alignment horizontal="center" vertical="center" wrapText="1"/>
    </xf>
    <xf numFmtId="0" fontId="30" fillId="8" borderId="45" xfId="0" applyFont="1" applyFill="1" applyBorder="1" applyAlignment="1">
      <alignment horizontal="center" vertical="center" wrapText="1"/>
    </xf>
    <xf numFmtId="0" fontId="30" fillId="8" borderId="15" xfId="0" applyFont="1" applyFill="1" applyBorder="1" applyAlignment="1">
      <alignment horizontal="center" vertical="center" wrapText="1"/>
    </xf>
    <xf numFmtId="0" fontId="20" fillId="0" borderId="37" xfId="0" applyFont="1" applyBorder="1" applyAlignment="1">
      <alignment horizontal="center" vertical="center" wrapText="1"/>
    </xf>
    <xf numFmtId="0" fontId="20" fillId="0" borderId="40" xfId="0" applyFont="1" applyBorder="1" applyAlignment="1">
      <alignment horizontal="center" vertical="center" wrapText="1"/>
    </xf>
    <xf numFmtId="0" fontId="20" fillId="8" borderId="36" xfId="0" applyFont="1" applyFill="1" applyBorder="1" applyAlignment="1">
      <alignment horizontal="right" vertical="center" wrapText="1"/>
    </xf>
    <xf numFmtId="0" fontId="20" fillId="8" borderId="37" xfId="0" applyFont="1" applyFill="1" applyBorder="1" applyAlignment="1">
      <alignment horizontal="right" vertical="center" wrapText="1"/>
    </xf>
    <xf numFmtId="0" fontId="20" fillId="8" borderId="38" xfId="0" applyFont="1" applyFill="1" applyBorder="1" applyAlignment="1">
      <alignment horizontal="right" vertical="center" wrapText="1"/>
    </xf>
    <xf numFmtId="0" fontId="20" fillId="8" borderId="37" xfId="0" applyFont="1" applyFill="1" applyBorder="1" applyAlignment="1">
      <alignment horizontal="center" vertical="center" wrapText="1"/>
    </xf>
    <xf numFmtId="0" fontId="20" fillId="8" borderId="40" xfId="0" applyFont="1" applyFill="1" applyBorder="1" applyAlignment="1">
      <alignment horizontal="center" vertical="center" wrapText="1"/>
    </xf>
    <xf numFmtId="0" fontId="20" fillId="8" borderId="30" xfId="0" applyFont="1" applyFill="1" applyBorder="1" applyAlignment="1">
      <alignment horizontal="right" vertical="center" wrapText="1"/>
    </xf>
    <xf numFmtId="165" fontId="12" fillId="18" borderId="41" xfId="12" applyNumberFormat="1" applyFont="1" applyFill="1" applyBorder="1" applyAlignment="1">
      <alignment horizontal="right" vertical="center" wrapText="1"/>
    </xf>
    <xf numFmtId="165" fontId="12" fillId="18" borderId="42" xfId="12" applyNumberFormat="1" applyFont="1" applyFill="1" applyBorder="1" applyAlignment="1">
      <alignment horizontal="right" vertical="center" wrapText="1"/>
    </xf>
    <xf numFmtId="165" fontId="12" fillId="18" borderId="82" xfId="12" applyNumberFormat="1" applyFont="1" applyFill="1" applyBorder="1" applyAlignment="1">
      <alignment horizontal="right" vertical="center" wrapText="1"/>
    </xf>
    <xf numFmtId="0" fontId="20" fillId="8" borderId="60" xfId="0" applyFont="1" applyFill="1" applyBorder="1" applyAlignment="1">
      <alignment horizontal="right" vertical="center" wrapText="1"/>
    </xf>
    <xf numFmtId="0" fontId="20" fillId="8" borderId="36" xfId="0" applyFont="1" applyFill="1" applyBorder="1" applyAlignment="1">
      <alignment horizontal="right" vertical="center"/>
    </xf>
    <xf numFmtId="0" fontId="20" fillId="8" borderId="37" xfId="0" applyFont="1" applyFill="1" applyBorder="1" applyAlignment="1">
      <alignment horizontal="right" vertical="center"/>
    </xf>
    <xf numFmtId="0" fontId="20" fillId="8" borderId="38" xfId="0" applyFont="1" applyFill="1" applyBorder="1" applyAlignment="1">
      <alignment horizontal="right" vertical="center"/>
    </xf>
    <xf numFmtId="0" fontId="20" fillId="37" borderId="36" xfId="0" applyFont="1" applyFill="1" applyBorder="1" applyAlignment="1">
      <alignment horizontal="right" vertical="center"/>
    </xf>
    <xf numFmtId="0" fontId="20" fillId="37" borderId="37" xfId="0" applyFont="1" applyFill="1" applyBorder="1" applyAlignment="1">
      <alignment horizontal="right" vertical="center"/>
    </xf>
    <xf numFmtId="0" fontId="20" fillId="37" borderId="38" xfId="0" applyFont="1" applyFill="1" applyBorder="1" applyAlignment="1">
      <alignment horizontal="right" vertical="center"/>
    </xf>
    <xf numFmtId="0" fontId="29" fillId="10" borderId="44" xfId="0" applyFont="1" applyFill="1" applyBorder="1" applyAlignment="1">
      <alignment horizontal="center" vertical="center"/>
    </xf>
    <xf numFmtId="0" fontId="29" fillId="10" borderId="29" xfId="0" applyFont="1" applyFill="1" applyBorder="1" applyAlignment="1">
      <alignment horizontal="center" vertical="center"/>
    </xf>
    <xf numFmtId="0" fontId="20" fillId="10" borderId="35" xfId="0" applyFont="1" applyFill="1" applyBorder="1" applyAlignment="1">
      <alignment horizontal="center" vertical="center" wrapText="1"/>
    </xf>
    <xf numFmtId="0" fontId="20" fillId="10" borderId="29" xfId="0" applyFont="1" applyFill="1" applyBorder="1" applyAlignment="1">
      <alignment horizontal="center" vertical="center" wrapText="1"/>
    </xf>
    <xf numFmtId="0" fontId="29" fillId="10" borderId="35" xfId="0" applyFont="1" applyFill="1" applyBorder="1" applyAlignment="1">
      <alignment horizontal="center" vertical="center" wrapText="1"/>
    </xf>
    <xf numFmtId="0" fontId="29" fillId="10" borderId="29" xfId="0" applyFont="1" applyFill="1" applyBorder="1" applyAlignment="1">
      <alignment horizontal="center" vertical="center" wrapText="1"/>
    </xf>
    <xf numFmtId="0" fontId="20" fillId="10" borderId="29" xfId="0" applyFont="1" applyFill="1" applyBorder="1" applyAlignment="1">
      <alignment horizontal="left" vertical="center" wrapText="1"/>
    </xf>
    <xf numFmtId="0" fontId="20" fillId="10" borderId="35" xfId="0" applyFont="1" applyFill="1" applyBorder="1" applyAlignment="1">
      <alignment horizontal="left" vertical="center" wrapText="1"/>
    </xf>
    <xf numFmtId="0" fontId="20" fillId="10" borderId="0" xfId="0" applyFont="1" applyFill="1" applyAlignment="1">
      <alignment horizontal="right" vertical="center" wrapText="1"/>
    </xf>
    <xf numFmtId="0" fontId="29" fillId="10" borderId="35" xfId="0" applyFont="1" applyFill="1" applyBorder="1" applyAlignment="1">
      <alignment horizontal="left" vertical="center" wrapText="1"/>
    </xf>
    <xf numFmtId="0" fontId="29" fillId="10" borderId="29" xfId="0" applyFont="1" applyFill="1" applyBorder="1" applyAlignment="1">
      <alignment horizontal="left" vertical="center" wrapText="1"/>
    </xf>
    <xf numFmtId="0" fontId="20" fillId="0" borderId="23" xfId="0" applyFont="1" applyBorder="1" applyAlignment="1">
      <alignment horizontal="right" vertical="center" wrapText="1"/>
    </xf>
    <xf numFmtId="0" fontId="20" fillId="0" borderId="52" xfId="0" applyFont="1" applyBorder="1" applyAlignment="1">
      <alignment horizontal="right" vertical="center" wrapText="1"/>
    </xf>
    <xf numFmtId="165" fontId="12" fillId="18" borderId="78" xfId="12" applyNumberFormat="1" applyFont="1" applyFill="1" applyBorder="1" applyAlignment="1">
      <alignment horizontal="center" vertical="center" wrapText="1"/>
    </xf>
    <xf numFmtId="165" fontId="12" fillId="18" borderId="80" xfId="12" applyNumberFormat="1" applyFont="1" applyFill="1" applyBorder="1" applyAlignment="1">
      <alignment horizontal="center" vertical="center" wrapText="1"/>
    </xf>
    <xf numFmtId="165" fontId="12" fillId="0" borderId="73" xfId="12" applyNumberFormat="1" applyFont="1" applyBorder="1" applyAlignment="1">
      <alignment horizontal="center" vertical="center" wrapText="1"/>
    </xf>
    <xf numFmtId="165" fontId="12" fillId="0" borderId="85" xfId="12" applyNumberFormat="1" applyFont="1" applyBorder="1" applyAlignment="1">
      <alignment horizontal="center" vertical="center" wrapText="1"/>
    </xf>
    <xf numFmtId="0" fontId="111" fillId="8" borderId="25" xfId="0" applyFont="1" applyFill="1" applyBorder="1" applyAlignment="1">
      <alignment horizontal="center" vertical="center" wrapText="1"/>
    </xf>
    <xf numFmtId="0" fontId="111" fillId="8" borderId="14" xfId="0" applyFont="1" applyFill="1" applyBorder="1" applyAlignment="1">
      <alignment horizontal="center" vertical="center" wrapText="1"/>
    </xf>
    <xf numFmtId="0" fontId="30" fillId="8" borderId="31" xfId="0" applyFont="1" applyFill="1" applyBorder="1" applyAlignment="1">
      <alignment horizontal="center" vertical="center" wrapText="1"/>
    </xf>
    <xf numFmtId="0" fontId="20" fillId="8" borderId="37" xfId="0" applyFont="1" applyFill="1" applyBorder="1" applyAlignment="1">
      <alignment horizontal="center" vertical="center"/>
    </xf>
    <xf numFmtId="0" fontId="20" fillId="8" borderId="40" xfId="0" applyFont="1" applyFill="1" applyBorder="1" applyAlignment="1">
      <alignment horizontal="center" vertical="center"/>
    </xf>
    <xf numFmtId="0" fontId="30" fillId="8" borderId="25" xfId="0" applyFont="1" applyFill="1" applyBorder="1" applyAlignment="1">
      <alignment horizontal="center" vertical="center" wrapText="1"/>
    </xf>
    <xf numFmtId="0" fontId="30" fillId="8" borderId="14" xfId="0" applyFont="1" applyFill="1" applyBorder="1" applyAlignment="1">
      <alignment horizontal="center" vertical="center" wrapText="1"/>
    </xf>
    <xf numFmtId="0" fontId="21" fillId="9" borderId="64" xfId="0" applyFont="1" applyFill="1" applyBorder="1" applyAlignment="1">
      <alignment horizontal="center" vertical="center"/>
    </xf>
    <xf numFmtId="0" fontId="21" fillId="9" borderId="50" xfId="0" applyFont="1" applyFill="1" applyBorder="1" applyAlignment="1">
      <alignment horizontal="center" vertical="center"/>
    </xf>
    <xf numFmtId="0" fontId="55" fillId="10" borderId="35" xfId="0" applyFont="1" applyFill="1" applyBorder="1" applyAlignment="1">
      <alignment horizontal="center"/>
    </xf>
    <xf numFmtId="0" fontId="55" fillId="10" borderId="0" xfId="0" applyFont="1" applyFill="1" applyAlignment="1">
      <alignment horizontal="center"/>
    </xf>
    <xf numFmtId="165" fontId="28" fillId="18" borderId="78" xfId="12" applyNumberFormat="1" applyFont="1" applyFill="1" applyBorder="1" applyAlignment="1">
      <alignment horizontal="center" vertical="center" wrapText="1"/>
    </xf>
    <xf numFmtId="165" fontId="28" fillId="18" borderId="79" xfId="12" applyNumberFormat="1" applyFont="1" applyFill="1" applyBorder="1" applyAlignment="1">
      <alignment horizontal="center" vertical="center" wrapText="1"/>
    </xf>
    <xf numFmtId="0" fontId="26" fillId="0" borderId="35" xfId="0" applyFont="1" applyBorder="1" applyAlignment="1">
      <alignment horizontal="center" vertical="center" wrapText="1"/>
    </xf>
    <xf numFmtId="0" fontId="26" fillId="0" borderId="0" xfId="0" applyFont="1" applyAlignment="1">
      <alignment horizontal="center" vertical="center" wrapText="1"/>
    </xf>
    <xf numFmtId="0" fontId="21" fillId="9" borderId="86" xfId="0" applyFont="1" applyFill="1" applyBorder="1" applyAlignment="1">
      <alignment horizontal="center" vertical="center"/>
    </xf>
    <xf numFmtId="0" fontId="21" fillId="9" borderId="20" xfId="0" applyFont="1" applyFill="1" applyBorder="1" applyAlignment="1">
      <alignment horizontal="center" vertical="center"/>
    </xf>
    <xf numFmtId="0" fontId="21" fillId="9" borderId="94" xfId="0" applyFont="1" applyFill="1" applyBorder="1" applyAlignment="1">
      <alignment horizontal="center" vertical="center"/>
    </xf>
    <xf numFmtId="0" fontId="28" fillId="10" borderId="35" xfId="0" applyFont="1" applyFill="1" applyBorder="1" applyAlignment="1">
      <alignment horizontal="center" vertical="center"/>
    </xf>
    <xf numFmtId="0" fontId="28" fillId="10" borderId="0" xfId="0" applyFont="1" applyFill="1" applyAlignment="1">
      <alignment horizontal="center" vertical="center"/>
    </xf>
    <xf numFmtId="0" fontId="15" fillId="10" borderId="35" xfId="0" applyFont="1" applyFill="1" applyBorder="1" applyAlignment="1">
      <alignment horizontal="center" vertical="center"/>
    </xf>
    <xf numFmtId="0" fontId="15" fillId="10" borderId="0" xfId="0" applyFont="1" applyFill="1" applyAlignment="1">
      <alignment horizontal="center" vertical="center"/>
    </xf>
    <xf numFmtId="49" fontId="15" fillId="10" borderId="35" xfId="0" applyNumberFormat="1" applyFont="1" applyFill="1" applyBorder="1" applyAlignment="1">
      <alignment horizontal="center" vertical="center"/>
    </xf>
    <xf numFmtId="49" fontId="15" fillId="10" borderId="0" xfId="0" applyNumberFormat="1" applyFont="1" applyFill="1" applyAlignment="1">
      <alignment horizontal="center" vertical="center"/>
    </xf>
    <xf numFmtId="0" fontId="15" fillId="0" borderId="91" xfId="0" applyFont="1" applyBorder="1" applyAlignment="1">
      <alignment horizontal="center" vertical="center" wrapText="1"/>
    </xf>
    <xf numFmtId="0" fontId="15" fillId="0" borderId="0" xfId="0" applyFont="1" applyAlignment="1">
      <alignment horizontal="center" vertical="center" wrapText="1"/>
    </xf>
    <xf numFmtId="49" fontId="21" fillId="10" borderId="23" xfId="0" applyNumberFormat="1" applyFont="1" applyFill="1" applyBorder="1" applyAlignment="1">
      <alignment horizontal="center" vertical="center"/>
    </xf>
    <xf numFmtId="49" fontId="21" fillId="10" borderId="51" xfId="0" applyNumberFormat="1" applyFont="1" applyFill="1" applyBorder="1" applyAlignment="1">
      <alignment horizontal="center" vertical="center"/>
    </xf>
    <xf numFmtId="49" fontId="15" fillId="10" borderId="29" xfId="0" applyNumberFormat="1" applyFont="1" applyFill="1" applyBorder="1" applyAlignment="1">
      <alignment horizontal="center" vertical="center"/>
    </xf>
    <xf numFmtId="0" fontId="21" fillId="9" borderId="14" xfId="0" applyFont="1" applyFill="1" applyBorder="1" applyAlignment="1">
      <alignment horizontal="center" vertical="center"/>
    </xf>
    <xf numFmtId="0" fontId="63" fillId="0" borderId="0" xfId="0" applyFont="1" applyAlignment="1">
      <alignment horizontal="center"/>
    </xf>
    <xf numFmtId="0" fontId="21" fillId="0" borderId="24" xfId="0" applyFont="1" applyBorder="1" applyAlignment="1">
      <alignment horizontal="center" vertical="center"/>
    </xf>
    <xf numFmtId="0" fontId="21" fillId="0" borderId="32" xfId="0" applyFont="1" applyBorder="1" applyAlignment="1">
      <alignment horizontal="center" vertical="center"/>
    </xf>
    <xf numFmtId="10" fontId="13" fillId="0" borderId="30" xfId="18" applyNumberFormat="1" applyFont="1" applyFill="1" applyBorder="1" applyAlignment="1" applyProtection="1">
      <alignment horizontal="center" vertical="center"/>
    </xf>
    <xf numFmtId="10" fontId="13" fillId="0" borderId="33" xfId="18" applyNumberFormat="1" applyFont="1" applyFill="1" applyBorder="1" applyAlignment="1" applyProtection="1">
      <alignment horizontal="center" vertical="center"/>
    </xf>
    <xf numFmtId="175" fontId="21" fillId="0" borderId="31" xfId="25" applyFont="1" applyFill="1" applyBorder="1" applyAlignment="1" applyProtection="1">
      <alignment horizontal="center" vertical="center"/>
    </xf>
    <xf numFmtId="175" fontId="21" fillId="0" borderId="34" xfId="25" applyFont="1" applyFill="1" applyBorder="1" applyAlignment="1" applyProtection="1">
      <alignment horizontal="center" vertical="center"/>
    </xf>
    <xf numFmtId="0" fontId="21" fillId="0" borderId="30" xfId="0" applyFont="1" applyBorder="1" applyAlignment="1">
      <alignment horizontal="left" vertical="center" wrapText="1"/>
    </xf>
    <xf numFmtId="0" fontId="21" fillId="0" borderId="25" xfId="0" applyFont="1" applyBorder="1" applyAlignment="1">
      <alignment horizontal="center" vertical="center"/>
    </xf>
    <xf numFmtId="0" fontId="21" fillId="0" borderId="14" xfId="0" applyFont="1" applyBorder="1" applyAlignment="1">
      <alignment horizontal="center" vertical="center"/>
    </xf>
    <xf numFmtId="0" fontId="21" fillId="0" borderId="45" xfId="0" applyFont="1" applyBorder="1" applyAlignment="1">
      <alignment horizontal="left" vertical="center" wrapText="1"/>
    </xf>
    <xf numFmtId="0" fontId="21" fillId="0" borderId="15" xfId="0" applyFont="1" applyBorder="1" applyAlignment="1">
      <alignment horizontal="left" vertical="center" wrapText="1"/>
    </xf>
    <xf numFmtId="10" fontId="13" fillId="0" borderId="45" xfId="18" applyNumberFormat="1" applyFont="1" applyFill="1" applyBorder="1" applyAlignment="1" applyProtection="1">
      <alignment horizontal="center" vertical="center"/>
    </xf>
    <xf numFmtId="10" fontId="13" fillId="0" borderId="15" xfId="18" applyNumberFormat="1" applyFont="1" applyFill="1" applyBorder="1" applyAlignment="1" applyProtection="1">
      <alignment horizontal="center" vertical="center"/>
    </xf>
    <xf numFmtId="175" fontId="21" fillId="0" borderId="61" xfId="25" applyFont="1" applyFill="1" applyBorder="1" applyAlignment="1" applyProtection="1">
      <alignment horizontal="center" vertical="center"/>
    </xf>
    <xf numFmtId="175" fontId="21" fillId="0" borderId="50" xfId="25" applyFont="1" applyFill="1" applyBorder="1" applyAlignment="1" applyProtection="1">
      <alignment horizontal="center" vertical="center"/>
    </xf>
    <xf numFmtId="0" fontId="21" fillId="0" borderId="92" xfId="0" applyFont="1" applyBorder="1" applyAlignment="1">
      <alignment horizontal="center" vertical="center"/>
    </xf>
    <xf numFmtId="0" fontId="21" fillId="0" borderId="57" xfId="0" applyFont="1" applyBorder="1" applyAlignment="1">
      <alignment horizontal="center" vertical="center"/>
    </xf>
    <xf numFmtId="0" fontId="21" fillId="0" borderId="30" xfId="0" applyFont="1" applyBorder="1" applyAlignment="1">
      <alignment horizontal="center" vertical="center"/>
    </xf>
    <xf numFmtId="0" fontId="13" fillId="0" borderId="57" xfId="0" applyFont="1" applyBorder="1" applyAlignment="1">
      <alignment horizontal="center" vertical="center"/>
    </xf>
    <xf numFmtId="0" fontId="13" fillId="0" borderId="30" xfId="0" applyFont="1" applyBorder="1" applyAlignment="1">
      <alignment horizontal="center" vertical="center"/>
    </xf>
    <xf numFmtId="0" fontId="21" fillId="0" borderId="90" xfId="0" applyFont="1" applyBorder="1" applyAlignment="1">
      <alignment horizontal="center" vertical="center"/>
    </xf>
    <xf numFmtId="0" fontId="21" fillId="0" borderId="31" xfId="0" applyFont="1" applyBorder="1" applyAlignment="1">
      <alignment horizontal="center" vertical="center"/>
    </xf>
    <xf numFmtId="0" fontId="21" fillId="8" borderId="31" xfId="0" applyFont="1" applyFill="1" applyBorder="1" applyAlignment="1">
      <alignment horizontal="center" vertical="center"/>
    </xf>
    <xf numFmtId="0" fontId="21" fillId="0" borderId="45" xfId="0" applyFont="1" applyBorder="1" applyAlignment="1">
      <alignment horizontal="center" vertical="center" wrapText="1"/>
    </xf>
    <xf numFmtId="0" fontId="21" fillId="0" borderId="15" xfId="0" applyFont="1" applyBorder="1" applyAlignment="1">
      <alignment horizontal="center" vertical="center" wrapText="1"/>
    </xf>
    <xf numFmtId="10" fontId="13" fillId="22" borderId="36" xfId="25" applyNumberFormat="1" applyFont="1" applyFill="1" applyBorder="1" applyAlignment="1" applyProtection="1">
      <alignment horizontal="center" vertical="center"/>
    </xf>
    <xf numFmtId="10" fontId="13" fillId="22" borderId="37" xfId="25" applyNumberFormat="1" applyFont="1" applyFill="1" applyBorder="1" applyAlignment="1" applyProtection="1">
      <alignment horizontal="center" vertical="center"/>
    </xf>
    <xf numFmtId="10" fontId="13" fillId="22" borderId="40" xfId="25" applyNumberFormat="1" applyFont="1" applyFill="1" applyBorder="1" applyAlignment="1" applyProtection="1">
      <alignment horizontal="center" vertical="center"/>
    </xf>
    <xf numFmtId="0" fontId="31" fillId="10" borderId="35" xfId="0" applyFont="1" applyFill="1" applyBorder="1" applyAlignment="1">
      <alignment horizontal="center" vertical="center"/>
    </xf>
    <xf numFmtId="0" fontId="31" fillId="10" borderId="0" xfId="0" applyFont="1" applyFill="1" applyAlignment="1">
      <alignment horizontal="center" vertical="center"/>
    </xf>
    <xf numFmtId="0" fontId="31" fillId="10" borderId="29" xfId="0" applyFont="1" applyFill="1" applyBorder="1" applyAlignment="1">
      <alignment horizontal="center" vertical="center"/>
    </xf>
    <xf numFmtId="0" fontId="32" fillId="0" borderId="91" xfId="0" applyFont="1" applyBorder="1" applyAlignment="1">
      <alignment horizontal="center" vertical="center"/>
    </xf>
    <xf numFmtId="0" fontId="32" fillId="0" borderId="0" xfId="0" applyFont="1" applyAlignment="1">
      <alignment horizontal="center" vertical="center"/>
    </xf>
    <xf numFmtId="0" fontId="32" fillId="0" borderId="29" xfId="0" applyFont="1" applyBorder="1" applyAlignment="1">
      <alignment horizontal="center" vertical="center"/>
    </xf>
    <xf numFmtId="0" fontId="20" fillId="24" borderId="39" xfId="0" applyFont="1" applyFill="1" applyBorder="1" applyAlignment="1">
      <alignment horizontal="center" vertical="center"/>
    </xf>
    <xf numFmtId="0" fontId="20" fillId="24" borderId="37" xfId="0" applyFont="1" applyFill="1" applyBorder="1" applyAlignment="1">
      <alignment horizontal="center" vertical="center"/>
    </xf>
    <xf numFmtId="0" fontId="20" fillId="24" borderId="38" xfId="0" applyFont="1" applyFill="1" applyBorder="1" applyAlignment="1">
      <alignment horizontal="center" vertical="center"/>
    </xf>
    <xf numFmtId="0" fontId="31" fillId="0" borderId="86" xfId="0" applyFont="1" applyBorder="1" applyAlignment="1">
      <alignment horizontal="center" vertical="center"/>
    </xf>
    <xf numFmtId="0" fontId="31" fillId="0" borderId="20" xfId="0" applyFont="1" applyBorder="1" applyAlignment="1">
      <alignment horizontal="center" vertical="center"/>
    </xf>
    <xf numFmtId="0" fontId="31" fillId="21" borderId="22" xfId="0" applyFont="1" applyFill="1" applyBorder="1" applyAlignment="1">
      <alignment horizontal="center" vertical="center"/>
    </xf>
    <xf numFmtId="0" fontId="31" fillId="21" borderId="43" xfId="0" applyFont="1" applyFill="1" applyBorder="1" applyAlignment="1">
      <alignment horizontal="center" vertical="center"/>
    </xf>
    <xf numFmtId="0" fontId="31" fillId="21" borderId="44" xfId="0" applyFont="1" applyFill="1" applyBorder="1" applyAlignment="1">
      <alignment horizontal="center" vertical="center"/>
    </xf>
    <xf numFmtId="0" fontId="33" fillId="21" borderId="92" xfId="0" applyFont="1" applyFill="1" applyBorder="1" applyAlignment="1">
      <alignment horizontal="center" vertical="center"/>
    </xf>
    <xf numFmtId="0" fontId="33" fillId="21" borderId="24" xfId="0" applyFont="1" applyFill="1" applyBorder="1" applyAlignment="1">
      <alignment horizontal="center" vertical="center"/>
    </xf>
    <xf numFmtId="0" fontId="33" fillId="21" borderId="32" xfId="0" applyFont="1" applyFill="1" applyBorder="1" applyAlignment="1">
      <alignment horizontal="center" vertical="center"/>
    </xf>
    <xf numFmtId="0" fontId="33" fillId="21" borderId="57" xfId="0" applyFont="1" applyFill="1" applyBorder="1" applyAlignment="1">
      <alignment horizontal="center" vertical="center"/>
    </xf>
    <xf numFmtId="0" fontId="33" fillId="21" borderId="30" xfId="0" applyFont="1" applyFill="1" applyBorder="1" applyAlignment="1">
      <alignment horizontal="center" vertical="center"/>
    </xf>
    <xf numFmtId="0" fontId="33" fillId="21" borderId="33" xfId="0" applyFont="1" applyFill="1" applyBorder="1" applyAlignment="1">
      <alignment horizontal="center" vertical="center"/>
    </xf>
    <xf numFmtId="0" fontId="31" fillId="21" borderId="57" xfId="0" applyFont="1" applyFill="1" applyBorder="1" applyAlignment="1">
      <alignment horizontal="center" vertical="center"/>
    </xf>
    <xf numFmtId="0" fontId="31" fillId="21" borderId="30" xfId="0" applyFont="1" applyFill="1" applyBorder="1" applyAlignment="1">
      <alignment horizontal="center" vertical="center"/>
    </xf>
    <xf numFmtId="0" fontId="31" fillId="21" borderId="87" xfId="0" applyFont="1" applyFill="1" applyBorder="1" applyAlignment="1">
      <alignment horizontal="center" vertical="center"/>
    </xf>
    <xf numFmtId="0" fontId="31" fillId="21" borderId="59" xfId="0" applyFont="1" applyFill="1" applyBorder="1" applyAlignment="1">
      <alignment horizontal="center" vertical="center"/>
    </xf>
    <xf numFmtId="0" fontId="31" fillId="21" borderId="15" xfId="0" applyFont="1" applyFill="1" applyBorder="1" applyAlignment="1">
      <alignment horizontal="center" vertical="center"/>
    </xf>
    <xf numFmtId="0" fontId="31" fillId="21" borderId="90" xfId="0" applyFont="1" applyFill="1" applyBorder="1" applyAlignment="1">
      <alignment horizontal="center" vertical="center"/>
    </xf>
    <xf numFmtId="0" fontId="31" fillId="21" borderId="31" xfId="0" applyFont="1" applyFill="1" applyBorder="1" applyAlignment="1">
      <alignment horizontal="center" vertical="center"/>
    </xf>
    <xf numFmtId="0" fontId="31" fillId="21" borderId="89" xfId="0" applyFont="1" applyFill="1" applyBorder="1" applyAlignment="1">
      <alignment horizontal="center" vertical="center" wrapText="1"/>
    </xf>
    <xf numFmtId="0" fontId="31" fillId="21" borderId="39" xfId="0" applyFont="1" applyFill="1" applyBorder="1" applyAlignment="1">
      <alignment horizontal="center" vertical="center" wrapText="1"/>
    </xf>
    <xf numFmtId="0" fontId="31" fillId="21" borderId="57" xfId="0" applyFont="1" applyFill="1" applyBorder="1" applyAlignment="1">
      <alignment horizontal="center" vertical="center" wrapText="1"/>
    </xf>
    <xf numFmtId="0" fontId="31" fillId="21" borderId="30" xfId="0" applyFont="1" applyFill="1" applyBorder="1" applyAlignment="1">
      <alignment horizontal="center" vertical="center" wrapText="1"/>
    </xf>
    <xf numFmtId="0" fontId="31" fillId="21" borderId="87" xfId="0" applyFont="1" applyFill="1" applyBorder="1" applyAlignment="1">
      <alignment horizontal="center" vertical="center" wrapText="1"/>
    </xf>
    <xf numFmtId="0" fontId="31" fillId="21" borderId="59" xfId="0" applyFont="1" applyFill="1" applyBorder="1" applyAlignment="1">
      <alignment horizontal="center" vertical="center" wrapText="1"/>
    </xf>
    <xf numFmtId="0" fontId="31" fillId="21" borderId="15" xfId="0" applyFont="1" applyFill="1" applyBorder="1" applyAlignment="1">
      <alignment horizontal="center" vertical="center" wrapText="1"/>
    </xf>
    <xf numFmtId="2" fontId="29" fillId="0" borderId="39" xfId="0" applyNumberFormat="1" applyFont="1" applyBorder="1" applyAlignment="1">
      <alignment horizontal="center" vertical="center" wrapText="1"/>
    </xf>
    <xf numFmtId="2" fontId="29" fillId="0" borderId="37" xfId="0" applyNumberFormat="1" applyFont="1" applyBorder="1" applyAlignment="1">
      <alignment horizontal="center" vertical="center" wrapText="1"/>
    </xf>
    <xf numFmtId="2" fontId="29" fillId="0" borderId="38" xfId="0" applyNumberFormat="1" applyFont="1" applyBorder="1" applyAlignment="1">
      <alignment horizontal="center" vertical="center" wrapText="1"/>
    </xf>
    <xf numFmtId="0" fontId="20" fillId="0" borderId="30" xfId="0" applyFont="1" applyBorder="1" applyAlignment="1">
      <alignment horizontal="center" vertical="center"/>
    </xf>
    <xf numFmtId="2" fontId="20" fillId="0" borderId="30" xfId="0" applyNumberFormat="1" applyFont="1" applyBorder="1" applyAlignment="1">
      <alignment horizontal="center" vertical="center" wrapText="1"/>
    </xf>
    <xf numFmtId="0" fontId="32" fillId="10" borderId="35" xfId="0" applyFont="1" applyFill="1" applyBorder="1" applyAlignment="1">
      <alignment horizontal="center" vertical="center"/>
    </xf>
    <xf numFmtId="0" fontId="32" fillId="10" borderId="0" xfId="0" applyFont="1" applyFill="1" applyAlignment="1">
      <alignment horizontal="center" vertical="center"/>
    </xf>
    <xf numFmtId="0" fontId="32" fillId="10" borderId="29" xfId="0" applyFont="1" applyFill="1" applyBorder="1" applyAlignment="1">
      <alignment horizontal="center" vertical="center"/>
    </xf>
    <xf numFmtId="165" fontId="31" fillId="18" borderId="78" xfId="12" applyNumberFormat="1" applyFont="1" applyFill="1" applyBorder="1" applyAlignment="1">
      <alignment horizontal="center" vertical="center" wrapText="1"/>
    </xf>
    <xf numFmtId="165" fontId="31" fillId="18" borderId="79" xfId="12" applyNumberFormat="1" applyFont="1" applyFill="1" applyBorder="1" applyAlignment="1">
      <alignment horizontal="center" vertical="center" wrapText="1"/>
    </xf>
    <xf numFmtId="165" fontId="31" fillId="18" borderId="80" xfId="12" applyNumberFormat="1" applyFont="1" applyFill="1" applyBorder="1" applyAlignment="1">
      <alignment horizontal="center" vertical="center" wrapText="1"/>
    </xf>
    <xf numFmtId="0" fontId="31" fillId="0" borderId="35" xfId="0" applyFont="1" applyBorder="1" applyAlignment="1">
      <alignment horizontal="center" vertical="center"/>
    </xf>
    <xf numFmtId="0" fontId="31" fillId="0" borderId="0" xfId="0" applyFont="1" applyAlignment="1">
      <alignment horizontal="center" vertical="center"/>
    </xf>
    <xf numFmtId="0" fontId="31" fillId="0" borderId="29" xfId="0" applyFont="1" applyBorder="1" applyAlignment="1">
      <alignment horizontal="center" vertical="center"/>
    </xf>
    <xf numFmtId="0" fontId="29" fillId="0" borderId="30" xfId="0" applyFont="1" applyBorder="1" applyAlignment="1">
      <alignment horizontal="center" vertical="center" wrapText="1"/>
    </xf>
    <xf numFmtId="0" fontId="20" fillId="24" borderId="30" xfId="0" applyFont="1" applyFill="1" applyBorder="1" applyAlignment="1">
      <alignment horizontal="center" vertical="center"/>
    </xf>
    <xf numFmtId="0" fontId="32" fillId="0" borderId="39" xfId="0" applyFont="1" applyBorder="1" applyAlignment="1">
      <alignment horizontal="center" vertical="center" wrapText="1"/>
    </xf>
    <xf numFmtId="0" fontId="32" fillId="0" borderId="38" xfId="0" applyFont="1" applyBorder="1" applyAlignment="1">
      <alignment horizontal="center" vertical="center" wrapText="1"/>
    </xf>
    <xf numFmtId="14" fontId="38" fillId="9" borderId="86" xfId="5" applyNumberFormat="1" applyFont="1" applyFill="1" applyBorder="1" applyAlignment="1">
      <alignment horizontal="center" vertical="center"/>
    </xf>
    <xf numFmtId="14" fontId="38" fillId="9" borderId="20" xfId="5" applyNumberFormat="1" applyFont="1" applyFill="1" applyBorder="1" applyAlignment="1">
      <alignment horizontal="center" vertical="center"/>
    </xf>
    <xf numFmtId="0" fontId="36" fillId="0" borderId="22" xfId="5" applyFont="1" applyBorder="1" applyAlignment="1">
      <alignment horizontal="center" vertical="center" wrapText="1"/>
    </xf>
    <xf numFmtId="0" fontId="36" fillId="0" borderId="43" xfId="5" applyFont="1" applyBorder="1" applyAlignment="1">
      <alignment horizontal="center" vertical="center" wrapText="1"/>
    </xf>
    <xf numFmtId="0" fontId="36" fillId="0" borderId="35" xfId="5" applyFont="1" applyBorder="1" applyAlignment="1">
      <alignment horizontal="center" vertical="center" wrapText="1"/>
    </xf>
    <xf numFmtId="0" fontId="36" fillId="0" borderId="0" xfId="5" applyFont="1" applyAlignment="1">
      <alignment horizontal="center" vertical="center" wrapText="1"/>
    </xf>
    <xf numFmtId="0" fontId="36" fillId="0" borderId="87" xfId="5" applyFont="1" applyBorder="1" applyAlignment="1">
      <alignment horizontal="center" vertical="center"/>
    </xf>
    <xf numFmtId="0" fontId="36" fillId="0" borderId="59" xfId="5" applyFont="1" applyBorder="1" applyAlignment="1">
      <alignment horizontal="center" vertical="center"/>
    </xf>
    <xf numFmtId="0" fontId="36" fillId="0" borderId="15" xfId="5" applyFont="1" applyBorder="1" applyAlignment="1">
      <alignment horizontal="center" vertical="center"/>
    </xf>
    <xf numFmtId="0" fontId="36" fillId="0" borderId="88" xfId="5" applyFont="1" applyBorder="1" applyAlignment="1">
      <alignment horizontal="center" vertical="center" wrapText="1"/>
    </xf>
    <xf numFmtId="0" fontId="36" fillId="0" borderId="48" xfId="5" applyFont="1" applyBorder="1" applyAlignment="1">
      <alignment horizontal="center" vertical="center" wrapText="1"/>
    </xf>
    <xf numFmtId="0" fontId="36" fillId="0" borderId="49" xfId="5" applyFont="1" applyBorder="1" applyAlignment="1">
      <alignment horizontal="center" vertical="center" wrapText="1"/>
    </xf>
    <xf numFmtId="0" fontId="36" fillId="21" borderId="88" xfId="5" applyFont="1" applyFill="1" applyBorder="1" applyAlignment="1">
      <alignment horizontal="center" vertical="center"/>
    </xf>
    <xf numFmtId="0" fontId="36" fillId="21" borderId="43" xfId="5" applyFont="1" applyFill="1" applyBorder="1" applyAlignment="1">
      <alignment horizontal="center" vertical="center"/>
    </xf>
    <xf numFmtId="0" fontId="36" fillId="21" borderId="70" xfId="5" applyFont="1" applyFill="1" applyBorder="1" applyAlignment="1">
      <alignment horizontal="center" vertical="center"/>
    </xf>
    <xf numFmtId="0" fontId="36" fillId="21" borderId="49" xfId="5" applyFont="1" applyFill="1" applyBorder="1" applyAlignment="1">
      <alignment horizontal="center" vertical="center"/>
    </xf>
    <xf numFmtId="0" fontId="36" fillId="21" borderId="71" xfId="5" applyFont="1" applyFill="1" applyBorder="1" applyAlignment="1">
      <alignment horizontal="center" vertical="center"/>
    </xf>
    <xf numFmtId="0" fontId="36" fillId="21" borderId="64" xfId="5" applyFont="1" applyFill="1" applyBorder="1" applyAlignment="1">
      <alignment horizontal="center" vertical="center"/>
    </xf>
    <xf numFmtId="0" fontId="36" fillId="21" borderId="57" xfId="5" applyFont="1" applyFill="1" applyBorder="1" applyAlignment="1">
      <alignment horizontal="center" vertical="center"/>
    </xf>
    <xf numFmtId="0" fontId="36" fillId="21" borderId="89" xfId="5" applyFont="1" applyFill="1" applyBorder="1" applyAlignment="1">
      <alignment horizontal="center" vertical="center"/>
    </xf>
    <xf numFmtId="0" fontId="36" fillId="21" borderId="90" xfId="5" applyFont="1" applyFill="1" applyBorder="1" applyAlignment="1">
      <alignment horizontal="center" vertical="center"/>
    </xf>
    <xf numFmtId="0" fontId="36" fillId="21" borderId="39" xfId="5" applyFont="1" applyFill="1" applyBorder="1" applyAlignment="1">
      <alignment horizontal="center" vertical="center"/>
    </xf>
    <xf numFmtId="0" fontId="36" fillId="21" borderId="37" xfId="5" applyFont="1" applyFill="1" applyBorder="1" applyAlignment="1">
      <alignment horizontal="center" vertical="center"/>
    </xf>
    <xf numFmtId="0" fontId="36" fillId="21" borderId="38" xfId="5" applyFont="1" applyFill="1" applyBorder="1" applyAlignment="1">
      <alignment horizontal="center" vertical="center"/>
    </xf>
    <xf numFmtId="0" fontId="36" fillId="21" borderId="30" xfId="5" applyFont="1" applyFill="1" applyBorder="1" applyAlignment="1">
      <alignment horizontal="center" vertical="center"/>
    </xf>
    <xf numFmtId="0" fontId="36" fillId="21" borderId="31" xfId="5" applyFont="1" applyFill="1" applyBorder="1" applyAlignment="1">
      <alignment horizontal="center" vertical="center"/>
    </xf>
    <xf numFmtId="0" fontId="31" fillId="0" borderId="25" xfId="5" applyFont="1" applyBorder="1" applyAlignment="1">
      <alignment horizontal="center" vertical="center"/>
    </xf>
    <xf numFmtId="0" fontId="31" fillId="0" borderId="26" xfId="5" applyFont="1" applyBorder="1" applyAlignment="1">
      <alignment horizontal="center" vertical="center"/>
    </xf>
    <xf numFmtId="0" fontId="31" fillId="0" borderId="45" xfId="5" applyFont="1" applyBorder="1" applyAlignment="1">
      <alignment horizontal="center" vertical="center"/>
    </xf>
    <xf numFmtId="0" fontId="31" fillId="0" borderId="27" xfId="5" applyFont="1" applyBorder="1" applyAlignment="1">
      <alignment horizontal="center" vertical="center"/>
    </xf>
    <xf numFmtId="0" fontId="31" fillId="0" borderId="41" xfId="0" applyFont="1" applyBorder="1" applyAlignment="1">
      <alignment horizontal="center" vertical="center"/>
    </xf>
    <xf numFmtId="0" fontId="31" fillId="0" borderId="42" xfId="0" applyFont="1" applyBorder="1" applyAlignment="1">
      <alignment horizontal="center" vertical="center"/>
    </xf>
    <xf numFmtId="0" fontId="31" fillId="0" borderId="63" xfId="0" applyFont="1" applyBorder="1" applyAlignment="1">
      <alignment horizontal="center" vertical="center"/>
    </xf>
    <xf numFmtId="0" fontId="31" fillId="10" borderId="43" xfId="5" applyFont="1" applyFill="1" applyBorder="1" applyAlignment="1">
      <alignment horizontal="center" vertical="center"/>
    </xf>
    <xf numFmtId="0" fontId="31" fillId="10" borderId="44" xfId="5" applyFont="1" applyFill="1" applyBorder="1" applyAlignment="1">
      <alignment horizontal="center" vertical="center"/>
    </xf>
    <xf numFmtId="0" fontId="34" fillId="10" borderId="35" xfId="0" applyFont="1" applyFill="1" applyBorder="1" applyAlignment="1">
      <alignment horizontal="center" vertical="center" wrapText="1"/>
    </xf>
    <xf numFmtId="0" fontId="34" fillId="10" borderId="0" xfId="0" applyFont="1" applyFill="1" applyAlignment="1">
      <alignment horizontal="center" vertical="center" wrapText="1"/>
    </xf>
    <xf numFmtId="0" fontId="34" fillId="10" borderId="29" xfId="0" applyFont="1" applyFill="1" applyBorder="1" applyAlignment="1">
      <alignment horizontal="center" vertical="center" wrapText="1"/>
    </xf>
    <xf numFmtId="0" fontId="35" fillId="10" borderId="35" xfId="0" applyFont="1" applyFill="1" applyBorder="1" applyAlignment="1">
      <alignment horizontal="center" vertical="center" wrapText="1"/>
    </xf>
    <xf numFmtId="0" fontId="35" fillId="10" borderId="0" xfId="0" applyFont="1" applyFill="1" applyAlignment="1">
      <alignment horizontal="center" vertical="center" wrapText="1"/>
    </xf>
    <xf numFmtId="0" fontId="35" fillId="10" borderId="29" xfId="0" applyFont="1" applyFill="1" applyBorder="1" applyAlignment="1">
      <alignment horizontal="center" vertical="center" wrapText="1"/>
    </xf>
    <xf numFmtId="0" fontId="38" fillId="10" borderId="35" xfId="0" applyFont="1" applyFill="1" applyBorder="1" applyAlignment="1">
      <alignment horizontal="center" vertical="center" wrapText="1"/>
    </xf>
    <xf numFmtId="0" fontId="38" fillId="10" borderId="0" xfId="0" applyFont="1" applyFill="1" applyAlignment="1">
      <alignment horizontal="center" vertical="center" wrapText="1"/>
    </xf>
    <xf numFmtId="0" fontId="38" fillId="10" borderId="29" xfId="0" applyFont="1" applyFill="1" applyBorder="1" applyAlignment="1">
      <alignment horizontal="center" vertical="center" wrapText="1"/>
    </xf>
    <xf numFmtId="0" fontId="37" fillId="10" borderId="35" xfId="0" applyFont="1" applyFill="1" applyBorder="1" applyAlignment="1">
      <alignment horizontal="center" vertical="center" wrapText="1"/>
    </xf>
    <xf numFmtId="0" fontId="37" fillId="10" borderId="0" xfId="0" applyFont="1" applyFill="1" applyAlignment="1">
      <alignment horizontal="center" vertical="center" wrapText="1"/>
    </xf>
    <xf numFmtId="0" fontId="37" fillId="10" borderId="29" xfId="0" applyFont="1" applyFill="1" applyBorder="1" applyAlignment="1">
      <alignment horizontal="center" vertical="center" wrapText="1"/>
    </xf>
    <xf numFmtId="0" fontId="37" fillId="0" borderId="91" xfId="0" applyFont="1" applyBorder="1" applyAlignment="1">
      <alignment horizontal="center" vertical="center"/>
    </xf>
    <xf numFmtId="0" fontId="37" fillId="0" borderId="0" xfId="0" applyFont="1" applyAlignment="1">
      <alignment horizontal="center" vertical="center"/>
    </xf>
    <xf numFmtId="0" fontId="37" fillId="0" borderId="29" xfId="0" applyFont="1" applyBorder="1" applyAlignment="1">
      <alignment horizontal="center" vertical="center"/>
    </xf>
    <xf numFmtId="0" fontId="31" fillId="10" borderId="51" xfId="5" applyFont="1" applyFill="1" applyBorder="1" applyAlignment="1">
      <alignment horizontal="center" vertical="center"/>
    </xf>
    <xf numFmtId="0" fontId="31" fillId="10" borderId="52" xfId="5" applyFont="1" applyFill="1" applyBorder="1" applyAlignment="1">
      <alignment horizontal="center" vertical="center"/>
    </xf>
    <xf numFmtId="165" fontId="38" fillId="18" borderId="78" xfId="12" applyNumberFormat="1" applyFont="1" applyFill="1" applyBorder="1" applyAlignment="1">
      <alignment horizontal="center" vertical="center" wrapText="1"/>
    </xf>
    <xf numFmtId="165" fontId="38" fillId="18" borderId="79" xfId="12" applyNumberFormat="1" applyFont="1" applyFill="1" applyBorder="1" applyAlignment="1">
      <alignment horizontal="center" vertical="center" wrapText="1"/>
    </xf>
    <xf numFmtId="165" fontId="38" fillId="18" borderId="80" xfId="12" applyNumberFormat="1" applyFont="1" applyFill="1" applyBorder="1" applyAlignment="1">
      <alignment horizontal="center" vertical="center" wrapText="1"/>
    </xf>
    <xf numFmtId="0" fontId="66" fillId="21" borderId="71" xfId="5" applyFont="1" applyFill="1" applyBorder="1" applyAlignment="1">
      <alignment horizontal="center" vertical="center" wrapText="1"/>
    </xf>
    <xf numFmtId="0" fontId="66" fillId="21" borderId="43" xfId="5" applyFont="1" applyFill="1" applyBorder="1" applyAlignment="1">
      <alignment horizontal="justify" vertical="center" wrapText="1"/>
    </xf>
    <xf numFmtId="165" fontId="66" fillId="21" borderId="88" xfId="21" applyNumberFormat="1" applyFont="1" applyFill="1" applyBorder="1" applyAlignment="1">
      <alignment horizontal="justify" vertical="center" wrapText="1"/>
    </xf>
    <xf numFmtId="165" fontId="66" fillId="21" borderId="49" xfId="21" applyNumberFormat="1" applyFont="1" applyFill="1" applyBorder="1" applyAlignment="1">
      <alignment horizontal="justify" vertical="center" wrapText="1"/>
    </xf>
    <xf numFmtId="165" fontId="66" fillId="21" borderId="87" xfId="21" applyNumberFormat="1" applyFont="1" applyFill="1" applyBorder="1" applyAlignment="1">
      <alignment horizontal="justify" vertical="center" wrapText="1"/>
    </xf>
    <xf numFmtId="165" fontId="66" fillId="21" borderId="59" xfId="21" applyNumberFormat="1" applyFont="1" applyFill="1" applyBorder="1" applyAlignment="1">
      <alignment horizontal="justify" vertical="center" wrapText="1"/>
    </xf>
    <xf numFmtId="165" fontId="66" fillId="21" borderId="15" xfId="21" applyNumberFormat="1" applyFont="1" applyFill="1" applyBorder="1" applyAlignment="1">
      <alignment horizontal="justify" vertical="center" wrapText="1"/>
    </xf>
    <xf numFmtId="0" fontId="66" fillId="21" borderId="93" xfId="5" applyFont="1" applyFill="1" applyBorder="1" applyAlignment="1">
      <alignment horizontal="center" vertical="center" wrapText="1"/>
    </xf>
    <xf numFmtId="0" fontId="66" fillId="21" borderId="77" xfId="5" applyFont="1" applyFill="1" applyBorder="1" applyAlignment="1">
      <alignment horizontal="center" vertical="center" wrapText="1"/>
    </xf>
    <xf numFmtId="0" fontId="66" fillId="21" borderId="50" xfId="5" applyFont="1" applyFill="1" applyBorder="1" applyAlignment="1">
      <alignment horizontal="center" vertical="center" wrapText="1"/>
    </xf>
    <xf numFmtId="0" fontId="68" fillId="21" borderId="45" xfId="5" applyFont="1" applyFill="1" applyBorder="1" applyAlignment="1">
      <alignment horizontal="center" vertical="center" wrapText="1"/>
    </xf>
    <xf numFmtId="0" fontId="68" fillId="21" borderId="15" xfId="5" applyFont="1" applyFill="1" applyBorder="1" applyAlignment="1">
      <alignment horizontal="center" vertical="center" wrapText="1"/>
    </xf>
    <xf numFmtId="0" fontId="66" fillId="21" borderId="89" xfId="5" applyFont="1" applyFill="1" applyBorder="1" applyAlignment="1">
      <alignment horizontal="center" vertical="center" wrapText="1"/>
    </xf>
    <xf numFmtId="0" fontId="66" fillId="21" borderId="142" xfId="5" applyFont="1" applyFill="1" applyBorder="1" applyAlignment="1">
      <alignment horizontal="center" vertical="center" wrapText="1"/>
    </xf>
    <xf numFmtId="0" fontId="66" fillId="21" borderId="57" xfId="5" applyFont="1" applyFill="1" applyBorder="1" applyAlignment="1">
      <alignment horizontal="center" vertical="center" wrapText="1"/>
    </xf>
    <xf numFmtId="0" fontId="66" fillId="21" borderId="111" xfId="5" applyFont="1" applyFill="1" applyBorder="1" applyAlignment="1">
      <alignment horizontal="center" vertical="center" wrapText="1"/>
    </xf>
    <xf numFmtId="0" fontId="66" fillId="0" borderId="88" xfId="5" applyFont="1" applyBorder="1" applyAlignment="1">
      <alignment horizontal="center" vertical="center" wrapText="1"/>
    </xf>
    <xf numFmtId="0" fontId="66" fillId="0" borderId="70" xfId="5" applyFont="1" applyBorder="1" applyAlignment="1">
      <alignment horizontal="center" vertical="center" wrapText="1"/>
    </xf>
    <xf numFmtId="0" fontId="66" fillId="0" borderId="48" xfId="5" applyFont="1" applyBorder="1" applyAlignment="1">
      <alignment horizontal="center" vertical="center" wrapText="1"/>
    </xf>
    <xf numFmtId="0" fontId="66" fillId="0" borderId="98" xfId="5" applyFont="1" applyBorder="1" applyAlignment="1">
      <alignment horizontal="center" vertical="center" wrapText="1"/>
    </xf>
    <xf numFmtId="0" fontId="66" fillId="0" borderId="49" xfId="5" applyFont="1" applyBorder="1" applyAlignment="1">
      <alignment horizontal="center" vertical="center" wrapText="1"/>
    </xf>
    <xf numFmtId="0" fontId="66" fillId="0" borderId="64" xfId="5" applyFont="1" applyBorder="1" applyAlignment="1">
      <alignment horizontal="center" vertical="center" wrapText="1"/>
    </xf>
    <xf numFmtId="14" fontId="40" fillId="9" borderId="86" xfId="5" applyNumberFormat="1" applyFont="1" applyFill="1" applyBorder="1" applyAlignment="1">
      <alignment horizontal="center" vertical="center"/>
    </xf>
    <xf numFmtId="14" fontId="40" fillId="9" borderId="20" xfId="5" applyNumberFormat="1" applyFont="1" applyFill="1" applyBorder="1" applyAlignment="1">
      <alignment horizontal="center" vertical="center"/>
    </xf>
    <xf numFmtId="0" fontId="66" fillId="0" borderId="59" xfId="5" applyFont="1" applyBorder="1" applyAlignment="1">
      <alignment horizontal="center" vertical="center" wrapText="1"/>
    </xf>
    <xf numFmtId="0" fontId="66" fillId="0" borderId="15" xfId="5" applyFont="1" applyBorder="1" applyAlignment="1">
      <alignment horizontal="center" vertical="center" wrapText="1"/>
    </xf>
    <xf numFmtId="0" fontId="68" fillId="0" borderId="25" xfId="5" applyFont="1" applyBorder="1" applyAlignment="1">
      <alignment horizontal="center" vertical="center" wrapText="1"/>
    </xf>
    <xf numFmtId="0" fontId="68" fillId="0" borderId="26" xfId="5" applyFont="1" applyBorder="1" applyAlignment="1">
      <alignment horizontal="center" vertical="center" wrapText="1"/>
    </xf>
    <xf numFmtId="0" fontId="68" fillId="0" borderId="45" xfId="5" applyFont="1" applyBorder="1" applyAlignment="1">
      <alignment horizontal="center" vertical="center" wrapText="1"/>
    </xf>
    <xf numFmtId="0" fontId="68" fillId="0" borderId="27" xfId="5" applyFont="1" applyBorder="1" applyAlignment="1">
      <alignment horizontal="center" vertical="center" wrapText="1"/>
    </xf>
    <xf numFmtId="0" fontId="66" fillId="0" borderId="35" xfId="5" applyFont="1" applyBorder="1" applyAlignment="1">
      <alignment horizontal="center" vertical="center" wrapText="1"/>
    </xf>
    <xf numFmtId="0" fontId="66" fillId="0" borderId="0" xfId="5" applyFont="1" applyAlignment="1">
      <alignment horizontal="center" vertical="center" wrapText="1"/>
    </xf>
    <xf numFmtId="0" fontId="66" fillId="0" borderId="87" xfId="5" applyFont="1" applyBorder="1" applyAlignment="1">
      <alignment horizontal="center" vertical="center" wrapText="1"/>
    </xf>
    <xf numFmtId="0" fontId="66" fillId="0" borderId="30" xfId="5" applyFont="1" applyBorder="1" applyAlignment="1">
      <alignment horizontal="center" vertical="center" wrapText="1"/>
    </xf>
    <xf numFmtId="0" fontId="117" fillId="0" borderId="0" xfId="0" applyFont="1" applyAlignment="1">
      <alignment horizontal="center"/>
    </xf>
    <xf numFmtId="2" fontId="123" fillId="0" borderId="0" xfId="0" applyNumberFormat="1" applyFont="1" applyAlignment="1">
      <alignment horizontal="left" vertical="center" wrapText="1"/>
    </xf>
    <xf numFmtId="0" fontId="118" fillId="0" borderId="0" xfId="0" applyFont="1" applyAlignment="1">
      <alignment horizontal="center"/>
    </xf>
    <xf numFmtId="0" fontId="119" fillId="0" borderId="0" xfId="0" applyFont="1" applyAlignment="1">
      <alignment horizontal="center"/>
    </xf>
    <xf numFmtId="0" fontId="120" fillId="0" borderId="0" xfId="0" applyFont="1" applyAlignment="1">
      <alignment horizontal="center" vertical="center"/>
    </xf>
    <xf numFmtId="0" fontId="121" fillId="0" borderId="0" xfId="0" applyFont="1" applyAlignment="1">
      <alignment horizontal="center" vertical="center"/>
    </xf>
    <xf numFmtId="2" fontId="123" fillId="0" borderId="0" xfId="0" applyNumberFormat="1" applyFont="1" applyAlignment="1">
      <alignment horizontal="center" vertical="center"/>
    </xf>
    <xf numFmtId="2" fontId="149" fillId="0" borderId="30" xfId="41" applyNumberFormat="1" applyFont="1" applyBorder="1" applyAlignment="1">
      <alignment horizontal="center" vertical="center"/>
    </xf>
    <xf numFmtId="0" fontId="2" fillId="0" borderId="30" xfId="41" applyBorder="1" applyAlignment="1">
      <alignment vertical="center"/>
    </xf>
    <xf numFmtId="0" fontId="80" fillId="17" borderId="62" xfId="5" applyFont="1" applyFill="1" applyBorder="1" applyAlignment="1">
      <alignment horizontal="center" vertical="center" wrapText="1"/>
    </xf>
    <xf numFmtId="0" fontId="80" fillId="17" borderId="83" xfId="5" applyFont="1" applyFill="1" applyBorder="1" applyAlignment="1">
      <alignment horizontal="center" vertical="center" wrapText="1"/>
    </xf>
    <xf numFmtId="0" fontId="80" fillId="17" borderId="86" xfId="5" applyFont="1" applyFill="1" applyBorder="1" applyAlignment="1">
      <alignment horizontal="center" vertical="center" wrapText="1"/>
    </xf>
    <xf numFmtId="0" fontId="80" fillId="17" borderId="20" xfId="5" applyFont="1" applyFill="1" applyBorder="1" applyAlignment="1">
      <alignment horizontal="center" vertical="center" wrapText="1"/>
    </xf>
    <xf numFmtId="0" fontId="80" fillId="5" borderId="0" xfId="5" applyFont="1" applyFill="1" applyAlignment="1">
      <alignment horizontal="left" wrapText="1"/>
    </xf>
    <xf numFmtId="0" fontId="80" fillId="0" borderId="0" xfId="5" applyFont="1" applyAlignment="1">
      <alignment horizontal="left" wrapText="1"/>
    </xf>
    <xf numFmtId="0" fontId="80" fillId="5" borderId="86" xfId="5" applyFont="1" applyFill="1" applyBorder="1" applyAlignment="1">
      <alignment horizontal="center" vertical="center"/>
    </xf>
    <xf numFmtId="0" fontId="80" fillId="5" borderId="20" xfId="5" applyFont="1" applyFill="1" applyBorder="1" applyAlignment="1">
      <alignment horizontal="center" vertical="center"/>
    </xf>
    <xf numFmtId="0" fontId="80" fillId="5" borderId="94" xfId="5" applyFont="1" applyFill="1" applyBorder="1" applyAlignment="1">
      <alignment horizontal="center" vertical="center"/>
    </xf>
    <xf numFmtId="0" fontId="80" fillId="26" borderId="39" xfId="5" applyFont="1" applyFill="1" applyBorder="1" applyAlignment="1">
      <alignment horizontal="center" vertical="center"/>
    </xf>
    <xf numFmtId="0" fontId="80" fillId="26" borderId="38" xfId="5" applyFont="1" applyFill="1" applyBorder="1" applyAlignment="1">
      <alignment horizontal="center" vertical="center"/>
    </xf>
    <xf numFmtId="2" fontId="81" fillId="0" borderId="39" xfId="5" applyNumberFormat="1" applyFont="1" applyBorder="1" applyAlignment="1">
      <alignment horizontal="center" vertical="center"/>
    </xf>
    <xf numFmtId="2" fontId="81" fillId="0" borderId="38" xfId="5" applyNumberFormat="1" applyFont="1" applyBorder="1" applyAlignment="1">
      <alignment horizontal="center" vertical="center"/>
    </xf>
    <xf numFmtId="0" fontId="80" fillId="17" borderId="56" xfId="5" applyFont="1" applyFill="1" applyBorder="1" applyAlignment="1">
      <alignment horizontal="center" vertical="center"/>
    </xf>
    <xf numFmtId="0" fontId="80" fillId="17" borderId="71" xfId="5" applyFont="1" applyFill="1" applyBorder="1" applyAlignment="1">
      <alignment horizontal="center" vertical="center"/>
    </xf>
    <xf numFmtId="0" fontId="80" fillId="17" borderId="95" xfId="5" applyFont="1" applyFill="1" applyBorder="1" applyAlignment="1">
      <alignment horizontal="center" vertical="center"/>
    </xf>
    <xf numFmtId="0" fontId="80" fillId="26" borderId="36" xfId="5" applyFont="1" applyFill="1" applyBorder="1" applyAlignment="1">
      <alignment horizontal="center" vertical="center"/>
    </xf>
    <xf numFmtId="0" fontId="80" fillId="17" borderId="36" xfId="5" applyFont="1" applyFill="1" applyBorder="1" applyAlignment="1">
      <alignment horizontal="center" vertical="center"/>
    </xf>
    <xf numFmtId="0" fontId="80" fillId="17" borderId="37" xfId="5" applyFont="1" applyFill="1" applyBorder="1" applyAlignment="1">
      <alignment horizontal="center" vertical="center"/>
    </xf>
    <xf numFmtId="0" fontId="80" fillId="17" borderId="40" xfId="5" applyFont="1" applyFill="1" applyBorder="1" applyAlignment="1">
      <alignment horizontal="center" vertical="center"/>
    </xf>
    <xf numFmtId="0" fontId="80" fillId="26" borderId="37" xfId="5" applyFont="1" applyFill="1" applyBorder="1" applyAlignment="1">
      <alignment horizontal="center" vertical="center"/>
    </xf>
    <xf numFmtId="2" fontId="81" fillId="0" borderId="56" xfId="5" applyNumberFormat="1" applyFont="1" applyBorder="1" applyAlignment="1">
      <alignment horizontal="center" vertical="center"/>
    </xf>
    <xf numFmtId="2" fontId="81" fillId="0" borderId="71" xfId="5" applyNumberFormat="1" applyFont="1" applyBorder="1" applyAlignment="1">
      <alignment horizontal="center" vertical="center"/>
    </xf>
    <xf numFmtId="2" fontId="81" fillId="0" borderId="64" xfId="5" applyNumberFormat="1" applyFont="1" applyBorder="1" applyAlignment="1">
      <alignment horizontal="center" vertical="center"/>
    </xf>
    <xf numFmtId="43" fontId="81" fillId="0" borderId="71" xfId="32" applyFont="1" applyBorder="1" applyAlignment="1">
      <alignment horizontal="center" vertical="center"/>
    </xf>
    <xf numFmtId="43" fontId="81" fillId="0" borderId="95" xfId="32" applyFont="1" applyBorder="1" applyAlignment="1">
      <alignment horizontal="center" vertical="center"/>
    </xf>
    <xf numFmtId="0" fontId="80" fillId="17" borderId="60" xfId="5" applyFont="1" applyFill="1" applyBorder="1" applyAlignment="1">
      <alignment horizontal="center" vertical="center" wrapText="1"/>
    </xf>
    <xf numFmtId="43" fontId="83" fillId="2" borderId="55" xfId="32" applyFont="1" applyFill="1" applyBorder="1" applyAlignment="1">
      <alignment horizontal="center" vertical="center"/>
    </xf>
    <xf numFmtId="43" fontId="83" fillId="2" borderId="144" xfId="32" applyFont="1" applyFill="1" applyBorder="1" applyAlignment="1">
      <alignment horizontal="center" vertical="center"/>
    </xf>
    <xf numFmtId="0" fontId="83" fillId="0" borderId="30" xfId="5" applyFont="1" applyBorder="1" applyAlignment="1">
      <alignment horizontal="center" vertical="center" wrapText="1"/>
    </xf>
    <xf numFmtId="165" fontId="83" fillId="0" borderId="30" xfId="31" applyFont="1" applyFill="1" applyBorder="1" applyAlignment="1">
      <alignment horizontal="center" vertical="center"/>
    </xf>
    <xf numFmtId="0" fontId="80" fillId="17" borderId="94" xfId="5" applyFont="1" applyFill="1" applyBorder="1" applyAlignment="1">
      <alignment horizontal="center" vertical="center" wrapText="1"/>
    </xf>
    <xf numFmtId="0" fontId="85" fillId="0" borderId="0" xfId="5" applyFont="1" applyAlignment="1">
      <alignment horizontal="center" vertical="center"/>
    </xf>
    <xf numFmtId="2" fontId="81" fillId="0" borderId="49" xfId="5" applyNumberFormat="1" applyFont="1" applyBorder="1" applyAlignment="1">
      <alignment horizontal="center" vertical="center"/>
    </xf>
    <xf numFmtId="0" fontId="80" fillId="26" borderId="30" xfId="5" applyFont="1" applyFill="1" applyBorder="1" applyAlignment="1">
      <alignment horizontal="center" vertical="center"/>
    </xf>
    <xf numFmtId="2" fontId="81" fillId="0" borderId="48" xfId="5" applyNumberFormat="1" applyFont="1" applyBorder="1" applyAlignment="1">
      <alignment horizontal="center" vertical="center"/>
    </xf>
    <xf numFmtId="2" fontId="81" fillId="0" borderId="98" xfId="5" applyNumberFormat="1" applyFont="1" applyBorder="1" applyAlignment="1">
      <alignment horizontal="center" vertical="center"/>
    </xf>
    <xf numFmtId="2" fontId="8" fillId="0" borderId="56" xfId="5" applyNumberFormat="1" applyFont="1" applyBorder="1" applyAlignment="1">
      <alignment horizontal="center" vertical="center"/>
    </xf>
    <xf numFmtId="2" fontId="8" fillId="0" borderId="71" xfId="5" applyNumberFormat="1" applyFont="1" applyBorder="1" applyAlignment="1">
      <alignment horizontal="center" vertical="center"/>
    </xf>
    <xf numFmtId="2" fontId="8" fillId="0" borderId="64" xfId="5" applyNumberFormat="1" applyFont="1" applyBorder="1" applyAlignment="1">
      <alignment horizontal="center" vertical="center"/>
    </xf>
    <xf numFmtId="43" fontId="8" fillId="0" borderId="71" xfId="32" applyFont="1" applyBorder="1" applyAlignment="1">
      <alignment horizontal="center" vertical="center"/>
    </xf>
    <xf numFmtId="43" fontId="8" fillId="0" borderId="95" xfId="32" applyFont="1" applyBorder="1" applyAlignment="1">
      <alignment horizontal="center" vertical="center"/>
    </xf>
    <xf numFmtId="2" fontId="81" fillId="0" borderId="36" xfId="5" applyNumberFormat="1" applyFont="1" applyBorder="1" applyAlignment="1">
      <alignment horizontal="right" vertical="center"/>
    </xf>
    <xf numFmtId="2" fontId="81" fillId="0" borderId="37" xfId="5" applyNumberFormat="1" applyFont="1" applyBorder="1" applyAlignment="1">
      <alignment horizontal="right" vertical="center"/>
    </xf>
    <xf numFmtId="0" fontId="80" fillId="2" borderId="28" xfId="5" applyFont="1" applyFill="1" applyBorder="1" applyAlignment="1">
      <alignment horizontal="center" vertical="center"/>
    </xf>
    <xf numFmtId="0" fontId="80" fillId="2" borderId="81" xfId="5" applyFont="1" applyFill="1" applyBorder="1" applyAlignment="1">
      <alignment horizontal="center" vertical="center"/>
    </xf>
    <xf numFmtId="0" fontId="80" fillId="2" borderId="143" xfId="5" applyFont="1" applyFill="1" applyBorder="1" applyAlignment="1">
      <alignment horizontal="center" vertical="center"/>
    </xf>
    <xf numFmtId="2" fontId="83" fillId="17" borderId="28" xfId="5" applyNumberFormat="1" applyFont="1" applyFill="1" applyBorder="1" applyAlignment="1">
      <alignment horizontal="center" vertical="center"/>
    </xf>
    <xf numFmtId="2" fontId="83" fillId="17" borderId="58" xfId="5" applyNumberFormat="1" applyFont="1" applyFill="1" applyBorder="1" applyAlignment="1">
      <alignment horizontal="center" vertical="center"/>
    </xf>
    <xf numFmtId="0" fontId="5" fillId="0" borderId="0" xfId="5"/>
    <xf numFmtId="0" fontId="83" fillId="5" borderId="92" xfId="5" applyFont="1" applyFill="1" applyBorder="1" applyAlignment="1">
      <alignment horizontal="center"/>
    </xf>
    <xf numFmtId="0" fontId="83" fillId="5" borderId="57" xfId="5" applyFont="1" applyFill="1" applyBorder="1" applyAlignment="1">
      <alignment horizontal="center"/>
    </xf>
    <xf numFmtId="0" fontId="83" fillId="5" borderId="57" xfId="5" applyFont="1" applyFill="1" applyBorder="1" applyAlignment="1">
      <alignment horizontal="center" vertical="center"/>
    </xf>
    <xf numFmtId="0" fontId="83" fillId="5" borderId="90" xfId="5" applyFont="1" applyFill="1" applyBorder="1" applyAlignment="1">
      <alignment horizontal="center" vertical="center"/>
    </xf>
    <xf numFmtId="0" fontId="83" fillId="5" borderId="30" xfId="5" applyFont="1" applyFill="1" applyBorder="1" applyAlignment="1">
      <alignment horizontal="center" vertical="center"/>
    </xf>
    <xf numFmtId="0" fontId="83" fillId="5" borderId="31" xfId="5" applyFont="1" applyFill="1" applyBorder="1" applyAlignment="1">
      <alignment horizontal="center" vertical="center"/>
    </xf>
    <xf numFmtId="0" fontId="80" fillId="26" borderId="24" xfId="5" applyFont="1" applyFill="1" applyBorder="1" applyAlignment="1">
      <alignment horizontal="center"/>
    </xf>
    <xf numFmtId="0" fontId="80" fillId="26" borderId="30" xfId="5" applyFont="1" applyFill="1" applyBorder="1" applyAlignment="1">
      <alignment horizontal="center"/>
    </xf>
    <xf numFmtId="2" fontId="84" fillId="0" borderId="25" xfId="5" applyNumberFormat="1" applyFont="1" applyBorder="1" applyAlignment="1">
      <alignment horizontal="center" vertical="center" wrapText="1"/>
    </xf>
    <xf numFmtId="2" fontId="84" fillId="0" borderId="45" xfId="5" applyNumberFormat="1" applyFont="1" applyBorder="1" applyAlignment="1">
      <alignment horizontal="center" vertical="center" wrapText="1"/>
    </xf>
    <xf numFmtId="2" fontId="84" fillId="0" borderId="45" xfId="5" applyNumberFormat="1" applyFont="1" applyBorder="1" applyAlignment="1">
      <alignment horizontal="center" vertical="center"/>
    </xf>
    <xf numFmtId="2" fontId="84" fillId="0" borderId="61" xfId="5" applyNumberFormat="1" applyFont="1" applyBorder="1" applyAlignment="1">
      <alignment horizontal="center" vertical="center"/>
    </xf>
    <xf numFmtId="0" fontId="80" fillId="5" borderId="39" xfId="5" applyFont="1" applyFill="1" applyBorder="1" applyAlignment="1">
      <alignment horizontal="center" vertical="center"/>
    </xf>
    <xf numFmtId="0" fontId="80" fillId="5" borderId="37" xfId="5" applyFont="1" applyFill="1" applyBorder="1" applyAlignment="1">
      <alignment horizontal="center" vertical="center"/>
    </xf>
    <xf numFmtId="0" fontId="80" fillId="5" borderId="38" xfId="5" applyFont="1" applyFill="1" applyBorder="1" applyAlignment="1">
      <alignment horizontal="center" vertical="center"/>
    </xf>
    <xf numFmtId="0" fontId="80" fillId="17" borderId="39" xfId="5" applyFont="1" applyFill="1" applyBorder="1" applyAlignment="1">
      <alignment horizontal="center" vertical="center" wrapText="1"/>
    </xf>
    <xf numFmtId="0" fontId="80" fillId="17" borderId="37" xfId="5" applyFont="1" applyFill="1" applyBorder="1" applyAlignment="1">
      <alignment horizontal="center" vertical="center" wrapText="1"/>
    </xf>
    <xf numFmtId="0" fontId="80" fillId="0" borderId="0" xfId="5" applyFont="1" applyAlignment="1">
      <alignment horizontal="left" vertical="center" wrapText="1"/>
    </xf>
    <xf numFmtId="0" fontId="83" fillId="5" borderId="86" xfId="5" applyFont="1" applyFill="1" applyBorder="1" applyAlignment="1">
      <alignment horizontal="center" vertical="center"/>
    </xf>
    <xf numFmtId="0" fontId="83" fillId="5" borderId="20" xfId="5" applyFont="1" applyFill="1" applyBorder="1" applyAlignment="1">
      <alignment horizontal="center" vertical="center"/>
    </xf>
    <xf numFmtId="0" fontId="83" fillId="5" borderId="94" xfId="5" applyFont="1" applyFill="1" applyBorder="1" applyAlignment="1">
      <alignment horizontal="center" vertical="center"/>
    </xf>
    <xf numFmtId="0" fontId="83" fillId="26" borderId="89" xfId="5" applyFont="1" applyFill="1" applyBorder="1" applyAlignment="1">
      <alignment horizontal="center" vertical="center" wrapText="1"/>
    </xf>
    <xf numFmtId="0" fontId="83" fillId="26" borderId="142" xfId="5" applyFont="1" applyFill="1" applyBorder="1" applyAlignment="1">
      <alignment horizontal="center" vertical="center" wrapText="1"/>
    </xf>
    <xf numFmtId="2" fontId="88" fillId="0" borderId="39" xfId="32" applyNumberFormat="1" applyFont="1" applyBorder="1" applyAlignment="1">
      <alignment horizontal="center" vertical="center"/>
    </xf>
    <xf numFmtId="2" fontId="88" fillId="0" borderId="38" xfId="32" applyNumberFormat="1" applyFont="1" applyBorder="1" applyAlignment="1">
      <alignment horizontal="center" vertical="center"/>
    </xf>
    <xf numFmtId="0" fontId="83" fillId="17" borderId="62" xfId="5" applyFont="1" applyFill="1" applyBorder="1" applyAlignment="1">
      <alignment horizontal="center" vertical="center" wrapText="1"/>
    </xf>
    <xf numFmtId="0" fontId="83" fillId="17" borderId="83" xfId="5" applyFont="1" applyFill="1" applyBorder="1" applyAlignment="1">
      <alignment horizontal="center" vertical="center" wrapText="1"/>
    </xf>
    <xf numFmtId="0" fontId="80" fillId="17" borderId="86" xfId="5" applyFont="1" applyFill="1" applyBorder="1" applyAlignment="1">
      <alignment horizontal="center" vertical="center"/>
    </xf>
    <xf numFmtId="0" fontId="80" fillId="17" borderId="20" xfId="5" applyFont="1" applyFill="1" applyBorder="1" applyAlignment="1">
      <alignment horizontal="center" vertical="center"/>
    </xf>
    <xf numFmtId="0" fontId="80" fillId="17" borderId="94" xfId="5" applyFont="1" applyFill="1" applyBorder="1" applyAlignment="1">
      <alignment horizontal="center" vertical="center"/>
    </xf>
    <xf numFmtId="0" fontId="76" fillId="8" borderId="56" xfId="5" applyFont="1" applyFill="1" applyBorder="1" applyAlignment="1">
      <alignment horizontal="center" vertical="center"/>
    </xf>
    <xf numFmtId="0" fontId="76" fillId="8" borderId="71" xfId="5" applyFont="1" applyFill="1" applyBorder="1" applyAlignment="1">
      <alignment horizontal="center" vertical="center"/>
    </xf>
    <xf numFmtId="0" fontId="76" fillId="8" borderId="95" xfId="5" applyFont="1" applyFill="1" applyBorder="1" applyAlignment="1">
      <alignment horizontal="center" vertical="center"/>
    </xf>
    <xf numFmtId="0" fontId="83" fillId="5" borderId="39" xfId="5" applyFont="1" applyFill="1" applyBorder="1" applyAlignment="1">
      <alignment horizontal="center" vertical="center"/>
    </xf>
    <xf numFmtId="0" fontId="83" fillId="5" borderId="37" xfId="5" applyFont="1" applyFill="1" applyBorder="1" applyAlignment="1">
      <alignment horizontal="center" vertical="center"/>
    </xf>
    <xf numFmtId="0" fontId="83" fillId="5" borderId="38" xfId="5" applyFont="1" applyFill="1" applyBorder="1" applyAlignment="1">
      <alignment horizontal="center" vertical="center"/>
    </xf>
    <xf numFmtId="2" fontId="81" fillId="0" borderId="37" xfId="5" applyNumberFormat="1" applyFont="1" applyBorder="1" applyAlignment="1">
      <alignment horizontal="center" vertical="center"/>
    </xf>
    <xf numFmtId="43" fontId="84" fillId="0" borderId="37" xfId="32" applyFont="1" applyBorder="1" applyAlignment="1">
      <alignment horizontal="center" vertical="center"/>
    </xf>
    <xf numFmtId="43" fontId="84" fillId="0" borderId="38" xfId="32" applyFont="1" applyBorder="1" applyAlignment="1">
      <alignment horizontal="center" vertical="center"/>
    </xf>
    <xf numFmtId="0" fontId="83" fillId="17" borderId="39" xfId="5" applyFont="1" applyFill="1" applyBorder="1" applyAlignment="1">
      <alignment horizontal="center" vertical="center" wrapText="1"/>
    </xf>
    <xf numFmtId="0" fontId="83" fillId="17" borderId="37" xfId="5" applyFont="1" applyFill="1" applyBorder="1" applyAlignment="1">
      <alignment horizontal="center" vertical="center" wrapText="1"/>
    </xf>
    <xf numFmtId="0" fontId="83" fillId="17" borderId="38" xfId="5" applyFont="1" applyFill="1" applyBorder="1" applyAlignment="1">
      <alignment horizontal="center" vertical="center" wrapText="1"/>
    </xf>
    <xf numFmtId="43" fontId="83" fillId="2" borderId="39" xfId="32" applyFont="1" applyFill="1" applyBorder="1" applyAlignment="1">
      <alignment horizontal="center" vertical="center"/>
    </xf>
    <xf numFmtId="43" fontId="83" fillId="2" borderId="38" xfId="32" applyFont="1" applyFill="1" applyBorder="1" applyAlignment="1">
      <alignment horizontal="center" vertical="center"/>
    </xf>
    <xf numFmtId="2" fontId="81" fillId="0" borderId="138" xfId="5" applyNumberFormat="1" applyFont="1" applyBorder="1" applyAlignment="1">
      <alignment horizontal="center" vertical="center" wrapText="1"/>
    </xf>
    <xf numFmtId="2" fontId="81" fillId="0" borderId="139" xfId="5" applyNumberFormat="1" applyFont="1" applyBorder="1" applyAlignment="1">
      <alignment horizontal="center" vertical="center" wrapText="1"/>
    </xf>
    <xf numFmtId="2" fontId="81" fillId="0" borderId="134" xfId="5" applyNumberFormat="1" applyFont="1" applyBorder="1" applyAlignment="1">
      <alignment horizontal="center" vertical="center" wrapText="1"/>
    </xf>
    <xf numFmtId="2" fontId="81" fillId="0" borderId="135" xfId="5" applyNumberFormat="1" applyFont="1" applyBorder="1" applyAlignment="1">
      <alignment horizontal="center" vertical="center" wrapText="1"/>
    </xf>
    <xf numFmtId="0" fontId="80" fillId="27" borderId="86" xfId="5" applyFont="1" applyFill="1" applyBorder="1" applyAlignment="1">
      <alignment horizontal="center" vertical="center"/>
    </xf>
    <xf numFmtId="0" fontId="80" fillId="27" borderId="20" xfId="5" applyFont="1" applyFill="1" applyBorder="1" applyAlignment="1">
      <alignment horizontal="center" vertical="center"/>
    </xf>
    <xf numFmtId="0" fontId="80" fillId="27" borderId="94" xfId="5" applyFont="1" applyFill="1" applyBorder="1" applyAlignment="1">
      <alignment horizontal="center" vertical="center"/>
    </xf>
    <xf numFmtId="0" fontId="76" fillId="26" borderId="24" xfId="5" applyFont="1" applyFill="1" applyBorder="1" applyAlignment="1">
      <alignment horizontal="center" vertical="center"/>
    </xf>
    <xf numFmtId="0" fontId="76" fillId="26" borderId="30" xfId="5" applyFont="1" applyFill="1" applyBorder="1" applyAlignment="1">
      <alignment horizontal="center" vertical="center"/>
    </xf>
    <xf numFmtId="2" fontId="81" fillId="0" borderId="131" xfId="5" applyNumberFormat="1" applyFont="1" applyBorder="1" applyAlignment="1">
      <alignment horizontal="center" vertical="center" wrapText="1"/>
    </xf>
    <xf numFmtId="2" fontId="81" fillId="0" borderId="132" xfId="5" applyNumberFormat="1" applyFont="1" applyBorder="1" applyAlignment="1">
      <alignment horizontal="center" vertical="center" wrapText="1"/>
    </xf>
    <xf numFmtId="0" fontId="80" fillId="8" borderId="49" xfId="5" applyFont="1" applyFill="1" applyBorder="1" applyAlignment="1">
      <alignment horizontal="center" vertical="center"/>
    </xf>
    <xf numFmtId="0" fontId="80" fillId="8" borderId="64" xfId="5" applyFont="1" applyFill="1" applyBorder="1" applyAlignment="1">
      <alignment horizontal="center" vertical="center"/>
    </xf>
    <xf numFmtId="43" fontId="81" fillId="0" borderId="37" xfId="32" applyFont="1" applyBorder="1" applyAlignment="1">
      <alignment horizontal="center" vertical="center"/>
    </xf>
    <xf numFmtId="43" fontId="81" fillId="0" borderId="38" xfId="32" applyFont="1" applyBorder="1" applyAlignment="1">
      <alignment horizontal="center" vertical="center"/>
    </xf>
    <xf numFmtId="0" fontId="80" fillId="17" borderId="38" xfId="5" applyFont="1" applyFill="1" applyBorder="1" applyAlignment="1">
      <alignment horizontal="center" vertical="center" wrapText="1"/>
    </xf>
    <xf numFmtId="43" fontId="83" fillId="17" borderId="39" xfId="32" applyFont="1" applyFill="1" applyBorder="1" applyAlignment="1">
      <alignment horizontal="center" vertical="center"/>
    </xf>
    <xf numFmtId="43" fontId="83" fillId="17" borderId="38" xfId="32" applyFont="1" applyFill="1" applyBorder="1" applyAlignment="1">
      <alignment horizontal="center" vertical="center"/>
    </xf>
    <xf numFmtId="0" fontId="80" fillId="0" borderId="0" xfId="5" applyFont="1" applyAlignment="1">
      <alignment horizontal="center" vertical="center"/>
    </xf>
    <xf numFmtId="0" fontId="80" fillId="8" borderId="86" xfId="5" applyFont="1" applyFill="1" applyBorder="1" applyAlignment="1">
      <alignment horizontal="center" vertical="center"/>
    </xf>
    <xf numFmtId="0" fontId="80" fillId="8" borderId="20" xfId="5" applyFont="1" applyFill="1" applyBorder="1" applyAlignment="1">
      <alignment horizontal="center" vertical="center"/>
    </xf>
    <xf numFmtId="0" fontId="80" fillId="8" borderId="94" xfId="5" applyFont="1" applyFill="1" applyBorder="1" applyAlignment="1">
      <alignment horizontal="center" vertical="center"/>
    </xf>
    <xf numFmtId="2" fontId="81" fillId="0" borderId="48" xfId="5" applyNumberFormat="1" applyFont="1" applyBorder="1" applyAlignment="1">
      <alignment horizontal="center" vertical="center" wrapText="1"/>
    </xf>
    <xf numFmtId="2" fontId="81" fillId="0" borderId="0" xfId="5" applyNumberFormat="1" applyFont="1" applyAlignment="1">
      <alignment horizontal="center" vertical="center" wrapText="1"/>
    </xf>
    <xf numFmtId="2" fontId="81" fillId="0" borderId="98" xfId="5" applyNumberFormat="1" applyFont="1" applyBorder="1" applyAlignment="1">
      <alignment horizontal="center" vertical="center" wrapText="1"/>
    </xf>
    <xf numFmtId="0" fontId="80" fillId="5" borderId="28" xfId="5" applyFont="1" applyFill="1" applyBorder="1" applyAlignment="1">
      <alignment horizontal="center" vertical="center"/>
    </xf>
    <xf numFmtId="0" fontId="80" fillId="5" borderId="81" xfId="5" applyFont="1" applyFill="1" applyBorder="1" applyAlignment="1">
      <alignment horizontal="center" vertical="center"/>
    </xf>
    <xf numFmtId="0" fontId="80" fillId="5" borderId="58" xfId="5" applyFont="1" applyFill="1" applyBorder="1" applyAlignment="1">
      <alignment horizontal="center" vertical="center"/>
    </xf>
    <xf numFmtId="2" fontId="80" fillId="2" borderId="39" xfId="5" applyNumberFormat="1" applyFont="1" applyFill="1" applyBorder="1" applyAlignment="1">
      <alignment horizontal="center" vertical="center"/>
    </xf>
    <xf numFmtId="2" fontId="80" fillId="2" borderId="38" xfId="5" applyNumberFormat="1" applyFont="1" applyFill="1" applyBorder="1" applyAlignment="1">
      <alignment horizontal="center" vertical="center"/>
    </xf>
    <xf numFmtId="2" fontId="83" fillId="0" borderId="30" xfId="5" applyNumberFormat="1" applyFont="1" applyBorder="1" applyAlignment="1">
      <alignment horizontal="center" vertical="center"/>
    </xf>
    <xf numFmtId="0" fontId="80" fillId="5" borderId="30" xfId="5" applyFont="1" applyFill="1" applyBorder="1" applyAlignment="1">
      <alignment horizontal="center" vertical="center"/>
    </xf>
    <xf numFmtId="0" fontId="80" fillId="17" borderId="30" xfId="5" applyFont="1" applyFill="1" applyBorder="1" applyAlignment="1">
      <alignment horizontal="center" vertical="center"/>
    </xf>
    <xf numFmtId="2" fontId="83" fillId="2" borderId="39" xfId="5" applyNumberFormat="1" applyFont="1" applyFill="1" applyBorder="1" applyAlignment="1">
      <alignment horizontal="center" vertical="center"/>
    </xf>
    <xf numFmtId="2" fontId="83" fillId="2" borderId="38" xfId="5" applyNumberFormat="1" applyFont="1" applyFill="1" applyBorder="1" applyAlignment="1">
      <alignment horizontal="center" vertical="center"/>
    </xf>
    <xf numFmtId="0" fontId="76" fillId="8" borderId="25" xfId="5" applyFont="1" applyFill="1" applyBorder="1" applyAlignment="1">
      <alignment horizontal="center" vertical="center"/>
    </xf>
    <xf numFmtId="0" fontId="76" fillId="8" borderId="45" xfId="5" applyFont="1" applyFill="1" applyBorder="1" applyAlignment="1">
      <alignment horizontal="center" vertical="center"/>
    </xf>
    <xf numFmtId="0" fontId="76" fillId="17" borderId="86" xfId="5" applyFont="1" applyFill="1" applyBorder="1" applyAlignment="1">
      <alignment horizontal="center" vertical="center"/>
    </xf>
    <xf numFmtId="0" fontId="76" fillId="17" borderId="20" xfId="5" applyFont="1" applyFill="1" applyBorder="1" applyAlignment="1">
      <alignment horizontal="center" vertical="center"/>
    </xf>
    <xf numFmtId="0" fontId="76" fillId="17" borderId="94" xfId="5" applyFont="1" applyFill="1" applyBorder="1" applyAlignment="1">
      <alignment horizontal="center" vertical="center"/>
    </xf>
    <xf numFmtId="0" fontId="76" fillId="26" borderId="56" xfId="5" applyFont="1" applyFill="1" applyBorder="1" applyAlignment="1">
      <alignment horizontal="center" vertical="center"/>
    </xf>
    <xf numFmtId="0" fontId="76" fillId="26" borderId="71" xfId="5" applyFont="1" applyFill="1" applyBorder="1" applyAlignment="1">
      <alignment horizontal="center" vertical="center"/>
    </xf>
    <xf numFmtId="0" fontId="76" fillId="26" borderId="95" xfId="5" applyFont="1" applyFill="1" applyBorder="1" applyAlignment="1">
      <alignment horizontal="center" vertical="center"/>
    </xf>
    <xf numFmtId="0" fontId="76" fillId="8" borderId="24" xfId="5" applyFont="1" applyFill="1" applyBorder="1" applyAlignment="1">
      <alignment horizontal="center" vertical="center"/>
    </xf>
    <xf numFmtId="0" fontId="76" fillId="8" borderId="30" xfId="5" applyFont="1" applyFill="1" applyBorder="1" applyAlignment="1">
      <alignment horizontal="center" vertical="center"/>
    </xf>
    <xf numFmtId="2" fontId="81" fillId="0" borderId="36" xfId="5" applyNumberFormat="1" applyFont="1" applyBorder="1" applyAlignment="1">
      <alignment horizontal="center" vertical="center" wrapText="1"/>
    </xf>
    <xf numFmtId="2" fontId="81" fillId="0" borderId="38" xfId="5" applyNumberFormat="1" applyFont="1" applyBorder="1" applyAlignment="1">
      <alignment horizontal="center" vertical="center" wrapText="1"/>
    </xf>
    <xf numFmtId="0" fontId="76" fillId="26" borderId="36" xfId="5" applyFont="1" applyFill="1" applyBorder="1" applyAlignment="1">
      <alignment horizontal="center" vertical="center"/>
    </xf>
    <xf numFmtId="0" fontId="76" fillId="26" borderId="37" xfId="5" applyFont="1" applyFill="1" applyBorder="1" applyAlignment="1">
      <alignment horizontal="center" vertical="center"/>
    </xf>
    <xf numFmtId="0" fontId="76" fillId="26" borderId="40" xfId="5" applyFont="1" applyFill="1" applyBorder="1" applyAlignment="1">
      <alignment horizontal="center" vertical="center"/>
    </xf>
    <xf numFmtId="0" fontId="83" fillId="5" borderId="30" xfId="5" applyFont="1" applyFill="1" applyBorder="1" applyAlignment="1">
      <alignment horizontal="center"/>
    </xf>
    <xf numFmtId="2" fontId="84" fillId="0" borderId="30" xfId="5" applyNumberFormat="1" applyFont="1" applyBorder="1" applyAlignment="1">
      <alignment horizontal="center" vertical="center" wrapText="1"/>
    </xf>
    <xf numFmtId="2" fontId="84" fillId="0" borderId="30" xfId="5" applyNumberFormat="1" applyFont="1" applyBorder="1" applyAlignment="1">
      <alignment horizontal="center" vertical="center"/>
    </xf>
    <xf numFmtId="0" fontId="79" fillId="0" borderId="22" xfId="5" applyFont="1" applyBorder="1" applyAlignment="1">
      <alignment horizontal="center" vertical="center"/>
    </xf>
    <xf numFmtId="0" fontId="79" fillId="0" borderId="43" xfId="5" applyFont="1" applyBorder="1" applyAlignment="1">
      <alignment horizontal="center" vertical="center"/>
    </xf>
    <xf numFmtId="0" fontId="79" fillId="0" borderId="44" xfId="5" applyFont="1" applyBorder="1" applyAlignment="1">
      <alignment horizontal="center" vertical="center"/>
    </xf>
    <xf numFmtId="0" fontId="80" fillId="5" borderId="110" xfId="5" applyFont="1" applyFill="1" applyBorder="1" applyAlignment="1">
      <alignment horizontal="center" vertical="center" wrapText="1"/>
    </xf>
    <xf numFmtId="0" fontId="80" fillId="5" borderId="111" xfId="5" applyFont="1" applyFill="1" applyBorder="1" applyAlignment="1">
      <alignment horizontal="center" vertical="center" wrapText="1"/>
    </xf>
    <xf numFmtId="0" fontId="80" fillId="5" borderId="112" xfId="5" applyFont="1" applyFill="1" applyBorder="1" applyAlignment="1">
      <alignment horizontal="center" vertical="center" wrapText="1"/>
    </xf>
    <xf numFmtId="0" fontId="80" fillId="3" borderId="36" xfId="5" applyFont="1" applyFill="1" applyBorder="1" applyAlignment="1">
      <alignment horizontal="center" vertical="center" wrapText="1"/>
    </xf>
    <xf numFmtId="0" fontId="80" fillId="3" borderId="37" xfId="5" applyFont="1" applyFill="1" applyBorder="1" applyAlignment="1">
      <alignment horizontal="center" vertical="center" wrapText="1"/>
    </xf>
    <xf numFmtId="0" fontId="80" fillId="3" borderId="40" xfId="5" applyFont="1" applyFill="1" applyBorder="1" applyAlignment="1">
      <alignment horizontal="center" vertical="center" wrapText="1"/>
    </xf>
    <xf numFmtId="0" fontId="80" fillId="4" borderId="113" xfId="5" applyFont="1" applyFill="1" applyBorder="1" applyAlignment="1">
      <alignment horizontal="center" vertical="center"/>
    </xf>
    <xf numFmtId="0" fontId="80" fillId="4" borderId="103" xfId="5" applyFont="1" applyFill="1" applyBorder="1" applyAlignment="1">
      <alignment horizontal="center" vertical="center"/>
    </xf>
    <xf numFmtId="0" fontId="80" fillId="5" borderId="103" xfId="5" applyFont="1" applyFill="1" applyBorder="1" applyAlignment="1">
      <alignment horizontal="left" wrapText="1"/>
    </xf>
    <xf numFmtId="0" fontId="80" fillId="2" borderId="30" xfId="5" applyFont="1" applyFill="1" applyBorder="1" applyAlignment="1">
      <alignment horizontal="center" vertical="center"/>
    </xf>
    <xf numFmtId="2" fontId="83" fillId="17" borderId="30" xfId="5" applyNumberFormat="1" applyFont="1" applyFill="1" applyBorder="1" applyAlignment="1">
      <alignment horizontal="center" vertical="center"/>
    </xf>
    <xf numFmtId="0" fontId="73" fillId="0" borderId="113" xfId="4" applyFont="1" applyBorder="1" applyAlignment="1">
      <alignment horizontal="center" vertical="center" wrapText="1"/>
    </xf>
    <xf numFmtId="0" fontId="73" fillId="0" borderId="103" xfId="4" applyFont="1" applyBorder="1" applyAlignment="1">
      <alignment horizontal="center" vertical="center" wrapText="1"/>
    </xf>
    <xf numFmtId="0" fontId="73" fillId="0" borderId="104" xfId="4" applyFont="1" applyBorder="1" applyAlignment="1">
      <alignment horizontal="center" vertical="center" wrapText="1"/>
    </xf>
    <xf numFmtId="0" fontId="74" fillId="0" borderId="0" xfId="4" applyFont="1" applyAlignment="1">
      <alignment horizontal="center" vertical="center"/>
    </xf>
    <xf numFmtId="0" fontId="13" fillId="0" borderId="39" xfId="0" applyFont="1" applyBorder="1" applyAlignment="1">
      <alignment horizontal="center" vertical="center"/>
    </xf>
    <xf numFmtId="0" fontId="13" fillId="0" borderId="38" xfId="0" applyFont="1" applyBorder="1" applyAlignment="1">
      <alignment horizontal="center" vertical="center"/>
    </xf>
    <xf numFmtId="0" fontId="59" fillId="0" borderId="39" xfId="0" applyFont="1" applyBorder="1" applyAlignment="1">
      <alignment horizontal="left" vertical="center" wrapText="1"/>
    </xf>
    <xf numFmtId="0" fontId="59" fillId="0" borderId="38" xfId="0" applyFont="1" applyBorder="1" applyAlignment="1">
      <alignment horizontal="left" vertical="center" wrapText="1"/>
    </xf>
    <xf numFmtId="0" fontId="59" fillId="0" borderId="39" xfId="0" applyFont="1" applyBorder="1" applyAlignment="1">
      <alignment horizontal="left" vertical="center"/>
    </xf>
    <xf numFmtId="0" fontId="59" fillId="0" borderId="38" xfId="0" applyFont="1" applyBorder="1" applyAlignment="1">
      <alignment horizontal="left" vertical="center"/>
    </xf>
    <xf numFmtId="0" fontId="13" fillId="10" borderId="22" xfId="6" applyFont="1" applyFill="1" applyBorder="1" applyAlignment="1">
      <alignment horizontal="center" vertical="center"/>
    </xf>
    <xf numFmtId="0" fontId="13" fillId="10" borderId="43" xfId="6" applyFont="1" applyFill="1" applyBorder="1" applyAlignment="1">
      <alignment horizontal="center" vertical="center"/>
    </xf>
    <xf numFmtId="0" fontId="13" fillId="10" borderId="44" xfId="6" applyFont="1" applyFill="1" applyBorder="1" applyAlignment="1">
      <alignment horizontal="center" vertical="center"/>
    </xf>
    <xf numFmtId="0" fontId="13" fillId="10" borderId="35" xfId="6" applyFont="1" applyFill="1" applyBorder="1" applyAlignment="1">
      <alignment horizontal="center" vertical="center"/>
    </xf>
    <xf numFmtId="0" fontId="13" fillId="10" borderId="0" xfId="6" applyFont="1" applyFill="1" applyAlignment="1">
      <alignment horizontal="center" vertical="center"/>
    </xf>
    <xf numFmtId="0" fontId="13" fillId="10" borderId="29" xfId="6" applyFont="1" applyFill="1" applyBorder="1" applyAlignment="1">
      <alignment horizontal="center" vertical="center"/>
    </xf>
    <xf numFmtId="165" fontId="23" fillId="0" borderId="30" xfId="12" applyNumberFormat="1" applyFont="1" applyBorder="1" applyAlignment="1">
      <alignment horizontal="right" vertical="center"/>
    </xf>
    <xf numFmtId="165" fontId="22" fillId="0" borderId="30" xfId="12" applyNumberFormat="1" applyFont="1" applyBorder="1" applyAlignment="1">
      <alignment horizontal="left" vertical="center"/>
    </xf>
    <xf numFmtId="165" fontId="23" fillId="0" borderId="39" xfId="10" applyNumberFormat="1" applyFont="1" applyBorder="1" applyAlignment="1">
      <alignment horizontal="center" vertical="center"/>
    </xf>
    <xf numFmtId="165" fontId="23" fillId="0" borderId="38" xfId="10" applyNumberFormat="1" applyFont="1" applyBorder="1" applyAlignment="1">
      <alignment horizontal="center" vertical="center"/>
    </xf>
    <xf numFmtId="165" fontId="22" fillId="14" borderId="62" xfId="12" applyNumberFormat="1" applyFont="1" applyFill="1" applyBorder="1" applyAlignment="1">
      <alignment horizontal="right" vertical="center"/>
    </xf>
    <xf numFmtId="165" fontId="22" fillId="14" borderId="83" xfId="12" applyNumberFormat="1" applyFont="1" applyFill="1" applyBorder="1" applyAlignment="1">
      <alignment horizontal="right" vertical="center"/>
    </xf>
    <xf numFmtId="165" fontId="22" fillId="14" borderId="60" xfId="12" applyNumberFormat="1" applyFont="1" applyFill="1" applyBorder="1" applyAlignment="1">
      <alignment horizontal="right" vertical="center"/>
    </xf>
    <xf numFmtId="0" fontId="22" fillId="0" borderId="56" xfId="0" applyFont="1" applyBorder="1" applyAlignment="1">
      <alignment horizontal="center" vertical="center"/>
    </xf>
    <xf numFmtId="0" fontId="22" fillId="0" borderId="71" xfId="0" applyFont="1" applyBorder="1" applyAlignment="1">
      <alignment horizontal="center" vertical="center"/>
    </xf>
    <xf numFmtId="0" fontId="22" fillId="0" borderId="95" xfId="0" applyFont="1" applyBorder="1" applyAlignment="1">
      <alignment horizontal="center" vertical="center"/>
    </xf>
    <xf numFmtId="0" fontId="22" fillId="0" borderId="24" xfId="0" applyFont="1" applyBorder="1" applyAlignment="1">
      <alignment horizontal="right" vertical="center"/>
    </xf>
    <xf numFmtId="0" fontId="22" fillId="0" borderId="30" xfId="0" applyFont="1" applyBorder="1" applyAlignment="1">
      <alignment horizontal="right" vertical="center"/>
    </xf>
    <xf numFmtId="165" fontId="22" fillId="0" borderId="56" xfId="12" applyNumberFormat="1" applyFont="1" applyBorder="1" applyAlignment="1">
      <alignment horizontal="center" vertical="center"/>
    </xf>
    <xf numFmtId="165" fontId="22" fillId="0" borderId="71" xfId="12" applyNumberFormat="1" applyFont="1" applyBorder="1" applyAlignment="1">
      <alignment horizontal="center" vertical="center"/>
    </xf>
    <xf numFmtId="165" fontId="22" fillId="0" borderId="95" xfId="12" applyNumberFormat="1" applyFont="1" applyBorder="1" applyAlignment="1">
      <alignment horizontal="center" vertical="center"/>
    </xf>
    <xf numFmtId="165" fontId="23" fillId="0" borderId="39" xfId="12" applyNumberFormat="1" applyFont="1" applyBorder="1" applyAlignment="1">
      <alignment horizontal="center" vertical="center"/>
    </xf>
    <xf numFmtId="165" fontId="23" fillId="0" borderId="37" xfId="12" applyNumberFormat="1" applyFont="1" applyBorder="1" applyAlignment="1">
      <alignment horizontal="center" vertical="center"/>
    </xf>
    <xf numFmtId="165" fontId="23" fillId="0" borderId="40" xfId="12" applyNumberFormat="1" applyFont="1" applyBorder="1" applyAlignment="1">
      <alignment horizontal="center" vertical="center"/>
    </xf>
    <xf numFmtId="0" fontId="61" fillId="9" borderId="30" xfId="0" applyFont="1" applyFill="1" applyBorder="1" applyAlignment="1">
      <alignment horizontal="center" vertical="center"/>
    </xf>
    <xf numFmtId="165" fontId="21" fillId="18" borderId="47" xfId="12" applyNumberFormat="1" applyFont="1" applyFill="1" applyBorder="1" applyAlignment="1">
      <alignment horizontal="center" vertical="top" wrapText="1"/>
    </xf>
    <xf numFmtId="165" fontId="21" fillId="18" borderId="51" xfId="12" applyNumberFormat="1" applyFont="1" applyFill="1" applyBorder="1" applyAlignment="1">
      <alignment horizontal="center" vertical="top" wrapText="1"/>
    </xf>
    <xf numFmtId="165" fontId="21" fillId="18" borderId="96" xfId="12" applyNumberFormat="1" applyFont="1" applyFill="1" applyBorder="1" applyAlignment="1">
      <alignment horizontal="center" vertical="top" wrapText="1"/>
    </xf>
    <xf numFmtId="1" fontId="21" fillId="0" borderId="73" xfId="0" applyNumberFormat="1" applyFont="1" applyBorder="1" applyAlignment="1">
      <alignment horizontal="center" vertical="center" wrapText="1"/>
    </xf>
    <xf numFmtId="1" fontId="21" fillId="0" borderId="84" xfId="0" applyNumberFormat="1" applyFont="1" applyBorder="1" applyAlignment="1">
      <alignment horizontal="center" vertical="center" wrapText="1"/>
    </xf>
    <xf numFmtId="1" fontId="21" fillId="0" borderId="85" xfId="0" applyNumberFormat="1" applyFont="1" applyBorder="1" applyAlignment="1">
      <alignment horizontal="center" vertical="center" wrapText="1"/>
    </xf>
    <xf numFmtId="0" fontId="22" fillId="0" borderId="24" xfId="0" applyFont="1" applyBorder="1" applyAlignment="1">
      <alignment horizontal="center" vertical="center"/>
    </xf>
    <xf numFmtId="0" fontId="22" fillId="0" borderId="30" xfId="0" applyFont="1" applyBorder="1" applyAlignment="1">
      <alignment horizontal="center" vertical="center"/>
    </xf>
    <xf numFmtId="0" fontId="22" fillId="0" borderId="31" xfId="0" applyFont="1" applyBorder="1" applyAlignment="1">
      <alignment horizontal="center" vertical="center"/>
    </xf>
    <xf numFmtId="0" fontId="22" fillId="0" borderId="56" xfId="0" applyFont="1" applyBorder="1" applyAlignment="1">
      <alignment horizontal="center" vertical="center" wrapText="1"/>
    </xf>
    <xf numFmtId="0" fontId="22" fillId="0" borderId="71" xfId="0" applyFont="1" applyBorder="1" applyAlignment="1">
      <alignment horizontal="center" vertical="center" wrapText="1"/>
    </xf>
    <xf numFmtId="0" fontId="22" fillId="0" borderId="95" xfId="0" applyFont="1" applyBorder="1" applyAlignment="1">
      <alignment horizontal="center" vertical="center" wrapText="1"/>
    </xf>
    <xf numFmtId="165" fontId="21" fillId="18" borderId="54" xfId="12" applyNumberFormat="1" applyFont="1" applyFill="1" applyBorder="1" applyAlignment="1">
      <alignment horizontal="left" vertical="center"/>
    </xf>
    <xf numFmtId="165" fontId="21" fillId="18" borderId="84" xfId="12" applyNumberFormat="1" applyFont="1" applyFill="1" applyBorder="1" applyAlignment="1">
      <alignment horizontal="left" vertical="center"/>
    </xf>
    <xf numFmtId="165" fontId="21" fillId="18" borderId="97" xfId="12" applyNumberFormat="1" applyFont="1" applyFill="1" applyBorder="1" applyAlignment="1">
      <alignment horizontal="left" vertical="center"/>
    </xf>
    <xf numFmtId="0" fontId="21" fillId="10" borderId="35" xfId="6" applyFont="1" applyFill="1" applyBorder="1" applyAlignment="1">
      <alignment horizontal="center" vertical="center"/>
    </xf>
    <xf numFmtId="0" fontId="21" fillId="10" borderId="0" xfId="6" applyFont="1" applyFill="1" applyAlignment="1">
      <alignment horizontal="center" vertical="center"/>
    </xf>
    <xf numFmtId="0" fontId="21" fillId="10" borderId="29" xfId="6" applyFont="1" applyFill="1" applyBorder="1" applyAlignment="1">
      <alignment horizontal="center" vertical="center"/>
    </xf>
    <xf numFmtId="1" fontId="13" fillId="0" borderId="91" xfId="0" applyNumberFormat="1" applyFont="1" applyBorder="1" applyAlignment="1">
      <alignment horizontal="center" vertical="center" wrapText="1"/>
    </xf>
    <xf numFmtId="1" fontId="13" fillId="0" borderId="0" xfId="0" applyNumberFormat="1" applyFont="1" applyAlignment="1">
      <alignment horizontal="center" vertical="center" wrapText="1"/>
    </xf>
    <xf numFmtId="1" fontId="13" fillId="0" borderId="29" xfId="0" applyNumberFormat="1" applyFont="1" applyBorder="1" applyAlignment="1">
      <alignment horizontal="center" vertical="center" wrapText="1"/>
    </xf>
    <xf numFmtId="0" fontId="21" fillId="10" borderId="51" xfId="6" applyFont="1" applyFill="1" applyBorder="1" applyAlignment="1">
      <alignment horizontal="center" vertical="center"/>
    </xf>
    <xf numFmtId="0" fontId="21" fillId="10" borderId="52" xfId="6" applyFont="1" applyFill="1" applyBorder="1" applyAlignment="1">
      <alignment horizontal="center" vertical="center"/>
    </xf>
    <xf numFmtId="0" fontId="71" fillId="8" borderId="205" xfId="36" applyFont="1" applyFill="1" applyBorder="1" applyAlignment="1">
      <alignment horizontal="left" vertical="center" wrapText="1"/>
    </xf>
    <xf numFmtId="0" fontId="71" fillId="8" borderId="206" xfId="36" applyFont="1" applyFill="1" applyBorder="1" applyAlignment="1">
      <alignment horizontal="left" vertical="center" wrapText="1"/>
    </xf>
    <xf numFmtId="0" fontId="71" fillId="8" borderId="207" xfId="36" applyFont="1" applyFill="1" applyBorder="1" applyAlignment="1">
      <alignment horizontal="left" vertical="center" wrapText="1"/>
    </xf>
    <xf numFmtId="0" fontId="71" fillId="8" borderId="191" xfId="36" applyFont="1" applyFill="1" applyBorder="1" applyAlignment="1">
      <alignment horizontal="left" vertical="center" wrapText="1"/>
    </xf>
    <xf numFmtId="0" fontId="71" fillId="8" borderId="192" xfId="36" applyFont="1" applyFill="1" applyBorder="1" applyAlignment="1">
      <alignment horizontal="left" vertical="center" wrapText="1"/>
    </xf>
    <xf numFmtId="0" fontId="71" fillId="13" borderId="174" xfId="36" applyFont="1" applyFill="1" applyBorder="1" applyAlignment="1">
      <alignment horizontal="center" vertical="center" wrapText="1"/>
    </xf>
    <xf numFmtId="0" fontId="71" fillId="13" borderId="175" xfId="36" applyFont="1" applyFill="1" applyBorder="1" applyAlignment="1">
      <alignment horizontal="center" vertical="center" wrapText="1"/>
    </xf>
    <xf numFmtId="0" fontId="71" fillId="13" borderId="176" xfId="36" applyFont="1" applyFill="1" applyBorder="1" applyAlignment="1">
      <alignment horizontal="center" vertical="center" wrapText="1"/>
    </xf>
    <xf numFmtId="0" fontId="93" fillId="0" borderId="201" xfId="36" applyFont="1" applyBorder="1" applyAlignment="1">
      <alignment horizontal="center" vertical="center" wrapText="1"/>
    </xf>
    <xf numFmtId="0" fontId="93" fillId="0" borderId="171" xfId="36" applyFont="1" applyBorder="1" applyAlignment="1">
      <alignment horizontal="center" vertical="center" wrapText="1"/>
    </xf>
    <xf numFmtId="0" fontId="93" fillId="0" borderId="202" xfId="36" applyFont="1" applyBorder="1" applyAlignment="1">
      <alignment horizontal="center" vertical="center" wrapText="1"/>
    </xf>
    <xf numFmtId="0" fontId="4" fillId="0" borderId="178" xfId="36" applyFont="1" applyBorder="1" applyAlignment="1">
      <alignment horizontal="center" vertical="center" wrapText="1"/>
    </xf>
    <xf numFmtId="0" fontId="4" fillId="0" borderId="179" xfId="36" applyFont="1" applyBorder="1" applyAlignment="1">
      <alignment horizontal="center" vertical="center" wrapText="1"/>
    </xf>
    <xf numFmtId="0" fontId="4" fillId="0" borderId="180" xfId="36" applyFont="1" applyBorder="1" applyAlignment="1">
      <alignment horizontal="center" vertical="center" wrapText="1"/>
    </xf>
    <xf numFmtId="0" fontId="4" fillId="0" borderId="184" xfId="36" applyFont="1" applyBorder="1" applyAlignment="1">
      <alignment horizontal="center" vertical="center" wrapText="1"/>
    </xf>
    <xf numFmtId="0" fontId="4" fillId="0" borderId="121" xfId="36" applyFont="1" applyBorder="1" applyAlignment="1">
      <alignment horizontal="center" vertical="center" wrapText="1"/>
    </xf>
    <xf numFmtId="0" fontId="4" fillId="0" borderId="185" xfId="36" applyFont="1" applyBorder="1" applyAlignment="1">
      <alignment horizontal="center" vertical="center" wrapText="1"/>
    </xf>
    <xf numFmtId="0" fontId="93" fillId="0" borderId="191" xfId="36" applyFont="1" applyBorder="1" applyAlignment="1">
      <alignment horizontal="center" vertical="center" wrapText="1"/>
    </xf>
    <xf numFmtId="0" fontId="93" fillId="0" borderId="192" xfId="36" applyFont="1" applyBorder="1" applyAlignment="1">
      <alignment horizontal="center" vertical="center" wrapText="1"/>
    </xf>
    <xf numFmtId="0" fontId="93" fillId="0" borderId="193" xfId="36" applyFont="1" applyBorder="1" applyAlignment="1">
      <alignment horizontal="center" vertical="center" wrapText="1"/>
    </xf>
    <xf numFmtId="0" fontId="71" fillId="0" borderId="187" xfId="36" applyFont="1" applyBorder="1" applyAlignment="1">
      <alignment horizontal="right" vertical="center" wrapText="1"/>
    </xf>
    <xf numFmtId="0" fontId="71" fillId="0" borderId="125" xfId="36" applyFont="1" applyBorder="1" applyAlignment="1">
      <alignment horizontal="right" vertical="center" wrapText="1"/>
    </xf>
    <xf numFmtId="0" fontId="71" fillId="0" borderId="188" xfId="36" applyFont="1" applyBorder="1" applyAlignment="1">
      <alignment horizontal="right" vertical="center" wrapText="1"/>
    </xf>
    <xf numFmtId="0" fontId="71" fillId="8" borderId="168" xfId="36" applyFont="1" applyFill="1" applyBorder="1" applyAlignment="1">
      <alignment horizontal="center" vertical="center" wrapText="1"/>
    </xf>
    <xf numFmtId="0" fontId="71" fillId="8" borderId="173" xfId="36" applyFont="1" applyFill="1" applyBorder="1" applyAlignment="1">
      <alignment horizontal="center" vertical="center" wrapText="1"/>
    </xf>
    <xf numFmtId="49" fontId="76" fillId="0" borderId="0" xfId="33" applyNumberFormat="1" applyFont="1" applyFill="1" applyBorder="1" applyAlignment="1" applyProtection="1">
      <alignment horizontal="center" vertical="top"/>
    </xf>
    <xf numFmtId="175" fontId="76" fillId="0" borderId="0" xfId="33" applyFont="1" applyFill="1" applyBorder="1" applyAlignment="1" applyProtection="1">
      <alignment horizontal="center" vertical="top" wrapText="1"/>
    </xf>
    <xf numFmtId="0" fontId="83" fillId="17" borderId="86" xfId="36" applyFont="1" applyFill="1" applyBorder="1" applyAlignment="1">
      <alignment horizontal="center" vertical="center"/>
    </xf>
    <xf numFmtId="0" fontId="83" fillId="17" borderId="20" xfId="36" applyFont="1" applyFill="1" applyBorder="1" applyAlignment="1">
      <alignment horizontal="center" vertical="center"/>
    </xf>
    <xf numFmtId="0" fontId="83" fillId="17" borderId="94" xfId="36" applyFont="1" applyFill="1" applyBorder="1" applyAlignment="1">
      <alignment horizontal="center" vertical="center"/>
    </xf>
    <xf numFmtId="0" fontId="76" fillId="8" borderId="160" xfId="36" applyFont="1" applyFill="1" applyBorder="1" applyAlignment="1">
      <alignment horizontal="center" vertical="center" wrapText="1"/>
    </xf>
    <xf numFmtId="0" fontId="76" fillId="8" borderId="161" xfId="36" applyFont="1" applyFill="1" applyBorder="1" applyAlignment="1">
      <alignment horizontal="center" vertical="center" wrapText="1"/>
    </xf>
    <xf numFmtId="0" fontId="76" fillId="8" borderId="162" xfId="36" applyFont="1" applyFill="1" applyBorder="1" applyAlignment="1">
      <alignment horizontal="center" vertical="center" wrapText="1"/>
    </xf>
    <xf numFmtId="0" fontId="76" fillId="8" borderId="49" xfId="36" applyFont="1" applyFill="1" applyBorder="1" applyAlignment="1">
      <alignment horizontal="center" vertical="center" wrapText="1"/>
    </xf>
    <xf numFmtId="0" fontId="76" fillId="8" borderId="71" xfId="36" applyFont="1" applyFill="1" applyBorder="1" applyAlignment="1">
      <alignment horizontal="center" vertical="center" wrapText="1"/>
    </xf>
    <xf numFmtId="0" fontId="76" fillId="8" borderId="64" xfId="36" applyFont="1" applyFill="1" applyBorder="1" applyAlignment="1">
      <alignment horizontal="center" vertical="center" wrapText="1"/>
    </xf>
    <xf numFmtId="0" fontId="71" fillId="8" borderId="160" xfId="36" applyFont="1" applyFill="1" applyBorder="1" applyAlignment="1">
      <alignment horizontal="right" vertical="center" wrapText="1"/>
    </xf>
    <xf numFmtId="0" fontId="71" fillId="8" borderId="49" xfId="36" applyFont="1" applyFill="1" applyBorder="1" applyAlignment="1">
      <alignment horizontal="right" vertical="center" wrapText="1"/>
    </xf>
    <xf numFmtId="10" fontId="71" fillId="8" borderId="162" xfId="38" applyNumberFormat="1" applyFont="1" applyFill="1" applyBorder="1" applyAlignment="1">
      <alignment horizontal="center" vertical="center" wrapText="1"/>
    </xf>
    <xf numFmtId="10" fontId="71" fillId="8" borderId="64" xfId="38" applyNumberFormat="1" applyFont="1" applyFill="1" applyBorder="1" applyAlignment="1">
      <alignment horizontal="center" vertical="center" wrapText="1"/>
    </xf>
    <xf numFmtId="0" fontId="71" fillId="8" borderId="167" xfId="36" applyFont="1" applyFill="1" applyBorder="1" applyAlignment="1">
      <alignment horizontal="center" vertical="center" wrapText="1"/>
    </xf>
    <xf numFmtId="0" fontId="71" fillId="8" borderId="169" xfId="36" applyFont="1" applyFill="1" applyBorder="1" applyAlignment="1">
      <alignment horizontal="center" vertical="center" wrapText="1"/>
    </xf>
    <xf numFmtId="0" fontId="71" fillId="8" borderId="113" xfId="36" applyFont="1" applyFill="1" applyBorder="1" applyAlignment="1">
      <alignment horizontal="center" vertical="center" wrapText="1"/>
    </xf>
    <xf numFmtId="0" fontId="71" fillId="8" borderId="103" xfId="36" applyFont="1" applyFill="1" applyBorder="1" applyAlignment="1">
      <alignment horizontal="center" vertical="center" wrapText="1"/>
    </xf>
    <xf numFmtId="0" fontId="71" fillId="8" borderId="104" xfId="36" applyFont="1" applyFill="1" applyBorder="1" applyAlignment="1">
      <alignment horizontal="center" vertical="center" wrapText="1"/>
    </xf>
    <xf numFmtId="0" fontId="71" fillId="8" borderId="170" xfId="36" applyFont="1" applyFill="1" applyBorder="1" applyAlignment="1">
      <alignment horizontal="center" vertical="center" wrapText="1"/>
    </xf>
    <xf numFmtId="0" fontId="71" fillId="8" borderId="171" xfId="36" applyFont="1" applyFill="1" applyBorder="1" applyAlignment="1">
      <alignment horizontal="center" vertical="center" wrapText="1"/>
    </xf>
    <xf numFmtId="0" fontId="71" fillId="8" borderId="172" xfId="36" applyFont="1" applyFill="1" applyBorder="1" applyAlignment="1">
      <alignment horizontal="center" vertical="center" wrapText="1"/>
    </xf>
    <xf numFmtId="0" fontId="71" fillId="8" borderId="45" xfId="36" applyFont="1" applyFill="1" applyBorder="1" applyAlignment="1">
      <alignment horizontal="center" vertical="center" wrapText="1"/>
    </xf>
    <xf numFmtId="0" fontId="71" fillId="8" borderId="59" xfId="36" applyFont="1" applyFill="1" applyBorder="1" applyAlignment="1">
      <alignment horizontal="center" vertical="center" wrapText="1"/>
    </xf>
    <xf numFmtId="0" fontId="21" fillId="10" borderId="43" xfId="6" applyFont="1" applyFill="1" applyBorder="1" applyAlignment="1">
      <alignment horizontal="center" vertical="center"/>
    </xf>
    <xf numFmtId="0" fontId="21" fillId="10" borderId="44" xfId="6" applyFont="1" applyFill="1" applyBorder="1" applyAlignment="1">
      <alignment horizontal="center" vertical="center"/>
    </xf>
    <xf numFmtId="14" fontId="64" fillId="0" borderId="30" xfId="0" applyNumberFormat="1" applyFont="1" applyBorder="1" applyAlignment="1">
      <alignment horizontal="center" vertical="center"/>
    </xf>
    <xf numFmtId="0" fontId="64" fillId="0" borderId="30" xfId="0" applyFont="1" applyBorder="1" applyAlignment="1">
      <alignment horizontal="center" vertical="center"/>
    </xf>
    <xf numFmtId="0" fontId="65" fillId="0" borderId="30" xfId="0" applyFont="1" applyBorder="1" applyAlignment="1">
      <alignment horizontal="right" vertical="center"/>
    </xf>
    <xf numFmtId="0" fontId="22" fillId="0" borderId="39" xfId="0" applyFont="1" applyBorder="1" applyAlignment="1">
      <alignment horizontal="center" vertical="center"/>
    </xf>
    <xf numFmtId="0" fontId="22" fillId="0" borderId="38" xfId="0" applyFont="1" applyBorder="1" applyAlignment="1">
      <alignment horizontal="center" vertical="center"/>
    </xf>
    <xf numFmtId="0" fontId="65" fillId="9" borderId="30" xfId="0" applyFont="1" applyFill="1" applyBorder="1" applyAlignment="1">
      <alignment horizontal="center" vertical="center"/>
    </xf>
    <xf numFmtId="165" fontId="21" fillId="0" borderId="24" xfId="12" applyNumberFormat="1" applyFont="1" applyBorder="1" applyAlignment="1">
      <alignment horizontal="right" vertical="center"/>
    </xf>
    <xf numFmtId="165" fontId="21" fillId="0" borderId="30" xfId="12" applyNumberFormat="1" applyFont="1" applyBorder="1" applyAlignment="1">
      <alignment horizontal="right" vertical="center"/>
    </xf>
    <xf numFmtId="165" fontId="13" fillId="0" borderId="39" xfId="12" applyNumberFormat="1" applyFont="1" applyBorder="1" applyAlignment="1">
      <alignment horizontal="right" vertical="center"/>
    </xf>
    <xf numFmtId="165" fontId="13" fillId="0" borderId="37" xfId="12" applyNumberFormat="1" applyFont="1" applyBorder="1" applyAlignment="1">
      <alignment horizontal="right" vertical="center"/>
    </xf>
    <xf numFmtId="165" fontId="13" fillId="0" borderId="40" xfId="12" applyNumberFormat="1" applyFont="1" applyBorder="1" applyAlignment="1">
      <alignment horizontal="right" vertical="center"/>
    </xf>
    <xf numFmtId="0" fontId="63" fillId="10" borderId="35" xfId="0" applyFont="1" applyFill="1" applyBorder="1" applyAlignment="1">
      <alignment horizontal="center"/>
    </xf>
    <xf numFmtId="0" fontId="63" fillId="10" borderId="0" xfId="0" applyFont="1" applyFill="1" applyAlignment="1">
      <alignment horizontal="center"/>
    </xf>
    <xf numFmtId="0" fontId="63" fillId="10" borderId="29" xfId="0" applyFont="1" applyFill="1" applyBorder="1" applyAlignment="1">
      <alignment horizontal="center"/>
    </xf>
    <xf numFmtId="0" fontId="55" fillId="10" borderId="29" xfId="0" applyFont="1" applyFill="1" applyBorder="1" applyAlignment="1">
      <alignment horizontal="center"/>
    </xf>
    <xf numFmtId="0" fontId="55" fillId="10" borderId="35" xfId="0" applyFont="1" applyFill="1" applyBorder="1" applyAlignment="1">
      <alignment horizontal="center" vertical="center"/>
    </xf>
    <xf numFmtId="0" fontId="55" fillId="10" borderId="0" xfId="0" applyFont="1" applyFill="1" applyAlignment="1">
      <alignment horizontal="center" vertical="center"/>
    </xf>
    <xf numFmtId="0" fontId="55" fillId="10" borderId="29" xfId="0" applyFont="1" applyFill="1" applyBorder="1" applyAlignment="1">
      <alignment horizontal="center" vertical="center"/>
    </xf>
    <xf numFmtId="0" fontId="56" fillId="10" borderId="23" xfId="0" applyFont="1" applyFill="1" applyBorder="1" applyAlignment="1">
      <alignment horizontal="center" vertical="center"/>
    </xf>
    <xf numFmtId="0" fontId="56" fillId="10" borderId="51" xfId="0" applyFont="1" applyFill="1" applyBorder="1" applyAlignment="1">
      <alignment horizontal="center" vertical="center"/>
    </xf>
    <xf numFmtId="0" fontId="56" fillId="10" borderId="52" xfId="0" applyFont="1" applyFill="1" applyBorder="1" applyAlignment="1">
      <alignment horizontal="center" vertical="center"/>
    </xf>
    <xf numFmtId="0" fontId="21" fillId="0" borderId="24" xfId="6" applyFont="1" applyBorder="1" applyAlignment="1">
      <alignment horizontal="center" vertical="center"/>
    </xf>
    <xf numFmtId="0" fontId="21" fillId="0" borderId="30" xfId="6" applyFont="1" applyBorder="1" applyAlignment="1">
      <alignment horizontal="center" vertical="center"/>
    </xf>
    <xf numFmtId="0" fontId="21" fillId="0" borderId="31" xfId="6" applyFont="1" applyBorder="1" applyAlignment="1">
      <alignment horizontal="center" vertical="center"/>
    </xf>
    <xf numFmtId="165" fontId="21" fillId="18" borderId="35" xfId="12" applyNumberFormat="1" applyFont="1" applyFill="1" applyBorder="1" applyAlignment="1">
      <alignment horizontal="center" vertical="center" wrapText="1"/>
    </xf>
    <xf numFmtId="165" fontId="21" fillId="18" borderId="23" xfId="12" applyNumberFormat="1" applyFont="1" applyFill="1" applyBorder="1" applyAlignment="1">
      <alignment horizontal="center" vertical="center" wrapText="1"/>
    </xf>
    <xf numFmtId="165" fontId="21" fillId="18" borderId="48" xfId="12" applyNumberFormat="1" applyFont="1" applyFill="1" applyBorder="1" applyAlignment="1">
      <alignment horizontal="left" vertical="center" wrapText="1"/>
    </xf>
    <xf numFmtId="165" fontId="21" fillId="18" borderId="0" xfId="12" applyNumberFormat="1" applyFont="1" applyFill="1" applyAlignment="1">
      <alignment horizontal="left" vertical="center" wrapText="1"/>
    </xf>
    <xf numFmtId="165" fontId="21" fillId="18" borderId="98" xfId="12" applyNumberFormat="1" applyFont="1" applyFill="1" applyBorder="1" applyAlignment="1">
      <alignment horizontal="left" vertical="center" wrapText="1"/>
    </xf>
    <xf numFmtId="165" fontId="21" fillId="18" borderId="47" xfId="12" applyNumberFormat="1" applyFont="1" applyFill="1" applyBorder="1" applyAlignment="1">
      <alignment horizontal="left" vertical="center" wrapText="1"/>
    </xf>
    <xf numFmtId="165" fontId="21" fillId="18" borderId="51" xfId="12" applyNumberFormat="1" applyFont="1" applyFill="1" applyBorder="1" applyAlignment="1">
      <alignment horizontal="left" vertical="center" wrapText="1"/>
    </xf>
    <xf numFmtId="165" fontId="21" fillId="18" borderId="96" xfId="12" applyNumberFormat="1" applyFont="1" applyFill="1" applyBorder="1" applyAlignment="1">
      <alignment horizontal="left" vertical="center" wrapText="1"/>
    </xf>
    <xf numFmtId="165" fontId="21" fillId="0" borderId="99" xfId="12" applyNumberFormat="1" applyFont="1" applyBorder="1" applyAlignment="1">
      <alignment horizontal="center" vertical="center" wrapText="1"/>
    </xf>
    <xf numFmtId="165" fontId="21" fillId="0" borderId="100" xfId="12" applyNumberFormat="1" applyFont="1" applyBorder="1" applyAlignment="1">
      <alignment horizontal="center" vertical="center" wrapText="1"/>
    </xf>
    <xf numFmtId="165" fontId="21" fillId="0" borderId="101" xfId="12" applyNumberFormat="1" applyFont="1" applyBorder="1" applyAlignment="1">
      <alignment horizontal="center" vertical="center" wrapText="1"/>
    </xf>
    <xf numFmtId="165" fontId="21" fillId="0" borderId="36" xfId="12" applyNumberFormat="1" applyFont="1" applyBorder="1" applyAlignment="1">
      <alignment horizontal="right" vertical="center"/>
    </xf>
    <xf numFmtId="165" fontId="21" fillId="0" borderId="37" xfId="12" applyNumberFormat="1" applyFont="1" applyBorder="1" applyAlignment="1">
      <alignment horizontal="right" vertical="center"/>
    </xf>
    <xf numFmtId="165" fontId="21" fillId="0" borderId="38" xfId="12" applyNumberFormat="1" applyFont="1" applyBorder="1" applyAlignment="1">
      <alignment horizontal="right" vertical="center"/>
    </xf>
    <xf numFmtId="165" fontId="13" fillId="0" borderId="91" xfId="12" applyNumberFormat="1" applyFont="1" applyBorder="1" applyAlignment="1">
      <alignment horizontal="center" vertical="center" wrapText="1"/>
    </xf>
    <xf numFmtId="165" fontId="13" fillId="0" borderId="0" xfId="12" applyNumberFormat="1" applyFont="1" applyAlignment="1">
      <alignment horizontal="center" vertical="center" wrapText="1"/>
    </xf>
    <xf numFmtId="165" fontId="13" fillId="0" borderId="29" xfId="12" applyNumberFormat="1" applyFont="1" applyBorder="1" applyAlignment="1">
      <alignment horizontal="center" vertical="center" wrapText="1"/>
    </xf>
    <xf numFmtId="0" fontId="21" fillId="0" borderId="56" xfId="6" applyFont="1" applyBorder="1" applyAlignment="1">
      <alignment horizontal="center" vertical="center"/>
    </xf>
    <xf numFmtId="0" fontId="21" fillId="0" borderId="71" xfId="6" applyFont="1" applyBorder="1" applyAlignment="1">
      <alignment horizontal="center" vertical="center"/>
    </xf>
    <xf numFmtId="0" fontId="21" fillId="0" borderId="95" xfId="6" applyFont="1" applyBorder="1" applyAlignment="1">
      <alignment horizontal="center" vertical="center"/>
    </xf>
    <xf numFmtId="165" fontId="21" fillId="14" borderId="33" xfId="12" applyNumberFormat="1" applyFont="1" applyFill="1" applyBorder="1" applyAlignment="1">
      <alignment horizontal="left" vertical="center"/>
    </xf>
    <xf numFmtId="165" fontId="21" fillId="0" borderId="56" xfId="12" applyNumberFormat="1" applyFont="1" applyBorder="1" applyAlignment="1">
      <alignment horizontal="center" vertical="center"/>
    </xf>
    <xf numFmtId="165" fontId="21" fillId="0" borderId="71" xfId="12" applyNumberFormat="1" applyFont="1" applyBorder="1" applyAlignment="1">
      <alignment horizontal="center" vertical="center"/>
    </xf>
    <xf numFmtId="165" fontId="21" fillId="0" borderId="95" xfId="12" applyNumberFormat="1" applyFont="1" applyBorder="1" applyAlignment="1">
      <alignment horizontal="center" vertical="center"/>
    </xf>
    <xf numFmtId="165" fontId="13" fillId="0" borderId="30" xfId="12" applyNumberFormat="1" applyFont="1" applyBorder="1" applyAlignment="1">
      <alignment horizontal="left" vertical="center"/>
    </xf>
    <xf numFmtId="165" fontId="21" fillId="0" borderId="30" xfId="12" applyNumberFormat="1" applyFont="1" applyBorder="1" applyAlignment="1">
      <alignment horizontal="left" vertical="center"/>
    </xf>
    <xf numFmtId="1" fontId="13" fillId="0" borderId="91" xfId="2" applyNumberFormat="1" applyFont="1" applyBorder="1" applyAlignment="1">
      <alignment horizontal="center" vertical="center" wrapText="1"/>
    </xf>
    <xf numFmtId="1" fontId="13" fillId="0" borderId="0" xfId="2" applyNumberFormat="1" applyFont="1" applyAlignment="1">
      <alignment horizontal="center" vertical="center" wrapText="1"/>
    </xf>
    <xf numFmtId="1" fontId="13" fillId="0" borderId="29" xfId="2" applyNumberFormat="1" applyFont="1" applyBorder="1" applyAlignment="1">
      <alignment horizontal="center" vertical="center" wrapText="1"/>
    </xf>
    <xf numFmtId="1" fontId="21" fillId="0" borderId="73" xfId="2" applyNumberFormat="1" applyFont="1" applyBorder="1" applyAlignment="1">
      <alignment horizontal="center" vertical="center" wrapText="1"/>
    </xf>
    <xf numFmtId="1" fontId="21" fillId="0" borderId="84" xfId="2" applyNumberFormat="1" applyFont="1" applyBorder="1" applyAlignment="1">
      <alignment horizontal="center" vertical="center" wrapText="1"/>
    </xf>
    <xf numFmtId="1" fontId="21" fillId="0" borderId="85" xfId="2" applyNumberFormat="1" applyFont="1" applyBorder="1" applyAlignment="1">
      <alignment horizontal="center" vertical="center" wrapText="1"/>
    </xf>
    <xf numFmtId="0" fontId="22" fillId="0" borderId="24" xfId="2" applyFont="1" applyBorder="1" applyAlignment="1">
      <alignment horizontal="center" vertical="center"/>
    </xf>
    <xf numFmtId="0" fontId="22" fillId="0" borderId="30" xfId="2" applyFont="1" applyBorder="1" applyAlignment="1">
      <alignment horizontal="center" vertical="center"/>
    </xf>
    <xf numFmtId="0" fontId="22" fillId="0" borderId="31" xfId="2" applyFont="1" applyBorder="1" applyAlignment="1">
      <alignment horizontal="center" vertical="center"/>
    </xf>
    <xf numFmtId="0" fontId="22" fillId="0" borderId="24" xfId="2" applyFont="1" applyBorder="1" applyAlignment="1">
      <alignment horizontal="right" vertical="center"/>
    </xf>
    <xf numFmtId="0" fontId="22" fillId="0" borderId="30" xfId="2" applyFont="1" applyBorder="1" applyAlignment="1">
      <alignment horizontal="right" vertical="center"/>
    </xf>
    <xf numFmtId="0" fontId="22" fillId="0" borderId="56" xfId="2" applyFont="1" applyBorder="1" applyAlignment="1">
      <alignment horizontal="center" vertical="center" wrapText="1"/>
    </xf>
    <xf numFmtId="0" fontId="22" fillId="0" borderId="71" xfId="2" applyFont="1" applyBorder="1" applyAlignment="1">
      <alignment horizontal="center" vertical="center" wrapText="1"/>
    </xf>
    <xf numFmtId="0" fontId="22" fillId="0" borderId="95" xfId="2" applyFont="1" applyBorder="1" applyAlignment="1">
      <alignment horizontal="center" vertical="center" wrapText="1"/>
    </xf>
    <xf numFmtId="0" fontId="22" fillId="0" borderId="56" xfId="2" applyFont="1" applyBorder="1" applyAlignment="1">
      <alignment horizontal="center" vertical="center"/>
    </xf>
    <xf numFmtId="0" fontId="22" fillId="0" borderId="71" xfId="2" applyFont="1" applyBorder="1" applyAlignment="1">
      <alignment horizontal="center" vertical="center"/>
    </xf>
    <xf numFmtId="0" fontId="22" fillId="0" borderId="95" xfId="2" applyFont="1" applyBorder="1" applyAlignment="1">
      <alignment horizontal="center" vertical="center"/>
    </xf>
    <xf numFmtId="0" fontId="152" fillId="0" borderId="184" xfId="0" applyFont="1" applyBorder="1" applyAlignment="1">
      <alignment horizontal="left" wrapText="1"/>
    </xf>
    <xf numFmtId="0" fontId="152" fillId="0" borderId="185" xfId="0" applyFont="1" applyBorder="1" applyAlignment="1">
      <alignment horizontal="left" wrapText="1"/>
    </xf>
    <xf numFmtId="197" fontId="152" fillId="4" borderId="186" xfId="26" applyNumberFormat="1" applyFont="1" applyFill="1" applyBorder="1" applyAlignment="1" applyProtection="1">
      <alignment horizontal="center" wrapText="1"/>
      <protection locked="0"/>
    </xf>
    <xf numFmtId="49" fontId="152" fillId="39" borderId="186" xfId="0" applyNumberFormat="1" applyFont="1" applyFill="1" applyBorder="1" applyAlignment="1" applyProtection="1">
      <alignment horizontal="center" wrapText="1"/>
      <protection locked="0"/>
    </xf>
    <xf numFmtId="49" fontId="152" fillId="4" borderId="186" xfId="0" applyNumberFormat="1" applyFont="1" applyFill="1" applyBorder="1" applyAlignment="1" applyProtection="1">
      <alignment horizontal="left" wrapText="1"/>
      <protection locked="0"/>
    </xf>
    <xf numFmtId="0" fontId="153" fillId="0" borderId="30" xfId="0" applyFont="1" applyBorder="1" applyAlignment="1">
      <alignment horizontal="center"/>
    </xf>
    <xf numFmtId="197" fontId="153" fillId="0" borderId="30" xfId="26" applyNumberFormat="1" applyFont="1" applyBorder="1" applyAlignment="1">
      <alignment horizontal="center"/>
    </xf>
    <xf numFmtId="49" fontId="153" fillId="4" borderId="30" xfId="0" applyNumberFormat="1" applyFont="1" applyFill="1" applyBorder="1" applyAlignment="1" applyProtection="1">
      <alignment horizontal="center"/>
      <protection locked="0"/>
    </xf>
    <xf numFmtId="0" fontId="152" fillId="0" borderId="216" xfId="0" applyFont="1" applyBorder="1"/>
    <xf numFmtId="0" fontId="152" fillId="0" borderId="217" xfId="0" applyFont="1" applyBorder="1"/>
    <xf numFmtId="0" fontId="152" fillId="0" borderId="181" xfId="0" applyFont="1" applyBorder="1" applyAlignment="1">
      <alignment horizontal="center"/>
    </xf>
    <xf numFmtId="49" fontId="152" fillId="4" borderId="30" xfId="0" applyNumberFormat="1" applyFont="1" applyFill="1" applyBorder="1" applyAlignment="1" applyProtection="1">
      <alignment wrapText="1"/>
      <protection locked="0"/>
    </xf>
    <xf numFmtId="49" fontId="152" fillId="4" borderId="30" xfId="0" applyNumberFormat="1" applyFont="1" applyFill="1" applyBorder="1" applyProtection="1">
      <protection locked="0"/>
    </xf>
    <xf numFmtId="0" fontId="44" fillId="0" borderId="0" xfId="0" applyFont="1" applyAlignment="1">
      <alignment horizontal="center" vertical="center"/>
    </xf>
    <xf numFmtId="1" fontId="25" fillId="0" borderId="91" xfId="0" applyNumberFormat="1" applyFont="1" applyBorder="1" applyAlignment="1">
      <alignment horizontal="center" vertical="center" wrapText="1"/>
    </xf>
    <xf numFmtId="1" fontId="25" fillId="0" borderId="0" xfId="0" applyNumberFormat="1" applyFont="1" applyAlignment="1">
      <alignment horizontal="center" vertical="center" wrapText="1"/>
    </xf>
    <xf numFmtId="1" fontId="25" fillId="0" borderId="29" xfId="0" applyNumberFormat="1" applyFont="1" applyBorder="1" applyAlignment="1">
      <alignment horizontal="center" vertical="center" wrapText="1"/>
    </xf>
    <xf numFmtId="0" fontId="152" fillId="0" borderId="30" xfId="0" applyFont="1" applyBorder="1"/>
    <xf numFmtId="0" fontId="53" fillId="10" borderId="22" xfId="0" applyFont="1" applyFill="1" applyBorder="1" applyAlignment="1">
      <alignment horizontal="center" vertical="center"/>
    </xf>
    <xf numFmtId="0" fontId="53" fillId="10" borderId="43" xfId="0" applyFont="1" applyFill="1" applyBorder="1" applyAlignment="1">
      <alignment horizontal="center" vertical="center"/>
    </xf>
    <xf numFmtId="0" fontId="53" fillId="10" borderId="44" xfId="0" applyFont="1" applyFill="1" applyBorder="1" applyAlignment="1">
      <alignment horizontal="center" vertical="center"/>
    </xf>
    <xf numFmtId="0" fontId="69" fillId="10" borderId="35" xfId="0" applyFont="1" applyFill="1" applyBorder="1" applyAlignment="1">
      <alignment horizontal="center" vertical="center"/>
    </xf>
    <xf numFmtId="0" fontId="69" fillId="10" borderId="0" xfId="0" applyFont="1" applyFill="1" applyAlignment="1">
      <alignment horizontal="center" vertical="center"/>
    </xf>
    <xf numFmtId="0" fontId="69" fillId="10" borderId="29" xfId="0" applyFont="1" applyFill="1" applyBorder="1" applyAlignment="1">
      <alignment horizontal="center" vertical="center"/>
    </xf>
    <xf numFmtId="0" fontId="51" fillId="10" borderId="35" xfId="0" applyFont="1" applyFill="1" applyBorder="1" applyAlignment="1">
      <alignment horizontal="center" vertical="center"/>
    </xf>
    <xf numFmtId="0" fontId="51" fillId="10" borderId="0" xfId="0" applyFont="1" applyFill="1" applyAlignment="1">
      <alignment horizontal="center" vertical="center"/>
    </xf>
    <xf numFmtId="0" fontId="51" fillId="10" borderId="29" xfId="0" applyFont="1" applyFill="1" applyBorder="1" applyAlignment="1">
      <alignment horizontal="center" vertical="center"/>
    </xf>
    <xf numFmtId="0" fontId="53" fillId="10" borderId="23" xfId="0" applyFont="1" applyFill="1" applyBorder="1" applyAlignment="1">
      <alignment horizontal="center" vertical="center"/>
    </xf>
    <xf numFmtId="0" fontId="53" fillId="10" borderId="51" xfId="0" applyFont="1" applyFill="1" applyBorder="1" applyAlignment="1">
      <alignment horizontal="center" vertical="center"/>
    </xf>
    <xf numFmtId="0" fontId="53" fillId="10" borderId="52" xfId="0" applyFont="1" applyFill="1" applyBorder="1" applyAlignment="1">
      <alignment horizontal="center" vertical="center"/>
    </xf>
    <xf numFmtId="0" fontId="69" fillId="18" borderId="26" xfId="0" applyFont="1" applyFill="1" applyBorder="1" applyAlignment="1">
      <alignment horizontal="center" vertical="center"/>
    </xf>
    <xf numFmtId="0" fontId="69" fillId="18" borderId="27" xfId="0" applyFont="1" applyFill="1" applyBorder="1" applyAlignment="1">
      <alignment horizontal="center" vertical="center"/>
    </xf>
    <xf numFmtId="0" fontId="69" fillId="18" borderId="46" xfId="0" applyFont="1" applyFill="1" applyBorder="1" applyAlignment="1">
      <alignment horizontal="center" vertical="center"/>
    </xf>
    <xf numFmtId="0" fontId="53" fillId="10" borderId="35" xfId="0" applyFont="1" applyFill="1" applyBorder="1" applyAlignment="1">
      <alignment horizontal="center" vertical="center"/>
    </xf>
    <xf numFmtId="0" fontId="53" fillId="10" borderId="0" xfId="0" applyFont="1" applyFill="1" applyAlignment="1">
      <alignment horizontal="center" vertical="center"/>
    </xf>
    <xf numFmtId="0" fontId="53" fillId="10" borderId="29" xfId="0" applyFont="1" applyFill="1" applyBorder="1" applyAlignment="1">
      <alignment horizontal="center" vertical="center"/>
    </xf>
    <xf numFmtId="0" fontId="70" fillId="0" borderId="91" xfId="0" applyFont="1" applyBorder="1" applyAlignment="1">
      <alignment horizontal="center" vertical="center" wrapText="1"/>
    </xf>
    <xf numFmtId="0" fontId="70" fillId="0" borderId="0" xfId="0" applyFont="1" applyAlignment="1">
      <alignment horizontal="center" vertical="center" wrapText="1"/>
    </xf>
    <xf numFmtId="0" fontId="70" fillId="0" borderId="29" xfId="0" applyFont="1" applyBorder="1" applyAlignment="1">
      <alignment horizontal="center" vertical="center" wrapText="1"/>
    </xf>
    <xf numFmtId="0" fontId="69" fillId="0" borderId="99" xfId="0" applyFont="1" applyBorder="1" applyAlignment="1">
      <alignment horizontal="center" vertical="center" wrapText="1"/>
    </xf>
    <xf numFmtId="0" fontId="69" fillId="0" borderId="100" xfId="0" applyFont="1" applyBorder="1" applyAlignment="1">
      <alignment horizontal="center" vertical="center" wrapText="1"/>
    </xf>
    <xf numFmtId="0" fontId="69" fillId="0" borderId="101" xfId="0" applyFont="1" applyBorder="1" applyAlignment="1">
      <alignment horizontal="center" vertical="center" wrapText="1"/>
    </xf>
    <xf numFmtId="0" fontId="52" fillId="8" borderId="48" xfId="0" applyFont="1" applyFill="1" applyBorder="1" applyAlignment="1">
      <alignment horizontal="center" vertical="center"/>
    </xf>
    <xf numFmtId="0" fontId="52" fillId="8" borderId="98" xfId="0" applyFont="1" applyFill="1" applyBorder="1" applyAlignment="1">
      <alignment horizontal="center" vertical="center"/>
    </xf>
    <xf numFmtId="0" fontId="52" fillId="8" borderId="29" xfId="0" applyFont="1" applyFill="1" applyBorder="1" applyAlignment="1">
      <alignment horizontal="center" vertical="center"/>
    </xf>
    <xf numFmtId="0" fontId="52" fillId="0" borderId="36" xfId="0" applyFont="1" applyBorder="1" applyAlignment="1">
      <alignment horizontal="center" vertical="center"/>
    </xf>
    <xf numFmtId="0" fontId="52" fillId="0" borderId="37" xfId="0" applyFont="1" applyBorder="1" applyAlignment="1">
      <alignment horizontal="center" vertical="center"/>
    </xf>
    <xf numFmtId="0" fontId="52" fillId="0" borderId="71" xfId="0" applyFont="1" applyBorder="1" applyAlignment="1">
      <alignment horizontal="center" vertical="center"/>
    </xf>
    <xf numFmtId="0" fontId="52" fillId="0" borderId="64" xfId="0" applyFont="1" applyBorder="1" applyAlignment="1">
      <alignment horizontal="center" vertical="center"/>
    </xf>
    <xf numFmtId="0" fontId="52" fillId="8" borderId="35" xfId="0" applyFont="1" applyFill="1" applyBorder="1" applyAlignment="1">
      <alignment horizontal="center" vertical="center"/>
    </xf>
    <xf numFmtId="0" fontId="52" fillId="8" borderId="56" xfId="0" applyFont="1" applyFill="1" applyBorder="1" applyAlignment="1">
      <alignment horizontal="center" vertical="center"/>
    </xf>
    <xf numFmtId="0" fontId="52" fillId="8" borderId="45" xfId="0" applyFont="1" applyFill="1" applyBorder="1" applyAlignment="1">
      <alignment horizontal="center" vertical="center"/>
    </xf>
    <xf numFmtId="0" fontId="52" fillId="8" borderId="59" xfId="0" applyFont="1" applyFill="1" applyBorder="1" applyAlignment="1">
      <alignment horizontal="center" vertical="center"/>
    </xf>
    <xf numFmtId="0" fontId="52" fillId="8" borderId="15" xfId="0" applyFont="1" applyFill="1" applyBorder="1" applyAlignment="1">
      <alignment horizontal="center" vertical="center"/>
    </xf>
    <xf numFmtId="0" fontId="52" fillId="8" borderId="36" xfId="0" applyFont="1" applyFill="1" applyBorder="1" applyAlignment="1">
      <alignment horizontal="center" vertical="center" wrapText="1"/>
    </xf>
    <xf numFmtId="0" fontId="52" fillId="8" borderId="37" xfId="0" applyFont="1" applyFill="1" applyBorder="1" applyAlignment="1">
      <alignment horizontal="center" vertical="center" wrapText="1"/>
    </xf>
    <xf numFmtId="0" fontId="52" fillId="8" borderId="40" xfId="0" applyFont="1" applyFill="1" applyBorder="1" applyAlignment="1">
      <alignment horizontal="center" vertical="center" wrapText="1"/>
    </xf>
    <xf numFmtId="0" fontId="52" fillId="0" borderId="38" xfId="0" applyFont="1" applyBorder="1" applyAlignment="1">
      <alignment horizontal="center" vertical="center"/>
    </xf>
    <xf numFmtId="0" fontId="52" fillId="0" borderId="56" xfId="0" applyFont="1" applyBorder="1" applyAlignment="1">
      <alignment horizontal="center" vertical="center"/>
    </xf>
    <xf numFmtId="0" fontId="52" fillId="8" borderId="32" xfId="0" applyFont="1" applyFill="1" applyBorder="1" applyAlignment="1">
      <alignment horizontal="center" vertical="center"/>
    </xf>
    <xf numFmtId="0" fontId="52" fillId="8" borderId="33" xfId="0" applyFont="1" applyFill="1" applyBorder="1" applyAlignment="1">
      <alignment horizontal="center" vertical="center"/>
    </xf>
    <xf numFmtId="0" fontId="51" fillId="0" borderId="0" xfId="0" applyFont="1" applyAlignment="1">
      <alignment horizontal="left" vertical="center"/>
    </xf>
    <xf numFmtId="0" fontId="16" fillId="0" borderId="0" xfId="0" applyFont="1" applyAlignment="1">
      <alignment horizontal="left" vertical="center"/>
    </xf>
    <xf numFmtId="0" fontId="16" fillId="0" borderId="35" xfId="0" applyFont="1" applyBorder="1" applyAlignment="1">
      <alignment horizontal="center"/>
    </xf>
    <xf numFmtId="0" fontId="16" fillId="0" borderId="0" xfId="0" applyFont="1" applyAlignment="1">
      <alignment horizontal="center"/>
    </xf>
    <xf numFmtId="0" fontId="16" fillId="0" borderId="0" xfId="0" applyFont="1" applyAlignment="1">
      <alignment horizontal="center" vertical="center"/>
    </xf>
    <xf numFmtId="0" fontId="16" fillId="0" borderId="0" xfId="0" applyFont="1" applyAlignment="1">
      <alignment horizontal="center" wrapText="1"/>
    </xf>
    <xf numFmtId="0" fontId="16" fillId="0" borderId="29" xfId="0" applyFont="1" applyBorder="1" applyAlignment="1">
      <alignment horizontal="center" wrapText="1"/>
    </xf>
    <xf numFmtId="0" fontId="16" fillId="0" borderId="42" xfId="0" applyFont="1" applyBorder="1" applyAlignment="1">
      <alignment horizontal="center" wrapText="1"/>
    </xf>
    <xf numFmtId="0" fontId="16" fillId="0" borderId="63" xfId="0" applyFont="1" applyBorder="1" applyAlignment="1">
      <alignment horizontal="center" wrapText="1"/>
    </xf>
    <xf numFmtId="0" fontId="14" fillId="0" borderId="35" xfId="0" applyFont="1" applyBorder="1" applyAlignment="1">
      <alignment horizontal="left" vertical="center"/>
    </xf>
    <xf numFmtId="0" fontId="14" fillId="0" borderId="0" xfId="0" applyFont="1" applyAlignment="1">
      <alignment horizontal="left" vertical="center"/>
    </xf>
    <xf numFmtId="0" fontId="17" fillId="8" borderId="36" xfId="0" applyFont="1" applyFill="1" applyBorder="1" applyAlignment="1">
      <alignment horizontal="right" vertical="center"/>
    </xf>
    <xf numFmtId="0" fontId="17" fillId="8" borderId="37" xfId="0" applyFont="1" applyFill="1" applyBorder="1" applyAlignment="1">
      <alignment horizontal="right" vertical="center"/>
    </xf>
    <xf numFmtId="0" fontId="17" fillId="8" borderId="38" xfId="0" applyFont="1" applyFill="1" applyBorder="1" applyAlignment="1">
      <alignment horizontal="right" vertical="center"/>
    </xf>
    <xf numFmtId="0" fontId="18" fillId="0" borderId="36" xfId="0" applyFont="1" applyBorder="1" applyAlignment="1">
      <alignment horizontal="center" vertical="center"/>
    </xf>
    <xf numFmtId="0" fontId="18" fillId="0" borderId="37" xfId="0" applyFont="1" applyBorder="1" applyAlignment="1">
      <alignment horizontal="center" vertical="center"/>
    </xf>
    <xf numFmtId="0" fontId="18" fillId="0" borderId="38" xfId="0" applyFont="1" applyBorder="1" applyAlignment="1">
      <alignment horizontal="center" vertical="center"/>
    </xf>
    <xf numFmtId="0" fontId="14" fillId="18" borderId="35" xfId="0" applyFont="1" applyFill="1" applyBorder="1" applyAlignment="1">
      <alignment horizontal="center" vertical="center" wrapText="1"/>
    </xf>
    <xf numFmtId="0" fontId="14" fillId="18" borderId="0" xfId="0" applyFont="1" applyFill="1" applyAlignment="1">
      <alignment horizontal="center" vertical="center" wrapText="1"/>
    </xf>
    <xf numFmtId="0" fontId="14" fillId="18" borderId="29" xfId="0" applyFont="1" applyFill="1" applyBorder="1" applyAlignment="1">
      <alignment horizontal="center" vertical="center" wrapText="1"/>
    </xf>
    <xf numFmtId="0" fontId="17" fillId="0" borderId="55" xfId="0" applyFont="1" applyBorder="1" applyAlignment="1">
      <alignment horizontal="left" vertical="center"/>
    </xf>
    <xf numFmtId="0" fontId="17" fillId="0" borderId="83" xfId="0" applyFont="1" applyBorder="1" applyAlignment="1">
      <alignment horizontal="left" vertical="center"/>
    </xf>
    <xf numFmtId="0" fontId="17" fillId="0" borderId="60" xfId="0" applyFont="1" applyBorder="1" applyAlignment="1">
      <alignment horizontal="left" vertical="center"/>
    </xf>
    <xf numFmtId="0" fontId="14" fillId="0" borderId="35" xfId="0" applyFont="1" applyBorder="1" applyAlignment="1">
      <alignment horizontal="center" vertical="center"/>
    </xf>
    <xf numFmtId="0" fontId="14" fillId="0" borderId="0" xfId="0" applyFont="1" applyAlignment="1">
      <alignment horizontal="center" vertical="center"/>
    </xf>
    <xf numFmtId="0" fontId="14" fillId="0" borderId="29" xfId="0" applyFont="1" applyBorder="1" applyAlignment="1">
      <alignment horizontal="center" vertical="center"/>
    </xf>
    <xf numFmtId="0" fontId="18" fillId="0" borderId="0" xfId="0" applyFont="1" applyAlignment="1">
      <alignment horizontal="left" vertical="center"/>
    </xf>
    <xf numFmtId="0" fontId="17" fillId="0" borderId="0" xfId="0" applyFont="1" applyAlignment="1">
      <alignment horizontal="left" vertical="center"/>
    </xf>
    <xf numFmtId="0" fontId="17" fillId="0" borderId="39" xfId="0" applyFont="1" applyBorder="1" applyAlignment="1">
      <alignment horizontal="left" vertical="center"/>
    </xf>
    <xf numFmtId="0" fontId="17" fillId="0" borderId="37" xfId="0" applyFont="1" applyBorder="1" applyAlignment="1">
      <alignment horizontal="left" vertical="center"/>
    </xf>
    <xf numFmtId="0" fontId="17" fillId="0" borderId="38" xfId="0" applyFont="1" applyBorder="1" applyAlignment="1">
      <alignment horizontal="left" vertical="center"/>
    </xf>
    <xf numFmtId="0" fontId="14" fillId="18" borderId="78" xfId="14" applyFont="1" applyFill="1" applyBorder="1" applyAlignment="1">
      <alignment horizontal="center" vertical="center" wrapText="1"/>
    </xf>
    <xf numFmtId="0" fontId="14" fillId="18" borderId="79" xfId="14" applyFont="1" applyFill="1" applyBorder="1" applyAlignment="1">
      <alignment horizontal="center" vertical="center" wrapText="1"/>
    </xf>
    <xf numFmtId="0" fontId="14" fillId="18" borderId="80" xfId="14" applyFont="1" applyFill="1" applyBorder="1" applyAlignment="1">
      <alignment horizontal="center" vertical="center" wrapText="1"/>
    </xf>
    <xf numFmtId="0" fontId="14" fillId="0" borderId="99" xfId="14" applyFont="1" applyBorder="1" applyAlignment="1">
      <alignment horizontal="center" vertical="center" wrapText="1"/>
    </xf>
    <xf numFmtId="0" fontId="14" fillId="0" borderId="100" xfId="14" applyFont="1" applyBorder="1" applyAlignment="1">
      <alignment horizontal="center" vertical="center" wrapText="1"/>
    </xf>
    <xf numFmtId="0" fontId="14" fillId="0" borderId="101" xfId="14" applyFont="1" applyBorder="1" applyAlignment="1">
      <alignment horizontal="center" vertical="center" wrapText="1"/>
    </xf>
    <xf numFmtId="0" fontId="17" fillId="0" borderId="102" xfId="0" applyFont="1" applyBorder="1" applyAlignment="1">
      <alignment horizontal="center" vertical="center" wrapText="1"/>
    </xf>
    <xf numFmtId="0" fontId="17" fillId="0" borderId="103" xfId="0" applyFont="1" applyBorder="1" applyAlignment="1">
      <alignment horizontal="center" vertical="center" wrapText="1"/>
    </xf>
    <xf numFmtId="0" fontId="17" fillId="0" borderId="104" xfId="0" applyFont="1" applyBorder="1" applyAlignment="1">
      <alignment horizontal="center" vertical="center" wrapText="1"/>
    </xf>
    <xf numFmtId="0" fontId="17" fillId="0" borderId="36" xfId="0" applyFont="1" applyBorder="1" applyAlignment="1">
      <alignment horizontal="center" vertical="center"/>
    </xf>
    <xf numFmtId="0" fontId="17" fillId="0" borderId="37" xfId="0" applyFont="1" applyBorder="1" applyAlignment="1">
      <alignment horizontal="center" vertical="center"/>
    </xf>
    <xf numFmtId="0" fontId="17" fillId="0" borderId="40" xfId="0" applyFont="1" applyBorder="1" applyAlignment="1">
      <alignment horizontal="center" vertical="center"/>
    </xf>
    <xf numFmtId="0" fontId="12" fillId="10" borderId="22" xfId="0" applyFont="1" applyFill="1" applyBorder="1" applyAlignment="1" applyProtection="1">
      <alignment horizontal="center" vertical="center"/>
      <protection locked="0"/>
    </xf>
    <xf numFmtId="0" fontId="12" fillId="10" borderId="43" xfId="0" applyFont="1" applyFill="1" applyBorder="1" applyAlignment="1" applyProtection="1">
      <alignment horizontal="center" vertical="center"/>
      <protection locked="0"/>
    </xf>
    <xf numFmtId="0" fontId="12" fillId="10" borderId="44" xfId="0" applyFont="1" applyFill="1" applyBorder="1" applyAlignment="1" applyProtection="1">
      <alignment horizontal="center" vertical="center"/>
      <protection locked="0"/>
    </xf>
    <xf numFmtId="2" fontId="20" fillId="10" borderId="35" xfId="15" applyNumberFormat="1" applyFont="1" applyFill="1" applyBorder="1" applyAlignment="1" applyProtection="1">
      <alignment horizontal="center" vertical="center"/>
      <protection locked="0"/>
    </xf>
    <xf numFmtId="2" fontId="20" fillId="10" borderId="0" xfId="15" applyNumberFormat="1" applyFont="1" applyFill="1" applyAlignment="1" applyProtection="1">
      <alignment horizontal="center" vertical="center"/>
      <protection locked="0"/>
    </xf>
    <xf numFmtId="2" fontId="20" fillId="10" borderId="29" xfId="15" applyNumberFormat="1" applyFont="1" applyFill="1" applyBorder="1" applyAlignment="1" applyProtection="1">
      <alignment horizontal="center" vertical="center"/>
      <protection locked="0"/>
    </xf>
    <xf numFmtId="2" fontId="16" fillId="10" borderId="35" xfId="15" applyNumberFormat="1" applyFont="1" applyFill="1" applyBorder="1" applyAlignment="1" applyProtection="1">
      <alignment horizontal="center" vertical="center"/>
      <protection locked="0"/>
    </xf>
    <xf numFmtId="2" fontId="16" fillId="10" borderId="0" xfId="15" applyNumberFormat="1" applyFont="1" applyFill="1" applyAlignment="1" applyProtection="1">
      <alignment horizontal="center" vertical="center"/>
      <protection locked="0"/>
    </xf>
    <xf numFmtId="2" fontId="16" fillId="10" borderId="29" xfId="15" applyNumberFormat="1" applyFont="1" applyFill="1" applyBorder="1" applyAlignment="1" applyProtection="1">
      <alignment horizontal="center" vertical="center"/>
      <protection locked="0"/>
    </xf>
    <xf numFmtId="0" fontId="15" fillId="10" borderId="51" xfId="15" applyFont="1" applyFill="1" applyBorder="1" applyAlignment="1" applyProtection="1">
      <alignment horizontal="center" vertical="center"/>
      <protection locked="0"/>
    </xf>
    <xf numFmtId="169" fontId="15" fillId="10" borderId="51" xfId="0" applyNumberFormat="1" applyFont="1" applyFill="1" applyBorder="1" applyAlignment="1" applyProtection="1">
      <alignment horizontal="center" vertical="center"/>
      <protection locked="0"/>
    </xf>
    <xf numFmtId="169" fontId="15" fillId="10" borderId="52" xfId="0" applyNumberFormat="1" applyFont="1" applyFill="1" applyBorder="1" applyAlignment="1" applyProtection="1">
      <alignment horizontal="center" vertical="center"/>
      <protection locked="0"/>
    </xf>
    <xf numFmtId="0" fontId="14" fillId="0" borderId="35" xfId="14" applyFont="1" applyBorder="1" applyAlignment="1">
      <alignment horizontal="center" vertical="center" wrapText="1"/>
    </xf>
    <xf numFmtId="0" fontId="14" fillId="0" borderId="0" xfId="14" applyFont="1" applyAlignment="1">
      <alignment horizontal="center" vertical="center" wrapText="1"/>
    </xf>
    <xf numFmtId="0" fontId="14" fillId="0" borderId="29" xfId="14" applyFont="1" applyBorder="1" applyAlignment="1">
      <alignment horizontal="center" vertical="center" wrapText="1"/>
    </xf>
    <xf numFmtId="0" fontId="16" fillId="0" borderId="91" xfId="14" applyFont="1" applyBorder="1" applyAlignment="1">
      <alignment horizontal="center" vertical="center" wrapText="1"/>
    </xf>
    <xf numFmtId="0" fontId="16" fillId="0" borderId="0" xfId="14" applyFont="1" applyAlignment="1">
      <alignment horizontal="center" vertical="center" wrapText="1"/>
    </xf>
    <xf numFmtId="0" fontId="16" fillId="0" borderId="29" xfId="14" applyFont="1" applyBorder="1" applyAlignment="1">
      <alignment horizontal="center" vertical="center" wrapText="1"/>
    </xf>
    <xf numFmtId="0" fontId="58" fillId="10" borderId="35" xfId="0" applyFont="1" applyFill="1" applyBorder="1" applyAlignment="1">
      <alignment horizontal="center" vertical="center"/>
    </xf>
    <xf numFmtId="0" fontId="58" fillId="10" borderId="0" xfId="0" applyFont="1" applyFill="1" applyAlignment="1">
      <alignment horizontal="center" vertical="center"/>
    </xf>
    <xf numFmtId="0" fontId="58" fillId="10" borderId="29" xfId="0" applyFont="1" applyFill="1" applyBorder="1" applyAlignment="1">
      <alignment horizontal="center" vertical="center"/>
    </xf>
    <xf numFmtId="0" fontId="57" fillId="10" borderId="35" xfId="0" applyFont="1" applyFill="1" applyBorder="1" applyAlignment="1">
      <alignment horizontal="center" vertical="center"/>
    </xf>
    <xf numFmtId="0" fontId="57" fillId="10" borderId="0" xfId="0" applyFont="1" applyFill="1" applyAlignment="1">
      <alignment horizontal="center" vertical="center"/>
    </xf>
    <xf numFmtId="0" fontId="57" fillId="10" borderId="29" xfId="0" applyFont="1" applyFill="1" applyBorder="1" applyAlignment="1">
      <alignment horizontal="center" vertical="center"/>
    </xf>
    <xf numFmtId="0" fontId="58" fillId="10" borderId="23" xfId="0" applyFont="1" applyFill="1" applyBorder="1" applyAlignment="1">
      <alignment horizontal="center" vertical="center"/>
    </xf>
    <xf numFmtId="0" fontId="58" fillId="10" borderId="51" xfId="0" applyFont="1" applyFill="1" applyBorder="1" applyAlignment="1">
      <alignment horizontal="center" vertical="center"/>
    </xf>
    <xf numFmtId="0" fontId="58" fillId="10" borderId="52" xfId="0" applyFont="1" applyFill="1" applyBorder="1" applyAlignment="1">
      <alignment horizontal="center" vertical="center"/>
    </xf>
    <xf numFmtId="165" fontId="24" fillId="0" borderId="30" xfId="12" applyNumberFormat="1" applyFont="1" applyBorder="1" applyAlignment="1">
      <alignment horizontal="left" vertical="center"/>
    </xf>
    <xf numFmtId="0" fontId="24" fillId="0" borderId="56" xfId="6" applyFont="1" applyBorder="1" applyAlignment="1">
      <alignment horizontal="center" vertical="center"/>
    </xf>
    <xf numFmtId="0" fontId="24" fillId="0" borderId="71" xfId="6" applyFont="1" applyBorder="1" applyAlignment="1">
      <alignment horizontal="center" vertical="center"/>
    </xf>
    <xf numFmtId="0" fontId="24" fillId="0" borderId="95" xfId="6" applyFont="1" applyBorder="1" applyAlignment="1">
      <alignment horizontal="center" vertical="center"/>
    </xf>
    <xf numFmtId="165" fontId="24" fillId="0" borderId="99" xfId="12" applyNumberFormat="1" applyFont="1" applyBorder="1" applyAlignment="1">
      <alignment horizontal="center" vertical="center" wrapText="1"/>
    </xf>
    <xf numFmtId="165" fontId="24" fillId="0" borderId="100" xfId="12" applyNumberFormat="1" applyFont="1" applyBorder="1" applyAlignment="1">
      <alignment horizontal="center" vertical="center" wrapText="1"/>
    </xf>
    <xf numFmtId="165" fontId="24" fillId="0" borderId="101" xfId="12" applyNumberFormat="1" applyFont="1" applyBorder="1" applyAlignment="1">
      <alignment horizontal="center" vertical="center" wrapText="1"/>
    </xf>
    <xf numFmtId="165" fontId="24" fillId="18" borderId="73" xfId="12" applyNumberFormat="1" applyFont="1" applyFill="1" applyBorder="1" applyAlignment="1">
      <alignment horizontal="center" vertical="center" wrapText="1"/>
    </xf>
    <xf numFmtId="165" fontId="24" fillId="18" borderId="23" xfId="12" applyNumberFormat="1" applyFont="1" applyFill="1" applyBorder="1" applyAlignment="1">
      <alignment horizontal="center" vertical="center" wrapText="1"/>
    </xf>
    <xf numFmtId="165" fontId="24" fillId="18" borderId="54" xfId="12" applyNumberFormat="1" applyFont="1" applyFill="1" applyBorder="1" applyAlignment="1">
      <alignment horizontal="center" vertical="center" wrapText="1"/>
    </xf>
    <xf numFmtId="165" fontId="24" fillId="18" borderId="84" xfId="12" applyNumberFormat="1" applyFont="1" applyFill="1" applyBorder="1" applyAlignment="1">
      <alignment horizontal="center" vertical="center" wrapText="1"/>
    </xf>
    <xf numFmtId="165" fontId="24" fillId="18" borderId="47" xfId="12" applyNumberFormat="1" applyFont="1" applyFill="1" applyBorder="1" applyAlignment="1">
      <alignment horizontal="center" vertical="center" wrapText="1"/>
    </xf>
    <xf numFmtId="165" fontId="24" fillId="18" borderId="51" xfId="12" applyNumberFormat="1" applyFont="1" applyFill="1" applyBorder="1" applyAlignment="1">
      <alignment horizontal="center" vertical="center" wrapText="1"/>
    </xf>
    <xf numFmtId="165" fontId="24" fillId="0" borderId="30" xfId="12" applyNumberFormat="1" applyFont="1" applyBorder="1" applyAlignment="1">
      <alignment horizontal="right" vertical="center"/>
    </xf>
    <xf numFmtId="0" fontId="24" fillId="0" borderId="30" xfId="6" applyFont="1" applyBorder="1" applyAlignment="1">
      <alignment horizontal="center" vertical="center"/>
    </xf>
    <xf numFmtId="165" fontId="24" fillId="14" borderId="33" xfId="12" applyNumberFormat="1" applyFont="1" applyFill="1" applyBorder="1" applyAlignment="1">
      <alignment horizontal="left" vertical="center"/>
    </xf>
    <xf numFmtId="165" fontId="24" fillId="0" borderId="56" xfId="12" applyNumberFormat="1" applyFont="1" applyBorder="1" applyAlignment="1">
      <alignment horizontal="center" vertical="center"/>
    </xf>
    <xf numFmtId="165" fontId="24" fillId="0" borderId="71" xfId="12" applyNumberFormat="1" applyFont="1" applyBorder="1" applyAlignment="1">
      <alignment horizontal="center" vertical="center"/>
    </xf>
    <xf numFmtId="165" fontId="24" fillId="0" borderId="95" xfId="12" applyNumberFormat="1" applyFont="1" applyBorder="1" applyAlignment="1">
      <alignment horizontal="center" vertical="center"/>
    </xf>
    <xf numFmtId="165" fontId="25" fillId="0" borderId="30" xfId="12" applyNumberFormat="1" applyFont="1" applyBorder="1" applyAlignment="1">
      <alignment horizontal="left" vertical="center"/>
    </xf>
    <xf numFmtId="0" fontId="49" fillId="10" borderId="43" xfId="6" applyFont="1" applyFill="1" applyBorder="1" applyAlignment="1">
      <alignment horizontal="center" vertical="center"/>
    </xf>
    <xf numFmtId="0" fontId="49" fillId="10" borderId="44" xfId="6" applyFont="1" applyFill="1" applyBorder="1" applyAlignment="1">
      <alignment horizontal="center" vertical="center"/>
    </xf>
    <xf numFmtId="0" fontId="49" fillId="10" borderId="35" xfId="6" applyFont="1" applyFill="1" applyBorder="1" applyAlignment="1">
      <alignment horizontal="center" vertical="center"/>
    </xf>
    <xf numFmtId="0" fontId="49" fillId="10" borderId="0" xfId="6" applyFont="1" applyFill="1" applyAlignment="1">
      <alignment horizontal="center" vertical="center"/>
    </xf>
    <xf numFmtId="0" fontId="49" fillId="10" borderId="29" xfId="6" applyFont="1" applyFill="1" applyBorder="1" applyAlignment="1">
      <alignment horizontal="center" vertical="center"/>
    </xf>
    <xf numFmtId="0" fontId="47" fillId="10" borderId="35" xfId="6" applyFont="1" applyFill="1" applyBorder="1" applyAlignment="1">
      <alignment horizontal="center" vertical="center"/>
    </xf>
    <xf numFmtId="0" fontId="47" fillId="10" borderId="0" xfId="6" applyFont="1" applyFill="1" applyAlignment="1">
      <alignment horizontal="center" vertical="center"/>
    </xf>
    <xf numFmtId="0" fontId="47" fillId="10" borderId="29" xfId="6" applyFont="1" applyFill="1" applyBorder="1" applyAlignment="1">
      <alignment horizontal="center" vertical="center"/>
    </xf>
    <xf numFmtId="0" fontId="49" fillId="10" borderId="51" xfId="6" applyFont="1" applyFill="1" applyBorder="1" applyAlignment="1">
      <alignment horizontal="center" vertical="center"/>
    </xf>
    <xf numFmtId="0" fontId="49" fillId="10" borderId="52" xfId="6" applyFont="1" applyFill="1" applyBorder="1" applyAlignment="1">
      <alignment horizontal="center" vertical="center"/>
    </xf>
    <xf numFmtId="165" fontId="49" fillId="11" borderId="27" xfId="12" applyNumberFormat="1" applyFont="1" applyFill="1" applyBorder="1" applyAlignment="1">
      <alignment horizontal="center" vertical="center" wrapText="1"/>
    </xf>
    <xf numFmtId="165" fontId="49" fillId="11" borderId="105" xfId="12" applyNumberFormat="1" applyFont="1" applyFill="1" applyBorder="1" applyAlignment="1">
      <alignment horizontal="center" vertical="center" wrapText="1"/>
    </xf>
    <xf numFmtId="165" fontId="49" fillId="11" borderId="80" xfId="12" applyNumberFormat="1" applyFont="1" applyFill="1" applyBorder="1" applyAlignment="1">
      <alignment horizontal="center" vertical="center" wrapText="1"/>
    </xf>
    <xf numFmtId="165" fontId="47" fillId="0" borderId="106" xfId="12" applyNumberFormat="1" applyFont="1" applyBorder="1" applyAlignment="1">
      <alignment horizontal="center" vertical="center"/>
    </xf>
    <xf numFmtId="165" fontId="47" fillId="0" borderId="107" xfId="12" applyNumberFormat="1" applyFont="1" applyBorder="1" applyAlignment="1">
      <alignment horizontal="center" vertical="center"/>
    </xf>
    <xf numFmtId="0" fontId="47" fillId="0" borderId="8" xfId="0" applyFont="1" applyBorder="1" applyAlignment="1">
      <alignment horizontal="right" vertical="center"/>
    </xf>
    <xf numFmtId="0" fontId="47" fillId="0" borderId="17" xfId="0" applyFont="1" applyBorder="1" applyAlignment="1">
      <alignment horizontal="right" vertical="center"/>
    </xf>
    <xf numFmtId="0" fontId="49" fillId="0" borderId="18" xfId="0" applyFont="1" applyBorder="1" applyAlignment="1">
      <alignment horizontal="right" vertical="center"/>
    </xf>
    <xf numFmtId="1" fontId="49" fillId="0" borderId="73" xfId="0" applyNumberFormat="1" applyFont="1" applyBorder="1" applyAlignment="1">
      <alignment horizontal="center" vertical="center" wrapText="1"/>
    </xf>
    <xf numFmtId="1" fontId="49" fillId="0" borderId="84" xfId="0" applyNumberFormat="1" applyFont="1" applyBorder="1" applyAlignment="1">
      <alignment horizontal="center" vertical="center" wrapText="1"/>
    </xf>
    <xf numFmtId="1" fontId="49" fillId="0" borderId="85" xfId="0" applyNumberFormat="1" applyFont="1" applyBorder="1" applyAlignment="1">
      <alignment horizontal="center" vertical="center" wrapText="1"/>
    </xf>
    <xf numFmtId="0" fontId="49" fillId="13" borderId="36" xfId="0" applyFont="1" applyFill="1" applyBorder="1" applyAlignment="1">
      <alignment horizontal="center" vertical="center"/>
    </xf>
    <xf numFmtId="0" fontId="49" fillId="13" borderId="37" xfId="0" applyFont="1" applyFill="1" applyBorder="1" applyAlignment="1">
      <alignment horizontal="center" vertical="center"/>
    </xf>
    <xf numFmtId="0" fontId="49" fillId="13" borderId="40" xfId="0" applyFont="1" applyFill="1" applyBorder="1" applyAlignment="1">
      <alignment horizontal="center" vertical="center"/>
    </xf>
    <xf numFmtId="165" fontId="47" fillId="0" borderId="108" xfId="12" applyNumberFormat="1" applyFont="1" applyBorder="1" applyAlignment="1">
      <alignment horizontal="center" vertical="center"/>
    </xf>
    <xf numFmtId="165" fontId="47" fillId="0" borderId="109" xfId="12" applyNumberFormat="1" applyFont="1" applyBorder="1" applyAlignment="1">
      <alignment horizontal="center" vertical="center"/>
    </xf>
    <xf numFmtId="0" fontId="49" fillId="13" borderId="56" xfId="0" applyFont="1" applyFill="1" applyBorder="1" applyAlignment="1">
      <alignment horizontal="center" vertical="center"/>
    </xf>
    <xf numFmtId="0" fontId="49" fillId="13" borderId="71" xfId="0" applyFont="1" applyFill="1" applyBorder="1" applyAlignment="1">
      <alignment horizontal="center" vertical="center"/>
    </xf>
    <xf numFmtId="0" fontId="49" fillId="13" borderId="95" xfId="0" applyFont="1" applyFill="1" applyBorder="1" applyAlignment="1">
      <alignment horizontal="center" vertical="center"/>
    </xf>
    <xf numFmtId="0" fontId="49" fillId="13" borderId="56" xfId="0" applyFont="1" applyFill="1" applyBorder="1" applyAlignment="1">
      <alignment horizontal="center" vertical="center" wrapText="1"/>
    </xf>
    <xf numFmtId="0" fontId="49" fillId="13" borderId="71" xfId="0" applyFont="1" applyFill="1" applyBorder="1" applyAlignment="1">
      <alignment horizontal="center" vertical="center" wrapText="1"/>
    </xf>
    <xf numFmtId="0" fontId="49" fillId="13" borderId="95" xfId="0" applyFont="1" applyFill="1" applyBorder="1" applyAlignment="1">
      <alignment horizontal="center" vertical="center" wrapText="1"/>
    </xf>
    <xf numFmtId="0" fontId="13" fillId="0" borderId="0" xfId="14" applyFont="1" applyBorder="1" applyAlignment="1">
      <alignment horizontal="left" vertical="center" wrapText="1"/>
    </xf>
    <xf numFmtId="0" fontId="13" fillId="0" borderId="29" xfId="14" applyFont="1" applyBorder="1" applyAlignment="1">
      <alignment horizontal="left" vertical="center" wrapText="1"/>
    </xf>
    <xf numFmtId="0" fontId="13" fillId="0" borderId="51" xfId="14" applyFont="1" applyBorder="1" applyAlignment="1">
      <alignment horizontal="left" vertical="center" wrapText="1"/>
    </xf>
    <xf numFmtId="0" fontId="13" fillId="0" borderId="52" xfId="14" applyFont="1" applyBorder="1" applyAlignment="1">
      <alignment horizontal="left" vertical="center" wrapText="1"/>
    </xf>
    <xf numFmtId="0" fontId="22" fillId="0" borderId="35" xfId="9" applyFont="1" applyBorder="1" applyAlignment="1">
      <alignment horizontal="center" vertical="center"/>
    </xf>
  </cellXfs>
  <cellStyles count="42">
    <cellStyle name="Moeda" xfId="1" builtinId="4"/>
    <cellStyle name="Normal" xfId="0" builtinId="0"/>
    <cellStyle name="Normal 10" xfId="2" xr:uid="{00000000-0005-0000-0000-000002000000}"/>
    <cellStyle name="Normal 12" xfId="3" xr:uid="{00000000-0005-0000-0000-000003000000}"/>
    <cellStyle name="Normal 16" xfId="39" xr:uid="{00000000-0005-0000-0000-000004000000}"/>
    <cellStyle name="Normal 2" xfId="4" xr:uid="{00000000-0005-0000-0000-000005000000}"/>
    <cellStyle name="Normal 2 2" xfId="5" xr:uid="{00000000-0005-0000-0000-000006000000}"/>
    <cellStyle name="Normal 2 2 2" xfId="6" xr:uid="{00000000-0005-0000-0000-000007000000}"/>
    <cellStyle name="Normal 2 3" xfId="7" xr:uid="{00000000-0005-0000-0000-000008000000}"/>
    <cellStyle name="Normal 2 3 2" xfId="36" xr:uid="{00000000-0005-0000-0000-000009000000}"/>
    <cellStyle name="Normal 3" xfId="8" xr:uid="{00000000-0005-0000-0000-00000A000000}"/>
    <cellStyle name="Normal 3 2" xfId="34" xr:uid="{00000000-0005-0000-0000-00000B000000}"/>
    <cellStyle name="Normal 4" xfId="9" xr:uid="{00000000-0005-0000-0000-00000C000000}"/>
    <cellStyle name="Normal 4 4" xfId="35" xr:uid="{00000000-0005-0000-0000-00000D000000}"/>
    <cellStyle name="Normal 5" xfId="10" xr:uid="{00000000-0005-0000-0000-00000E000000}"/>
    <cellStyle name="Normal 5 2" xfId="11" xr:uid="{00000000-0005-0000-0000-00000F000000}"/>
    <cellStyle name="Normal 6" xfId="12" xr:uid="{00000000-0005-0000-0000-000010000000}"/>
    <cellStyle name="Normal 7" xfId="13" xr:uid="{00000000-0005-0000-0000-000011000000}"/>
    <cellStyle name="Normal 8" xfId="41" xr:uid="{34820BB8-1E6F-4175-9668-0640884FB502}"/>
    <cellStyle name="Normal_F-06-09" xfId="14" xr:uid="{00000000-0005-0000-0000-000012000000}"/>
    <cellStyle name="Normal_Plan1" xfId="15" xr:uid="{00000000-0005-0000-0000-000013000000}"/>
    <cellStyle name="Normal_Plan1 3 2" xfId="37" xr:uid="{00000000-0005-0000-0000-000014000000}"/>
    <cellStyle name="Porcentagem" xfId="16" builtinId="5"/>
    <cellStyle name="Porcentagem 2" xfId="17" xr:uid="{00000000-0005-0000-0000-000016000000}"/>
    <cellStyle name="Porcentagem 3 5" xfId="38" xr:uid="{00000000-0005-0000-0000-000017000000}"/>
    <cellStyle name="Porcentagem 4" xfId="18" xr:uid="{00000000-0005-0000-0000-000018000000}"/>
    <cellStyle name="Separador de milhares 2" xfId="40" xr:uid="{00000000-0005-0000-0000-000019000000}"/>
    <cellStyle name="Separador de milhares 2 2" xfId="19" xr:uid="{00000000-0005-0000-0000-00001A000000}"/>
    <cellStyle name="Separador de milhares 2 2 5" xfId="20" xr:uid="{00000000-0005-0000-0000-00001B000000}"/>
    <cellStyle name="Separador de milhares 2 2 5 2" xfId="21" xr:uid="{00000000-0005-0000-0000-00001C000000}"/>
    <cellStyle name="Separador de milhares 2 2 6" xfId="22" xr:uid="{00000000-0005-0000-0000-00001D000000}"/>
    <cellStyle name="Separador de milhares 3" xfId="23" xr:uid="{00000000-0005-0000-0000-00001E000000}"/>
    <cellStyle name="Separador de milhares 4" xfId="24" xr:uid="{00000000-0005-0000-0000-00001F000000}"/>
    <cellStyle name="Separador de milhares_ORÇA ETA SAO BRAS RV JNETO 3 (SAMPAIO) FINAL 2" xfId="33" xr:uid="{00000000-0005-0000-0000-000020000000}"/>
    <cellStyle name="Separador de milhares_Projeto Completo Água - Água  Boa(alterado)" xfId="25" xr:uid="{00000000-0005-0000-0000-000021000000}"/>
    <cellStyle name="Vírgula" xfId="26" builtinId="3"/>
    <cellStyle name="Vírgula 12" xfId="27" xr:uid="{00000000-0005-0000-0000-000023000000}"/>
    <cellStyle name="Vírgula 2" xfId="28" xr:uid="{00000000-0005-0000-0000-000024000000}"/>
    <cellStyle name="Vírgula 2 2 2" xfId="32" xr:uid="{00000000-0005-0000-0000-000025000000}"/>
    <cellStyle name="Vírgula 3" xfId="31" xr:uid="{00000000-0005-0000-0000-000026000000}"/>
    <cellStyle name="Vírgula 5" xfId="29" xr:uid="{00000000-0005-0000-0000-000027000000}"/>
    <cellStyle name="Vírgula 5 6" xfId="30" xr:uid="{00000000-0005-0000-0000-000028000000}"/>
  </cellStyles>
  <dxfs count="44">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rgb="FFFFFFFF"/>
        </patternFill>
      </fill>
    </dxf>
    <dxf>
      <fill>
        <patternFill>
          <bgColor indexed="47"/>
        </patternFill>
      </fill>
    </dxf>
    <dxf>
      <fill>
        <patternFill>
          <bgColor theme="0" tint="-0.14996795556505021"/>
        </patternFill>
      </fill>
    </dxf>
    <dxf>
      <fill>
        <patternFill>
          <bgColor rgb="FFFFFFFF"/>
        </patternFill>
      </fill>
    </dxf>
    <dxf>
      <fill>
        <patternFill>
          <bgColor indexed="47"/>
        </patternFill>
      </fill>
    </dxf>
    <dxf>
      <fill>
        <patternFill>
          <bgColor theme="0" tint="-0.14996795556505021"/>
        </patternFill>
      </fill>
    </dxf>
    <dxf>
      <fill>
        <patternFill>
          <bgColor rgb="FFFFFFFF"/>
        </patternFill>
      </fill>
    </dxf>
    <dxf>
      <fill>
        <patternFill>
          <bgColor indexed="47"/>
        </patternFill>
      </fill>
    </dxf>
    <dxf>
      <fill>
        <patternFill>
          <bgColor theme="0" tint="-0.14996795556505021"/>
        </patternFill>
      </fill>
    </dxf>
    <dxf>
      <fill>
        <patternFill>
          <bgColor rgb="FFFFFFFF"/>
        </patternFill>
      </fill>
    </dxf>
    <dxf>
      <fill>
        <patternFill>
          <bgColor indexed="47"/>
        </patternFill>
      </fill>
    </dxf>
    <dxf>
      <fill>
        <patternFill>
          <bgColor theme="0" tint="-0.14996795556505021"/>
        </patternFill>
      </fill>
    </dxf>
    <dxf>
      <fill>
        <patternFill>
          <bgColor rgb="FFFFFFFF"/>
        </patternFill>
      </fill>
    </dxf>
    <dxf>
      <fill>
        <patternFill>
          <bgColor indexed="47"/>
        </patternFill>
      </fill>
    </dxf>
    <dxf>
      <fill>
        <patternFill>
          <bgColor theme="0" tint="-0.14996795556505021"/>
        </patternFill>
      </fill>
    </dxf>
    <dxf>
      <fill>
        <patternFill>
          <bgColor rgb="FFFFFFFF"/>
        </patternFill>
      </fill>
    </dxf>
    <dxf>
      <fill>
        <patternFill>
          <bgColor theme="0" tint="-0.14996795556505021"/>
        </patternFill>
      </fill>
    </dxf>
    <dxf>
      <fill>
        <patternFill>
          <bgColor rgb="FFFFFFFF"/>
        </patternFill>
      </fill>
    </dxf>
  </dxfs>
  <tableStyles count="1" defaultTableStyle="TableStyleMedium2" defaultPivotStyle="PivotStyleLight16">
    <tableStyle name="Invisible" pivot="0" table="0" count="0" xr9:uid="{00000000-0011-0000-FFFF-FFFF00000000}"/>
  </tableStyles>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9.xml"/><Relationship Id="rId47" Type="http://schemas.openxmlformats.org/officeDocument/2006/relationships/externalLink" Target="externalLinks/externalLink14.xml"/><Relationship Id="rId63" Type="http://schemas.openxmlformats.org/officeDocument/2006/relationships/externalLink" Target="externalLinks/externalLink30.xml"/><Relationship Id="rId68" Type="http://schemas.openxmlformats.org/officeDocument/2006/relationships/externalLink" Target="externalLinks/externalLink35.xml"/><Relationship Id="rId84" Type="http://schemas.openxmlformats.org/officeDocument/2006/relationships/externalLink" Target="externalLinks/externalLink51.xml"/><Relationship Id="rId89" Type="http://schemas.openxmlformats.org/officeDocument/2006/relationships/externalLink" Target="externalLinks/externalLink56.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externalLink" Target="externalLinks/externalLink4.xml"/><Relationship Id="rId53" Type="http://schemas.openxmlformats.org/officeDocument/2006/relationships/externalLink" Target="externalLinks/externalLink20.xml"/><Relationship Id="rId58" Type="http://schemas.openxmlformats.org/officeDocument/2006/relationships/externalLink" Target="externalLinks/externalLink25.xml"/><Relationship Id="rId74" Type="http://schemas.openxmlformats.org/officeDocument/2006/relationships/externalLink" Target="externalLinks/externalLink41.xml"/><Relationship Id="rId79" Type="http://schemas.openxmlformats.org/officeDocument/2006/relationships/externalLink" Target="externalLinks/externalLink46.xml"/><Relationship Id="rId102"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externalLink" Target="externalLinks/externalLink57.xml"/><Relationship Id="rId95" Type="http://schemas.openxmlformats.org/officeDocument/2006/relationships/externalLink" Target="externalLinks/externalLink6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0.xml"/><Relationship Id="rId48" Type="http://schemas.openxmlformats.org/officeDocument/2006/relationships/externalLink" Target="externalLinks/externalLink15.xml"/><Relationship Id="rId64" Type="http://schemas.openxmlformats.org/officeDocument/2006/relationships/externalLink" Target="externalLinks/externalLink31.xml"/><Relationship Id="rId69" Type="http://schemas.openxmlformats.org/officeDocument/2006/relationships/externalLink" Target="externalLinks/externalLink36.xml"/><Relationship Id="rId80" Type="http://schemas.openxmlformats.org/officeDocument/2006/relationships/externalLink" Target="externalLinks/externalLink47.xml"/><Relationship Id="rId85" Type="http://schemas.openxmlformats.org/officeDocument/2006/relationships/externalLink" Target="externalLinks/externalLink52.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externalLink" Target="externalLinks/externalLink13.xml"/><Relationship Id="rId59" Type="http://schemas.openxmlformats.org/officeDocument/2006/relationships/externalLink" Target="externalLinks/externalLink26.xml"/><Relationship Id="rId67" Type="http://schemas.openxmlformats.org/officeDocument/2006/relationships/externalLink" Target="externalLinks/externalLink34.xml"/><Relationship Id="rId103"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8.xml"/><Relationship Id="rId54" Type="http://schemas.openxmlformats.org/officeDocument/2006/relationships/externalLink" Target="externalLinks/externalLink21.xml"/><Relationship Id="rId62" Type="http://schemas.openxmlformats.org/officeDocument/2006/relationships/externalLink" Target="externalLinks/externalLink29.xml"/><Relationship Id="rId70" Type="http://schemas.openxmlformats.org/officeDocument/2006/relationships/externalLink" Target="externalLinks/externalLink37.xml"/><Relationship Id="rId75" Type="http://schemas.openxmlformats.org/officeDocument/2006/relationships/externalLink" Target="externalLinks/externalLink42.xml"/><Relationship Id="rId83" Type="http://schemas.openxmlformats.org/officeDocument/2006/relationships/externalLink" Target="externalLinks/externalLink50.xml"/><Relationship Id="rId88" Type="http://schemas.openxmlformats.org/officeDocument/2006/relationships/externalLink" Target="externalLinks/externalLink55.xml"/><Relationship Id="rId91" Type="http://schemas.openxmlformats.org/officeDocument/2006/relationships/externalLink" Target="externalLinks/externalLink58.xml"/><Relationship Id="rId96" Type="http://schemas.openxmlformats.org/officeDocument/2006/relationships/externalLink" Target="externalLinks/externalLink6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49" Type="http://schemas.openxmlformats.org/officeDocument/2006/relationships/externalLink" Target="externalLinks/externalLink16.xml"/><Relationship Id="rId57" Type="http://schemas.openxmlformats.org/officeDocument/2006/relationships/externalLink" Target="externalLinks/externalLink2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1.xml"/><Relationship Id="rId52" Type="http://schemas.openxmlformats.org/officeDocument/2006/relationships/externalLink" Target="externalLinks/externalLink19.xml"/><Relationship Id="rId60" Type="http://schemas.openxmlformats.org/officeDocument/2006/relationships/externalLink" Target="externalLinks/externalLink27.xml"/><Relationship Id="rId65" Type="http://schemas.openxmlformats.org/officeDocument/2006/relationships/externalLink" Target="externalLinks/externalLink32.xml"/><Relationship Id="rId73" Type="http://schemas.openxmlformats.org/officeDocument/2006/relationships/externalLink" Target="externalLinks/externalLink40.xml"/><Relationship Id="rId78" Type="http://schemas.openxmlformats.org/officeDocument/2006/relationships/externalLink" Target="externalLinks/externalLink45.xml"/><Relationship Id="rId81" Type="http://schemas.openxmlformats.org/officeDocument/2006/relationships/externalLink" Target="externalLinks/externalLink48.xml"/><Relationship Id="rId86" Type="http://schemas.openxmlformats.org/officeDocument/2006/relationships/externalLink" Target="externalLinks/externalLink53.xml"/><Relationship Id="rId94" Type="http://schemas.openxmlformats.org/officeDocument/2006/relationships/externalLink" Target="externalLinks/externalLink61.xml"/><Relationship Id="rId99" Type="http://schemas.openxmlformats.org/officeDocument/2006/relationships/externalLink" Target="externalLinks/externalLink66.xml"/><Relationship Id="rId10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6.xml"/><Relationship Id="rId34" Type="http://schemas.openxmlformats.org/officeDocument/2006/relationships/externalLink" Target="externalLinks/externalLink1.xml"/><Relationship Id="rId50" Type="http://schemas.openxmlformats.org/officeDocument/2006/relationships/externalLink" Target="externalLinks/externalLink17.xml"/><Relationship Id="rId55" Type="http://schemas.openxmlformats.org/officeDocument/2006/relationships/externalLink" Target="externalLinks/externalLink22.xml"/><Relationship Id="rId76" Type="http://schemas.openxmlformats.org/officeDocument/2006/relationships/externalLink" Target="externalLinks/externalLink43.xml"/><Relationship Id="rId97" Type="http://schemas.openxmlformats.org/officeDocument/2006/relationships/externalLink" Target="externalLinks/externalLink64.xml"/><Relationship Id="rId7" Type="http://schemas.openxmlformats.org/officeDocument/2006/relationships/worksheet" Target="worksheets/sheet7.xml"/><Relationship Id="rId71" Type="http://schemas.openxmlformats.org/officeDocument/2006/relationships/externalLink" Target="externalLinks/externalLink38.xml"/><Relationship Id="rId92" Type="http://schemas.openxmlformats.org/officeDocument/2006/relationships/externalLink" Target="externalLinks/externalLink59.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7.xml"/><Relationship Id="rId45" Type="http://schemas.openxmlformats.org/officeDocument/2006/relationships/externalLink" Target="externalLinks/externalLink12.xml"/><Relationship Id="rId66" Type="http://schemas.openxmlformats.org/officeDocument/2006/relationships/externalLink" Target="externalLinks/externalLink33.xml"/><Relationship Id="rId87" Type="http://schemas.openxmlformats.org/officeDocument/2006/relationships/externalLink" Target="externalLinks/externalLink54.xml"/><Relationship Id="rId61" Type="http://schemas.openxmlformats.org/officeDocument/2006/relationships/externalLink" Target="externalLinks/externalLink28.xml"/><Relationship Id="rId82" Type="http://schemas.openxmlformats.org/officeDocument/2006/relationships/externalLink" Target="externalLinks/externalLink49.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externalLink" Target="externalLinks/externalLink2.xml"/><Relationship Id="rId56" Type="http://schemas.openxmlformats.org/officeDocument/2006/relationships/externalLink" Target="externalLinks/externalLink23.xml"/><Relationship Id="rId77" Type="http://schemas.openxmlformats.org/officeDocument/2006/relationships/externalLink" Target="externalLinks/externalLink44.xml"/><Relationship Id="rId100"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18.xml"/><Relationship Id="rId72" Type="http://schemas.openxmlformats.org/officeDocument/2006/relationships/externalLink" Target="externalLinks/externalLink39.xml"/><Relationship Id="rId93" Type="http://schemas.openxmlformats.org/officeDocument/2006/relationships/externalLink" Target="externalLinks/externalLink60.xml"/><Relationship Id="rId98" Type="http://schemas.openxmlformats.org/officeDocument/2006/relationships/externalLink" Target="externalLinks/externalLink65.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emf"/></Relationships>
</file>

<file path=xl/drawings/_rels/drawing2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emf"/></Relationships>
</file>

<file path=xl/drawings/_rels/drawing28.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5.w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3</xdr:col>
      <xdr:colOff>4051300</xdr:colOff>
      <xdr:row>0</xdr:row>
      <xdr:rowOff>120650</xdr:rowOff>
    </xdr:from>
    <xdr:to>
      <xdr:col>3</xdr:col>
      <xdr:colOff>1123950</xdr:colOff>
      <xdr:row>0</xdr:row>
      <xdr:rowOff>762000</xdr:rowOff>
    </xdr:to>
    <xdr:pic>
      <xdr:nvPicPr>
        <xdr:cNvPr id="2" name="Imagem 2" descr="Descrição: logo10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94100" y="120650"/>
          <a:ext cx="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444500</xdr:colOff>
      <xdr:row>0</xdr:row>
      <xdr:rowOff>16329</xdr:rowOff>
    </xdr:from>
    <xdr:to>
      <xdr:col>5</xdr:col>
      <xdr:colOff>684893</xdr:colOff>
      <xdr:row>3</xdr:row>
      <xdr:rowOff>156029</xdr:rowOff>
    </xdr:to>
    <xdr:pic>
      <xdr:nvPicPr>
        <xdr:cNvPr id="3" name="Imagem 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45857" y="16329"/>
          <a:ext cx="1691821"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3333751</xdr:colOff>
      <xdr:row>2</xdr:row>
      <xdr:rowOff>401132</xdr:rowOff>
    </xdr:from>
    <xdr:to>
      <xdr:col>9</xdr:col>
      <xdr:colOff>1547812</xdr:colOff>
      <xdr:row>5</xdr:row>
      <xdr:rowOff>353493</xdr:rowOff>
    </xdr:to>
    <xdr:pic>
      <xdr:nvPicPr>
        <xdr:cNvPr id="2" name="Imagem 4">
          <a:extLst>
            <a:ext uri="{FF2B5EF4-FFF2-40B4-BE49-F238E27FC236}">
              <a16:creationId xmlns:a16="http://schemas.microsoft.com/office/drawing/2014/main" id="{446C6755-5EE5-49DF-9D61-6F53F7716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94501" y="1186945"/>
          <a:ext cx="2000249" cy="14525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917864</xdr:colOff>
      <xdr:row>2</xdr:row>
      <xdr:rowOff>500637</xdr:rowOff>
    </xdr:from>
    <xdr:to>
      <xdr:col>3</xdr:col>
      <xdr:colOff>2822864</xdr:colOff>
      <xdr:row>5</xdr:row>
      <xdr:rowOff>396788</xdr:rowOff>
    </xdr:to>
    <xdr:pic>
      <xdr:nvPicPr>
        <xdr:cNvPr id="2" name="Imagem 4">
          <a:extLst>
            <a:ext uri="{FF2B5EF4-FFF2-40B4-BE49-F238E27FC236}">
              <a16:creationId xmlns:a16="http://schemas.microsoft.com/office/drawing/2014/main" id="{7AA9F50F-497A-4AC9-970E-CC3B6DA19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05955" y="1297273"/>
          <a:ext cx="1905000" cy="1402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381000</xdr:colOff>
      <xdr:row>67</xdr:row>
      <xdr:rowOff>76200</xdr:rowOff>
    </xdr:from>
    <xdr:to>
      <xdr:col>2</xdr:col>
      <xdr:colOff>899160</xdr:colOff>
      <xdr:row>67</xdr:row>
      <xdr:rowOff>76200</xdr:rowOff>
    </xdr:to>
    <xdr:sp macro="" textlink="">
      <xdr:nvSpPr>
        <xdr:cNvPr id="2" name="Line 29">
          <a:extLst>
            <a:ext uri="{FF2B5EF4-FFF2-40B4-BE49-F238E27FC236}">
              <a16:creationId xmlns:a16="http://schemas.microsoft.com/office/drawing/2014/main" id="{00000000-0008-0000-0D00-000002000000}"/>
            </a:ext>
          </a:extLst>
        </xdr:cNvPr>
        <xdr:cNvSpPr>
          <a:spLocks noChangeShapeType="1"/>
        </xdr:cNvSpPr>
      </xdr:nvSpPr>
      <xdr:spPr bwMode="auto">
        <a:xfrm>
          <a:off x="1958340" y="12504420"/>
          <a:ext cx="51816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243840</xdr:colOff>
      <xdr:row>67</xdr:row>
      <xdr:rowOff>129540</xdr:rowOff>
    </xdr:from>
    <xdr:to>
      <xdr:col>2</xdr:col>
      <xdr:colOff>312420</xdr:colOff>
      <xdr:row>67</xdr:row>
      <xdr:rowOff>335280</xdr:rowOff>
    </xdr:to>
    <xdr:sp macro="" textlink="">
      <xdr:nvSpPr>
        <xdr:cNvPr id="3" name="Line 27">
          <a:extLst>
            <a:ext uri="{FF2B5EF4-FFF2-40B4-BE49-F238E27FC236}">
              <a16:creationId xmlns:a16="http://schemas.microsoft.com/office/drawing/2014/main" id="{00000000-0008-0000-0D00-000003000000}"/>
            </a:ext>
          </a:extLst>
        </xdr:cNvPr>
        <xdr:cNvSpPr>
          <a:spLocks noChangeShapeType="1"/>
        </xdr:cNvSpPr>
      </xdr:nvSpPr>
      <xdr:spPr bwMode="auto">
        <a:xfrm>
          <a:off x="1821180" y="12557760"/>
          <a:ext cx="68580" cy="20574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312420</xdr:colOff>
      <xdr:row>67</xdr:row>
      <xdr:rowOff>76200</xdr:rowOff>
    </xdr:from>
    <xdr:to>
      <xdr:col>2</xdr:col>
      <xdr:colOff>388620</xdr:colOff>
      <xdr:row>67</xdr:row>
      <xdr:rowOff>335280</xdr:rowOff>
    </xdr:to>
    <xdr:sp macro="" textlink="">
      <xdr:nvSpPr>
        <xdr:cNvPr id="4" name="Line 28">
          <a:extLst>
            <a:ext uri="{FF2B5EF4-FFF2-40B4-BE49-F238E27FC236}">
              <a16:creationId xmlns:a16="http://schemas.microsoft.com/office/drawing/2014/main" id="{00000000-0008-0000-0D00-000004000000}"/>
            </a:ext>
          </a:extLst>
        </xdr:cNvPr>
        <xdr:cNvSpPr>
          <a:spLocks noChangeShapeType="1"/>
        </xdr:cNvSpPr>
      </xdr:nvSpPr>
      <xdr:spPr bwMode="auto">
        <a:xfrm flipV="1">
          <a:off x="1889760" y="12504420"/>
          <a:ext cx="76200" cy="25908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419100</xdr:colOff>
      <xdr:row>261</xdr:row>
      <xdr:rowOff>45720</xdr:rowOff>
    </xdr:from>
    <xdr:to>
      <xdr:col>2</xdr:col>
      <xdr:colOff>45720</xdr:colOff>
      <xdr:row>261</xdr:row>
      <xdr:rowOff>45720</xdr:rowOff>
    </xdr:to>
    <xdr:sp macro="" textlink="">
      <xdr:nvSpPr>
        <xdr:cNvPr id="5" name="Line 29">
          <a:extLst>
            <a:ext uri="{FF2B5EF4-FFF2-40B4-BE49-F238E27FC236}">
              <a16:creationId xmlns:a16="http://schemas.microsoft.com/office/drawing/2014/main" id="{00000000-0008-0000-0D00-000005000000}"/>
            </a:ext>
          </a:extLst>
        </xdr:cNvPr>
        <xdr:cNvSpPr>
          <a:spLocks noChangeShapeType="1"/>
        </xdr:cNvSpPr>
      </xdr:nvSpPr>
      <xdr:spPr bwMode="auto">
        <a:xfrm>
          <a:off x="1097280" y="41071800"/>
          <a:ext cx="52578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243840</xdr:colOff>
      <xdr:row>261</xdr:row>
      <xdr:rowOff>129540</xdr:rowOff>
    </xdr:from>
    <xdr:to>
      <xdr:col>1</xdr:col>
      <xdr:colOff>312420</xdr:colOff>
      <xdr:row>261</xdr:row>
      <xdr:rowOff>335280</xdr:rowOff>
    </xdr:to>
    <xdr:sp macro="" textlink="">
      <xdr:nvSpPr>
        <xdr:cNvPr id="6" name="Line 27">
          <a:extLst>
            <a:ext uri="{FF2B5EF4-FFF2-40B4-BE49-F238E27FC236}">
              <a16:creationId xmlns:a16="http://schemas.microsoft.com/office/drawing/2014/main" id="{00000000-0008-0000-0D00-000006000000}"/>
            </a:ext>
          </a:extLst>
        </xdr:cNvPr>
        <xdr:cNvSpPr>
          <a:spLocks noChangeShapeType="1"/>
        </xdr:cNvSpPr>
      </xdr:nvSpPr>
      <xdr:spPr bwMode="auto">
        <a:xfrm>
          <a:off x="922020" y="41155620"/>
          <a:ext cx="68580" cy="20574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312420</xdr:colOff>
      <xdr:row>261</xdr:row>
      <xdr:rowOff>45720</xdr:rowOff>
    </xdr:from>
    <xdr:to>
      <xdr:col>1</xdr:col>
      <xdr:colOff>426720</xdr:colOff>
      <xdr:row>261</xdr:row>
      <xdr:rowOff>327660</xdr:rowOff>
    </xdr:to>
    <xdr:sp macro="" textlink="">
      <xdr:nvSpPr>
        <xdr:cNvPr id="7" name="Line 28">
          <a:extLst>
            <a:ext uri="{FF2B5EF4-FFF2-40B4-BE49-F238E27FC236}">
              <a16:creationId xmlns:a16="http://schemas.microsoft.com/office/drawing/2014/main" id="{00000000-0008-0000-0D00-000007000000}"/>
            </a:ext>
          </a:extLst>
        </xdr:cNvPr>
        <xdr:cNvSpPr>
          <a:spLocks noChangeShapeType="1"/>
        </xdr:cNvSpPr>
      </xdr:nvSpPr>
      <xdr:spPr bwMode="auto">
        <a:xfrm flipV="1">
          <a:off x="990600" y="41071800"/>
          <a:ext cx="114300" cy="28194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xdr:from>
          <xdr:col>9</xdr:col>
          <xdr:colOff>0</xdr:colOff>
          <xdr:row>37</xdr:row>
          <xdr:rowOff>95250</xdr:rowOff>
        </xdr:from>
        <xdr:to>
          <xdr:col>9</xdr:col>
          <xdr:colOff>0</xdr:colOff>
          <xdr:row>40</xdr:row>
          <xdr:rowOff>38100</xdr:rowOff>
        </xdr:to>
        <xdr:sp macro="" textlink="">
          <xdr:nvSpPr>
            <xdr:cNvPr id="153601" name="Object 1" hidden="1">
              <a:extLst>
                <a:ext uri="{63B3BB69-23CF-44E3-9099-C40C66FF867C}">
                  <a14:compatExt spid="_x0000_s153601"/>
                </a:ext>
                <a:ext uri="{FF2B5EF4-FFF2-40B4-BE49-F238E27FC236}">
                  <a16:creationId xmlns:a16="http://schemas.microsoft.com/office/drawing/2014/main" id="{00000000-0008-0000-0D00-0000015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552450</xdr:colOff>
          <xdr:row>153</xdr:row>
          <xdr:rowOff>0</xdr:rowOff>
        </xdr:from>
        <xdr:to>
          <xdr:col>2</xdr:col>
          <xdr:colOff>400050</xdr:colOff>
          <xdr:row>153</xdr:row>
          <xdr:rowOff>0</xdr:rowOff>
        </xdr:to>
        <xdr:sp macro="" textlink="">
          <xdr:nvSpPr>
            <xdr:cNvPr id="153602" name="Object 2" hidden="1">
              <a:extLst>
                <a:ext uri="{63B3BB69-23CF-44E3-9099-C40C66FF867C}">
                  <a14:compatExt spid="_x0000_s153602"/>
                </a:ext>
                <a:ext uri="{FF2B5EF4-FFF2-40B4-BE49-F238E27FC236}">
                  <a16:creationId xmlns:a16="http://schemas.microsoft.com/office/drawing/2014/main" id="{00000000-0008-0000-0D00-0000025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327</xdr:row>
          <xdr:rowOff>0</xdr:rowOff>
        </xdr:from>
        <xdr:to>
          <xdr:col>3</xdr:col>
          <xdr:colOff>104775</xdr:colOff>
          <xdr:row>327</xdr:row>
          <xdr:rowOff>0</xdr:rowOff>
        </xdr:to>
        <xdr:sp macro="" textlink="">
          <xdr:nvSpPr>
            <xdr:cNvPr id="153603" name="Object 3" hidden="1">
              <a:extLst>
                <a:ext uri="{63B3BB69-23CF-44E3-9099-C40C66FF867C}">
                  <a14:compatExt spid="_x0000_s153603"/>
                </a:ext>
                <a:ext uri="{FF2B5EF4-FFF2-40B4-BE49-F238E27FC236}">
                  <a16:creationId xmlns:a16="http://schemas.microsoft.com/office/drawing/2014/main" id="{00000000-0008-0000-0D00-0000035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552450</xdr:colOff>
          <xdr:row>327</xdr:row>
          <xdr:rowOff>0</xdr:rowOff>
        </xdr:from>
        <xdr:to>
          <xdr:col>2</xdr:col>
          <xdr:colOff>400050</xdr:colOff>
          <xdr:row>327</xdr:row>
          <xdr:rowOff>0</xdr:rowOff>
        </xdr:to>
        <xdr:sp macro="" textlink="">
          <xdr:nvSpPr>
            <xdr:cNvPr id="153604" name="Object 4" hidden="1">
              <a:extLst>
                <a:ext uri="{63B3BB69-23CF-44E3-9099-C40C66FF867C}">
                  <a14:compatExt spid="_x0000_s153604"/>
                </a:ext>
                <a:ext uri="{FF2B5EF4-FFF2-40B4-BE49-F238E27FC236}">
                  <a16:creationId xmlns:a16="http://schemas.microsoft.com/office/drawing/2014/main" id="{00000000-0008-0000-0D00-00000458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2</xdr:col>
      <xdr:colOff>381000</xdr:colOff>
      <xdr:row>168</xdr:row>
      <xdr:rowOff>76200</xdr:rowOff>
    </xdr:from>
    <xdr:to>
      <xdr:col>2</xdr:col>
      <xdr:colOff>899160</xdr:colOff>
      <xdr:row>168</xdr:row>
      <xdr:rowOff>76200</xdr:rowOff>
    </xdr:to>
    <xdr:sp macro="" textlink="">
      <xdr:nvSpPr>
        <xdr:cNvPr id="12" name="Line 29">
          <a:extLst>
            <a:ext uri="{FF2B5EF4-FFF2-40B4-BE49-F238E27FC236}">
              <a16:creationId xmlns:a16="http://schemas.microsoft.com/office/drawing/2014/main" id="{00000000-0008-0000-0D00-00000C000000}"/>
            </a:ext>
          </a:extLst>
        </xdr:cNvPr>
        <xdr:cNvSpPr>
          <a:spLocks noChangeShapeType="1"/>
        </xdr:cNvSpPr>
      </xdr:nvSpPr>
      <xdr:spPr bwMode="auto">
        <a:xfrm>
          <a:off x="1958340" y="26990040"/>
          <a:ext cx="51816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243840</xdr:colOff>
      <xdr:row>168</xdr:row>
      <xdr:rowOff>129540</xdr:rowOff>
    </xdr:from>
    <xdr:to>
      <xdr:col>2</xdr:col>
      <xdr:colOff>312420</xdr:colOff>
      <xdr:row>168</xdr:row>
      <xdr:rowOff>335280</xdr:rowOff>
    </xdr:to>
    <xdr:sp macro="" textlink="">
      <xdr:nvSpPr>
        <xdr:cNvPr id="13" name="Line 27">
          <a:extLst>
            <a:ext uri="{FF2B5EF4-FFF2-40B4-BE49-F238E27FC236}">
              <a16:creationId xmlns:a16="http://schemas.microsoft.com/office/drawing/2014/main" id="{00000000-0008-0000-0D00-00000D000000}"/>
            </a:ext>
          </a:extLst>
        </xdr:cNvPr>
        <xdr:cNvSpPr>
          <a:spLocks noChangeShapeType="1"/>
        </xdr:cNvSpPr>
      </xdr:nvSpPr>
      <xdr:spPr bwMode="auto">
        <a:xfrm>
          <a:off x="1821180" y="27043380"/>
          <a:ext cx="68580" cy="20574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312420</xdr:colOff>
      <xdr:row>168</xdr:row>
      <xdr:rowOff>76200</xdr:rowOff>
    </xdr:from>
    <xdr:to>
      <xdr:col>2</xdr:col>
      <xdr:colOff>388620</xdr:colOff>
      <xdr:row>168</xdr:row>
      <xdr:rowOff>335280</xdr:rowOff>
    </xdr:to>
    <xdr:sp macro="" textlink="">
      <xdr:nvSpPr>
        <xdr:cNvPr id="14" name="Line 28">
          <a:extLst>
            <a:ext uri="{FF2B5EF4-FFF2-40B4-BE49-F238E27FC236}">
              <a16:creationId xmlns:a16="http://schemas.microsoft.com/office/drawing/2014/main" id="{00000000-0008-0000-0D00-00000E000000}"/>
            </a:ext>
          </a:extLst>
        </xdr:cNvPr>
        <xdr:cNvSpPr>
          <a:spLocks noChangeShapeType="1"/>
        </xdr:cNvSpPr>
      </xdr:nvSpPr>
      <xdr:spPr bwMode="auto">
        <a:xfrm flipV="1">
          <a:off x="1889760" y="26990040"/>
          <a:ext cx="76200" cy="25908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1971146</xdr:colOff>
      <xdr:row>0</xdr:row>
      <xdr:rowOff>119062</xdr:rowOff>
    </xdr:from>
    <xdr:to>
      <xdr:col>3</xdr:col>
      <xdr:colOff>220487</xdr:colOff>
      <xdr:row>1</xdr:row>
      <xdr:rowOff>555625</xdr:rowOff>
    </xdr:to>
    <xdr:pic>
      <xdr:nvPicPr>
        <xdr:cNvPr id="2" name="Imagem 4">
          <a:extLst>
            <a:ext uri="{FF2B5EF4-FFF2-40B4-BE49-F238E27FC236}">
              <a16:creationId xmlns:a16="http://schemas.microsoft.com/office/drawing/2014/main" id="{731EEF9E-74B1-4BDD-9500-D4A1A4301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2500" y="119062"/>
          <a:ext cx="961320" cy="6217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254739</xdr:colOff>
      <xdr:row>0</xdr:row>
      <xdr:rowOff>66453</xdr:rowOff>
    </xdr:from>
    <xdr:to>
      <xdr:col>4</xdr:col>
      <xdr:colOff>22153</xdr:colOff>
      <xdr:row>3</xdr:row>
      <xdr:rowOff>33227</xdr:rowOff>
    </xdr:to>
    <xdr:pic>
      <xdr:nvPicPr>
        <xdr:cNvPr id="3" name="Imagem 4">
          <a:extLst>
            <a:ext uri="{FF2B5EF4-FFF2-40B4-BE49-F238E27FC236}">
              <a16:creationId xmlns:a16="http://schemas.microsoft.com/office/drawing/2014/main" id="{B3109BA1-B0AB-471A-88CC-4E83EDA3FE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88489" y="66453"/>
          <a:ext cx="609158" cy="4984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2095500</xdr:colOff>
      <xdr:row>0</xdr:row>
      <xdr:rowOff>152401</xdr:rowOff>
    </xdr:from>
    <xdr:to>
      <xdr:col>3</xdr:col>
      <xdr:colOff>87478</xdr:colOff>
      <xdr:row>1</xdr:row>
      <xdr:rowOff>514351</xdr:rowOff>
    </xdr:to>
    <xdr:pic>
      <xdr:nvPicPr>
        <xdr:cNvPr id="2" name="Imagem 4">
          <a:extLst>
            <a:ext uri="{FF2B5EF4-FFF2-40B4-BE49-F238E27FC236}">
              <a16:creationId xmlns:a16="http://schemas.microsoft.com/office/drawing/2014/main" id="{F2843785-1388-4E86-A0DC-D0667BFC44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0" y="152401"/>
          <a:ext cx="706603"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2000250</xdr:colOff>
      <xdr:row>0</xdr:row>
      <xdr:rowOff>133350</xdr:rowOff>
    </xdr:from>
    <xdr:to>
      <xdr:col>3</xdr:col>
      <xdr:colOff>54208</xdr:colOff>
      <xdr:row>2</xdr:row>
      <xdr:rowOff>0</xdr:rowOff>
    </xdr:to>
    <xdr:pic>
      <xdr:nvPicPr>
        <xdr:cNvPr id="2" name="Imagem 4">
          <a:extLst>
            <a:ext uri="{FF2B5EF4-FFF2-40B4-BE49-F238E27FC236}">
              <a16:creationId xmlns:a16="http://schemas.microsoft.com/office/drawing/2014/main" id="{8F8B7AA2-0EC2-4EB0-BF0F-7370C9E3C2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0" y="133350"/>
          <a:ext cx="768583"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2028826</xdr:colOff>
      <xdr:row>0</xdr:row>
      <xdr:rowOff>123825</xdr:rowOff>
    </xdr:from>
    <xdr:to>
      <xdr:col>3</xdr:col>
      <xdr:colOff>67401</xdr:colOff>
      <xdr:row>2</xdr:row>
      <xdr:rowOff>19050</xdr:rowOff>
    </xdr:to>
    <xdr:pic>
      <xdr:nvPicPr>
        <xdr:cNvPr id="2" name="Imagem 4">
          <a:extLst>
            <a:ext uri="{FF2B5EF4-FFF2-40B4-BE49-F238E27FC236}">
              <a16:creationId xmlns:a16="http://schemas.microsoft.com/office/drawing/2014/main" id="{49424DB1-97C5-4EFB-BEA2-FAEDC828A4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57576" y="123825"/>
          <a:ext cx="7532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2073728</xdr:colOff>
      <xdr:row>0</xdr:row>
      <xdr:rowOff>92528</xdr:rowOff>
    </xdr:from>
    <xdr:to>
      <xdr:col>3</xdr:col>
      <xdr:colOff>174172</xdr:colOff>
      <xdr:row>2</xdr:row>
      <xdr:rowOff>5904</xdr:rowOff>
    </xdr:to>
    <xdr:pic>
      <xdr:nvPicPr>
        <xdr:cNvPr id="2" name="Imagem 4">
          <a:extLst>
            <a:ext uri="{FF2B5EF4-FFF2-40B4-BE49-F238E27FC236}">
              <a16:creationId xmlns:a16="http://schemas.microsoft.com/office/drawing/2014/main" id="{773ECFF4-FBBE-47F4-8F8C-7EEFE668D1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99757" y="92528"/>
          <a:ext cx="816429" cy="6862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2160984</xdr:colOff>
      <xdr:row>0</xdr:row>
      <xdr:rowOff>148828</xdr:rowOff>
    </xdr:from>
    <xdr:to>
      <xdr:col>3</xdr:col>
      <xdr:colOff>89296</xdr:colOff>
      <xdr:row>1</xdr:row>
      <xdr:rowOff>553928</xdr:rowOff>
    </xdr:to>
    <xdr:pic>
      <xdr:nvPicPr>
        <xdr:cNvPr id="2" name="Imagem 4">
          <a:extLst>
            <a:ext uri="{FF2B5EF4-FFF2-40B4-BE49-F238E27FC236}">
              <a16:creationId xmlns:a16="http://schemas.microsoft.com/office/drawing/2014/main" id="{0D38EC77-22B3-4B8C-8221-874F2AA452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89734" y="148828"/>
          <a:ext cx="642937" cy="595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2025228</xdr:colOff>
      <xdr:row>0</xdr:row>
      <xdr:rowOff>155510</xdr:rowOff>
    </xdr:from>
    <xdr:to>
      <xdr:col>3</xdr:col>
      <xdr:colOff>1396999</xdr:colOff>
      <xdr:row>3</xdr:row>
      <xdr:rowOff>257888</xdr:rowOff>
    </xdr:to>
    <xdr:pic>
      <xdr:nvPicPr>
        <xdr:cNvPr id="2" name="Imagem 4">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97555" y="155510"/>
          <a:ext cx="1642220" cy="10354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2127250</xdr:colOff>
      <xdr:row>0</xdr:row>
      <xdr:rowOff>76200</xdr:rowOff>
    </xdr:from>
    <xdr:to>
      <xdr:col>3</xdr:col>
      <xdr:colOff>609600</xdr:colOff>
      <xdr:row>1</xdr:row>
      <xdr:rowOff>615950</xdr:rowOff>
    </xdr:to>
    <xdr:pic>
      <xdr:nvPicPr>
        <xdr:cNvPr id="62738" name="Imagem 1">
          <a:extLst>
            <a:ext uri="{FF2B5EF4-FFF2-40B4-BE49-F238E27FC236}">
              <a16:creationId xmlns:a16="http://schemas.microsoft.com/office/drawing/2014/main" id="{00000000-0008-0000-1800-000012F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94100" y="76200"/>
          <a:ext cx="16764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2161761</xdr:colOff>
      <xdr:row>0</xdr:row>
      <xdr:rowOff>157369</xdr:rowOff>
    </xdr:from>
    <xdr:to>
      <xdr:col>3</xdr:col>
      <xdr:colOff>84120</xdr:colOff>
      <xdr:row>1</xdr:row>
      <xdr:rowOff>563217</xdr:rowOff>
    </xdr:to>
    <xdr:pic>
      <xdr:nvPicPr>
        <xdr:cNvPr id="2" name="Imagem 4">
          <a:extLst>
            <a:ext uri="{FF2B5EF4-FFF2-40B4-BE49-F238E27FC236}">
              <a16:creationId xmlns:a16="http://schemas.microsoft.com/office/drawing/2014/main" id="{93EFB6F0-BC2F-4439-8D60-DFD5DD43E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86370" y="157369"/>
          <a:ext cx="639054" cy="5963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2228850</xdr:colOff>
      <xdr:row>0</xdr:row>
      <xdr:rowOff>161925</xdr:rowOff>
    </xdr:from>
    <xdr:to>
      <xdr:col>3</xdr:col>
      <xdr:colOff>180100</xdr:colOff>
      <xdr:row>2</xdr:row>
      <xdr:rowOff>0</xdr:rowOff>
    </xdr:to>
    <xdr:pic>
      <xdr:nvPicPr>
        <xdr:cNvPr id="2" name="Imagem 4">
          <a:extLst>
            <a:ext uri="{FF2B5EF4-FFF2-40B4-BE49-F238E27FC236}">
              <a16:creationId xmlns:a16="http://schemas.microsoft.com/office/drawing/2014/main" id="{FFC76AEF-2ECD-483D-9D5C-47ED682C55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61925"/>
          <a:ext cx="66587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xdr:col>
      <xdr:colOff>594360</xdr:colOff>
      <xdr:row>0</xdr:row>
      <xdr:rowOff>60960</xdr:rowOff>
    </xdr:from>
    <xdr:to>
      <xdr:col>4</xdr:col>
      <xdr:colOff>457200</xdr:colOff>
      <xdr:row>3</xdr:row>
      <xdr:rowOff>91440</xdr:rowOff>
    </xdr:to>
    <xdr:pic>
      <xdr:nvPicPr>
        <xdr:cNvPr id="2" name="Imagem 1">
          <a:extLst>
            <a:ext uri="{FF2B5EF4-FFF2-40B4-BE49-F238E27FC236}">
              <a16:creationId xmlns:a16="http://schemas.microsoft.com/office/drawing/2014/main" id="{00000000-0008-0000-1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85260" y="60960"/>
          <a:ext cx="47244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4286250</xdr:colOff>
      <xdr:row>0</xdr:row>
      <xdr:rowOff>158750</xdr:rowOff>
    </xdr:from>
    <xdr:to>
      <xdr:col>2</xdr:col>
      <xdr:colOff>238125</xdr:colOff>
      <xdr:row>1</xdr:row>
      <xdr:rowOff>924992</xdr:rowOff>
    </xdr:to>
    <xdr:pic>
      <xdr:nvPicPr>
        <xdr:cNvPr id="2" name="Imagem 4">
          <a:extLst>
            <a:ext uri="{FF2B5EF4-FFF2-40B4-BE49-F238E27FC236}">
              <a16:creationId xmlns:a16="http://schemas.microsoft.com/office/drawing/2014/main" id="{A63CFA35-D31F-462D-914B-60D06B081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75250" y="158750"/>
          <a:ext cx="1127125" cy="1020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oneCellAnchor>
    <xdr:from>
      <xdr:col>0</xdr:col>
      <xdr:colOff>527050</xdr:colOff>
      <xdr:row>45</xdr:row>
      <xdr:rowOff>193674</xdr:rowOff>
    </xdr:from>
    <xdr:ext cx="4399706" cy="647701"/>
    <mc:AlternateContent xmlns:mc="http://schemas.openxmlformats.org/markup-compatibility/2006" xmlns:a14="http://schemas.microsoft.com/office/drawing/2010/main">
      <mc:Choice Requires="a14">
        <xdr:sp macro="" textlink="">
          <xdr:nvSpPr>
            <xdr:cNvPr id="5" name="CaixaDeTexto 4">
              <a:extLst>
                <a:ext uri="{FF2B5EF4-FFF2-40B4-BE49-F238E27FC236}">
                  <a16:creationId xmlns:a16="http://schemas.microsoft.com/office/drawing/2014/main" id="{00000000-0008-0000-1D00-000005000000}"/>
                </a:ext>
              </a:extLst>
            </xdr:cNvPr>
            <xdr:cNvSpPr txBox="1"/>
          </xdr:nvSpPr>
          <xdr:spPr>
            <a:xfrm>
              <a:off x="508000" y="16163924"/>
              <a:ext cx="4381500" cy="6477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pt-BR" sz="1800" i="1">
                            <a:latin typeface="Cambria Math" panose="02040503050406030204" pitchFamily="18" charset="0"/>
                          </a:rPr>
                        </m:ctrlPr>
                      </m:fPr>
                      <m:num>
                        <m:d>
                          <m:dPr>
                            <m:ctrlPr>
                              <a:rPr lang="pt-BR" sz="1800" b="0" i="1">
                                <a:latin typeface="Cambria Math" panose="02040503050406030204" pitchFamily="18" charset="0"/>
                              </a:rPr>
                            </m:ctrlPr>
                          </m:dPr>
                          <m:e>
                            <m:r>
                              <a:rPr lang="pt-BR" sz="1800" b="0" i="1">
                                <a:latin typeface="Cambria Math" panose="02040503050406030204" pitchFamily="18" charset="0"/>
                              </a:rPr>
                              <m:t>1 </m:t>
                            </m:r>
                            <m:r>
                              <a:rPr lang="pt-BR" sz="1800" b="0" i="1">
                                <a:latin typeface="Cambria Math" panose="02040503050406030204" pitchFamily="18" charset="0"/>
                                <a:ea typeface="Cambria Math" panose="02040503050406030204" pitchFamily="18" charset="0"/>
                              </a:rPr>
                              <m:t>+</m:t>
                            </m:r>
                            <m:r>
                              <a:rPr lang="pt-BR" sz="1800" b="0" i="1">
                                <a:latin typeface="Cambria Math" panose="02040503050406030204" pitchFamily="18" charset="0"/>
                                <a:ea typeface="Cambria Math" panose="02040503050406030204" pitchFamily="18" charset="0"/>
                              </a:rPr>
                              <m:t>𝐴𝐶</m:t>
                            </m:r>
                            <m:r>
                              <a:rPr lang="pt-BR" sz="1800" b="0" i="1">
                                <a:latin typeface="Cambria Math" panose="02040503050406030204" pitchFamily="18" charset="0"/>
                                <a:ea typeface="Cambria Math" panose="02040503050406030204" pitchFamily="18" charset="0"/>
                              </a:rPr>
                              <m:t> +</m:t>
                            </m:r>
                            <m:r>
                              <a:rPr lang="pt-BR" sz="1800" b="0" i="1">
                                <a:latin typeface="Cambria Math" panose="02040503050406030204" pitchFamily="18" charset="0"/>
                                <a:ea typeface="Cambria Math" panose="02040503050406030204" pitchFamily="18" charset="0"/>
                              </a:rPr>
                              <m:t>𝑆</m:t>
                            </m:r>
                            <m:r>
                              <a:rPr lang="pt-BR" sz="1800" b="0" i="1">
                                <a:latin typeface="Cambria Math" panose="02040503050406030204" pitchFamily="18" charset="0"/>
                                <a:ea typeface="Cambria Math" panose="02040503050406030204" pitchFamily="18" charset="0"/>
                              </a:rPr>
                              <m:t> +</m:t>
                            </m:r>
                            <m:r>
                              <a:rPr lang="pt-BR" sz="1800" b="0" i="1">
                                <a:latin typeface="Cambria Math" panose="02040503050406030204" pitchFamily="18" charset="0"/>
                                <a:ea typeface="Cambria Math" panose="02040503050406030204" pitchFamily="18" charset="0"/>
                              </a:rPr>
                              <m:t>𝑅</m:t>
                            </m:r>
                            <m:r>
                              <a:rPr lang="pt-BR" sz="1800" b="0" i="1">
                                <a:latin typeface="Cambria Math" panose="02040503050406030204" pitchFamily="18" charset="0"/>
                                <a:ea typeface="Cambria Math" panose="02040503050406030204" pitchFamily="18" charset="0"/>
                              </a:rPr>
                              <m:t> +</m:t>
                            </m:r>
                            <m:r>
                              <a:rPr lang="pt-BR" sz="1800" b="0" i="1">
                                <a:latin typeface="Cambria Math" panose="02040503050406030204" pitchFamily="18" charset="0"/>
                                <a:ea typeface="Cambria Math" panose="02040503050406030204" pitchFamily="18" charset="0"/>
                              </a:rPr>
                              <m:t>𝐺</m:t>
                            </m:r>
                          </m:e>
                        </m:d>
                        <m:r>
                          <a:rPr lang="pt-BR" sz="1800" b="0" i="1">
                            <a:latin typeface="Cambria Math" panose="02040503050406030204" pitchFamily="18" charset="0"/>
                            <a:ea typeface="Cambria Math" panose="02040503050406030204" pitchFamily="18" charset="0"/>
                          </a:rPr>
                          <m:t>×</m:t>
                        </m:r>
                        <m:d>
                          <m:dPr>
                            <m:ctrlPr>
                              <a:rPr lang="pt-BR" sz="1800" b="0" i="1">
                                <a:latin typeface="Cambria Math" panose="02040503050406030204" pitchFamily="18" charset="0"/>
                                <a:ea typeface="Cambria Math" panose="02040503050406030204" pitchFamily="18" charset="0"/>
                              </a:rPr>
                            </m:ctrlPr>
                          </m:dPr>
                          <m:e>
                            <m:r>
                              <a:rPr lang="pt-BR" sz="1800" b="0" i="1">
                                <a:latin typeface="Cambria Math" panose="02040503050406030204" pitchFamily="18" charset="0"/>
                                <a:ea typeface="Cambria Math" panose="02040503050406030204" pitchFamily="18" charset="0"/>
                              </a:rPr>
                              <m:t>1 +</m:t>
                            </m:r>
                            <m:r>
                              <a:rPr lang="pt-BR" sz="1800" b="0" i="1">
                                <a:latin typeface="Cambria Math" panose="02040503050406030204" pitchFamily="18" charset="0"/>
                                <a:ea typeface="Cambria Math" panose="02040503050406030204" pitchFamily="18" charset="0"/>
                              </a:rPr>
                              <m:t>𝐷𝐹</m:t>
                            </m:r>
                          </m:e>
                        </m:d>
                        <m:r>
                          <a:rPr lang="pt-BR" sz="1800" b="0" i="1">
                            <a:latin typeface="Cambria Math" panose="02040503050406030204" pitchFamily="18" charset="0"/>
                            <a:ea typeface="Cambria Math" panose="02040503050406030204" pitchFamily="18" charset="0"/>
                          </a:rPr>
                          <m:t>×(1+</m:t>
                        </m:r>
                        <m:r>
                          <a:rPr lang="pt-BR" sz="1800" b="0" i="1">
                            <a:latin typeface="Cambria Math" panose="02040503050406030204" pitchFamily="18" charset="0"/>
                            <a:ea typeface="Cambria Math" panose="02040503050406030204" pitchFamily="18" charset="0"/>
                          </a:rPr>
                          <m:t>𝐿</m:t>
                        </m:r>
                        <m:r>
                          <a:rPr lang="pt-BR" sz="1800" b="0" i="1">
                            <a:latin typeface="Cambria Math" panose="02040503050406030204" pitchFamily="18" charset="0"/>
                            <a:ea typeface="Cambria Math" panose="02040503050406030204" pitchFamily="18" charset="0"/>
                          </a:rPr>
                          <m:t>)</m:t>
                        </m:r>
                      </m:num>
                      <m:den>
                        <m:r>
                          <a:rPr lang="pt-BR" sz="1800" b="0" i="1">
                            <a:latin typeface="Cambria Math" panose="02040503050406030204" pitchFamily="18" charset="0"/>
                          </a:rPr>
                          <m:t>1 </m:t>
                        </m:r>
                        <m:r>
                          <a:rPr lang="pt-BR" sz="1800" b="0" i="1">
                            <a:latin typeface="Cambria Math" panose="02040503050406030204" pitchFamily="18" charset="0"/>
                            <a:ea typeface="Cambria Math" panose="02040503050406030204" pitchFamily="18" charset="0"/>
                          </a:rPr>
                          <m:t>−</m:t>
                        </m:r>
                        <m:r>
                          <a:rPr lang="pt-BR" sz="1800" b="0" i="1">
                            <a:latin typeface="Cambria Math" panose="02040503050406030204" pitchFamily="18" charset="0"/>
                            <a:ea typeface="Cambria Math" panose="02040503050406030204" pitchFamily="18" charset="0"/>
                          </a:rPr>
                          <m:t>𝐼</m:t>
                        </m:r>
                      </m:den>
                    </m:f>
                    <m:r>
                      <a:rPr lang="pt-BR" sz="1800" b="0" i="1">
                        <a:latin typeface="Cambria Math" panose="02040503050406030204" pitchFamily="18" charset="0"/>
                      </a:rPr>
                      <m:t> </m:t>
                    </m:r>
                    <m:r>
                      <a:rPr lang="pt-BR" sz="1800" b="0" i="1">
                        <a:latin typeface="Cambria Math" panose="02040503050406030204" pitchFamily="18" charset="0"/>
                        <a:ea typeface="Cambria Math" panose="02040503050406030204" pitchFamily="18" charset="0"/>
                      </a:rPr>
                      <m:t>−1</m:t>
                    </m:r>
                  </m:oMath>
                </m:oMathPara>
              </a14:m>
              <a:endParaRPr lang="pt-BR" sz="1800"/>
            </a:p>
          </xdr:txBody>
        </xdr:sp>
      </mc:Choice>
      <mc:Fallback xmlns="">
        <xdr:sp macro="" textlink="">
          <xdr:nvSpPr>
            <xdr:cNvPr id="5" name="CaixaDeTexto 4">
              <a:extLst>
                <a:ext uri="{FF2B5EF4-FFF2-40B4-BE49-F238E27FC236}">
                  <a16:creationId xmlns:a16="http://schemas.microsoft.com/office/drawing/2014/main" id="{A2BFB16F-0641-D40F-0035-C2513C24EE9E}"/>
                </a:ext>
              </a:extLst>
            </xdr:cNvPr>
            <xdr:cNvSpPr txBox="1"/>
          </xdr:nvSpPr>
          <xdr:spPr>
            <a:xfrm>
              <a:off x="508000" y="16163924"/>
              <a:ext cx="4381500" cy="6477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pt-BR" sz="1800" i="0">
                  <a:latin typeface="Cambria Math" panose="02040503050406030204" pitchFamily="18" charset="0"/>
                </a:rPr>
                <a:t>(</a:t>
              </a:r>
              <a:r>
                <a:rPr lang="pt-BR" sz="1800" b="0" i="0">
                  <a:latin typeface="Cambria Math" panose="02040503050406030204" pitchFamily="18" charset="0"/>
                </a:rPr>
                <a:t>(1 </a:t>
              </a:r>
              <a:r>
                <a:rPr lang="pt-BR" sz="1800" b="0" i="0">
                  <a:latin typeface="Cambria Math" panose="02040503050406030204" pitchFamily="18" charset="0"/>
                  <a:ea typeface="Cambria Math" panose="02040503050406030204" pitchFamily="18" charset="0"/>
                </a:rPr>
                <a:t>+𝐴𝐶 +𝑆 +𝑅 +𝐺)×(1 +𝐷𝐹)×(1+𝐿))/(</a:t>
              </a:r>
              <a:r>
                <a:rPr lang="pt-BR" sz="1800" b="0" i="0">
                  <a:latin typeface="Cambria Math" panose="02040503050406030204" pitchFamily="18" charset="0"/>
                </a:rPr>
                <a:t>1 </a:t>
              </a:r>
              <a:r>
                <a:rPr lang="pt-BR" sz="1800" b="0" i="0">
                  <a:latin typeface="Cambria Math" panose="02040503050406030204" pitchFamily="18" charset="0"/>
                  <a:ea typeface="Cambria Math" panose="02040503050406030204" pitchFamily="18" charset="0"/>
                </a:rPr>
                <a:t>−𝐼) </a:t>
              </a:r>
              <a:r>
                <a:rPr lang="pt-BR" sz="1800" b="0" i="0">
                  <a:latin typeface="Cambria Math" panose="02040503050406030204" pitchFamily="18" charset="0"/>
                </a:rPr>
                <a:t> </a:t>
              </a:r>
              <a:r>
                <a:rPr lang="pt-BR" sz="1800" b="0" i="0">
                  <a:latin typeface="Cambria Math" panose="02040503050406030204" pitchFamily="18" charset="0"/>
                  <a:ea typeface="Cambria Math" panose="02040503050406030204" pitchFamily="18" charset="0"/>
                </a:rPr>
                <a:t>−1</a:t>
              </a:r>
              <a:endParaRPr lang="pt-BR" sz="1800"/>
            </a:p>
          </xdr:txBody>
        </xdr:sp>
      </mc:Fallback>
    </mc:AlternateContent>
    <xdr:clientData/>
  </xdr:oneCellAnchor>
  <xdr:oneCellAnchor>
    <xdr:from>
      <xdr:col>5</xdr:col>
      <xdr:colOff>1019175</xdr:colOff>
      <xdr:row>44</xdr:row>
      <xdr:rowOff>127001</xdr:rowOff>
    </xdr:from>
    <xdr:ext cx="1583576" cy="698500"/>
    <mc:AlternateContent xmlns:mc="http://schemas.openxmlformats.org/markup-compatibility/2006" xmlns:a14="http://schemas.microsoft.com/office/drawing/2010/main">
      <mc:Choice Requires="a14">
        <xdr:sp macro="" textlink="">
          <xdr:nvSpPr>
            <xdr:cNvPr id="7" name="CaixaDeTexto 6">
              <a:extLst>
                <a:ext uri="{FF2B5EF4-FFF2-40B4-BE49-F238E27FC236}">
                  <a16:creationId xmlns:a16="http://schemas.microsoft.com/office/drawing/2014/main" id="{00000000-0008-0000-1D00-000007000000}"/>
                </a:ext>
              </a:extLst>
            </xdr:cNvPr>
            <xdr:cNvSpPr txBox="1"/>
          </xdr:nvSpPr>
          <xdr:spPr>
            <a:xfrm>
              <a:off x="7880350" y="15779751"/>
              <a:ext cx="1571395" cy="698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pt-BR" sz="1800" i="1">
                            <a:latin typeface="Cambria Math" panose="02040503050406030204" pitchFamily="18" charset="0"/>
                          </a:rPr>
                        </m:ctrlPr>
                      </m:fPr>
                      <m:num>
                        <m:r>
                          <a:rPr lang="pt-BR" sz="1800" b="0" i="1">
                            <a:latin typeface="Cambria Math" panose="02040503050406030204" pitchFamily="18" charset="0"/>
                          </a:rPr>
                          <m:t>𝐴</m:t>
                        </m:r>
                        <m:r>
                          <a:rPr lang="pt-BR" sz="1800" b="0" i="1">
                            <a:latin typeface="Cambria Math" panose="02040503050406030204" pitchFamily="18" charset="0"/>
                            <a:ea typeface="Cambria Math" panose="02040503050406030204" pitchFamily="18" charset="0"/>
                          </a:rPr>
                          <m:t>×</m:t>
                        </m:r>
                        <m:r>
                          <a:rPr lang="pt-BR" sz="1800" b="0" i="1">
                            <a:latin typeface="Cambria Math" panose="02040503050406030204" pitchFamily="18" charset="0"/>
                            <a:ea typeface="Cambria Math" panose="02040503050406030204" pitchFamily="18" charset="0"/>
                          </a:rPr>
                          <m:t>𝐵</m:t>
                        </m:r>
                        <m:r>
                          <a:rPr lang="pt-BR" sz="1800" b="0" i="1">
                            <a:latin typeface="Cambria Math" panose="02040503050406030204" pitchFamily="18" charset="0"/>
                            <a:ea typeface="Cambria Math" panose="02040503050406030204" pitchFamily="18" charset="0"/>
                          </a:rPr>
                          <m:t>×</m:t>
                        </m:r>
                        <m:r>
                          <a:rPr lang="pt-BR" sz="1800" b="0" i="1">
                            <a:latin typeface="Cambria Math" panose="02040503050406030204" pitchFamily="18" charset="0"/>
                            <a:ea typeface="Cambria Math" panose="02040503050406030204" pitchFamily="18" charset="0"/>
                          </a:rPr>
                          <m:t>𝐶</m:t>
                        </m:r>
                      </m:num>
                      <m:den>
                        <m:r>
                          <a:rPr lang="pt-BR" sz="1800" b="0" i="1">
                            <a:latin typeface="Cambria Math" panose="02040503050406030204" pitchFamily="18" charset="0"/>
                          </a:rPr>
                          <m:t>𝐷</m:t>
                        </m:r>
                        <m:r>
                          <a:rPr lang="pt-BR" sz="1800" b="0" i="1">
                            <a:latin typeface="Cambria Math" panose="02040503050406030204" pitchFamily="18" charset="0"/>
                            <a:ea typeface="Cambria Math" panose="02040503050406030204" pitchFamily="18" charset="0"/>
                          </a:rPr>
                          <m:t>−1</m:t>
                        </m:r>
                      </m:den>
                    </m:f>
                  </m:oMath>
                </m:oMathPara>
              </a14:m>
              <a:endParaRPr lang="pt-BR" sz="1800"/>
            </a:p>
          </xdr:txBody>
        </xdr:sp>
      </mc:Choice>
      <mc:Fallback xmlns="">
        <xdr:sp macro="" textlink="">
          <xdr:nvSpPr>
            <xdr:cNvPr id="7" name="CaixaDeTexto 6">
              <a:extLst>
                <a:ext uri="{FF2B5EF4-FFF2-40B4-BE49-F238E27FC236}">
                  <a16:creationId xmlns:a16="http://schemas.microsoft.com/office/drawing/2014/main" id="{F4EDF360-B30F-6E26-BDF8-238533A464B3}"/>
                </a:ext>
              </a:extLst>
            </xdr:cNvPr>
            <xdr:cNvSpPr txBox="1"/>
          </xdr:nvSpPr>
          <xdr:spPr>
            <a:xfrm>
              <a:off x="7880350" y="15779751"/>
              <a:ext cx="1571395" cy="698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pt-BR" sz="1800" i="0">
                  <a:latin typeface="Cambria Math" panose="02040503050406030204" pitchFamily="18" charset="0"/>
                </a:rPr>
                <a:t>(</a:t>
              </a:r>
              <a:r>
                <a:rPr lang="pt-BR" sz="1800" b="0" i="0">
                  <a:latin typeface="Cambria Math" panose="02040503050406030204" pitchFamily="18" charset="0"/>
                </a:rPr>
                <a:t>𝐴</a:t>
              </a:r>
              <a:r>
                <a:rPr lang="pt-BR" sz="1800" b="0" i="0">
                  <a:latin typeface="Cambria Math" panose="02040503050406030204" pitchFamily="18" charset="0"/>
                  <a:ea typeface="Cambria Math" panose="02040503050406030204" pitchFamily="18" charset="0"/>
                </a:rPr>
                <a:t>×𝐵×𝐶)/(</a:t>
              </a:r>
              <a:r>
                <a:rPr lang="pt-BR" sz="1800" b="0" i="0">
                  <a:latin typeface="Cambria Math" panose="02040503050406030204" pitchFamily="18" charset="0"/>
                </a:rPr>
                <a:t>𝐷</a:t>
              </a:r>
              <a:r>
                <a:rPr lang="pt-BR" sz="1800" b="0" i="0">
                  <a:latin typeface="Cambria Math" panose="02040503050406030204" pitchFamily="18" charset="0"/>
                  <a:ea typeface="Cambria Math" panose="02040503050406030204" pitchFamily="18" charset="0"/>
                </a:rPr>
                <a:t>−1)</a:t>
              </a:r>
              <a:endParaRPr lang="pt-BR" sz="1800"/>
            </a:p>
          </xdr:txBody>
        </xdr:sp>
      </mc:Fallback>
    </mc:AlternateContent>
    <xdr:clientData/>
  </xdr:oneCellAnchor>
  <xdr:twoCellAnchor editAs="oneCell">
    <xdr:from>
      <xdr:col>3</xdr:col>
      <xdr:colOff>952500</xdr:colOff>
      <xdr:row>0</xdr:row>
      <xdr:rowOff>127000</xdr:rowOff>
    </xdr:from>
    <xdr:to>
      <xdr:col>4</xdr:col>
      <xdr:colOff>562401</xdr:colOff>
      <xdr:row>2</xdr:row>
      <xdr:rowOff>15875</xdr:rowOff>
    </xdr:to>
    <xdr:pic>
      <xdr:nvPicPr>
        <xdr:cNvPr id="2" name="Imagem 4">
          <a:extLst>
            <a:ext uri="{FF2B5EF4-FFF2-40B4-BE49-F238E27FC236}">
              <a16:creationId xmlns:a16="http://schemas.microsoft.com/office/drawing/2014/main" id="{311679C5-3376-4DF1-B060-E0933CBD0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95875" y="127000"/>
          <a:ext cx="991026" cy="936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oneCellAnchor>
    <xdr:from>
      <xdr:col>0</xdr:col>
      <xdr:colOff>527050</xdr:colOff>
      <xdr:row>45</xdr:row>
      <xdr:rowOff>193674</xdr:rowOff>
    </xdr:from>
    <xdr:ext cx="4399706" cy="647701"/>
    <mc:AlternateContent xmlns:mc="http://schemas.openxmlformats.org/markup-compatibility/2006" xmlns:a14="http://schemas.microsoft.com/office/drawing/2010/main">
      <mc:Choice Requires="a14">
        <xdr:sp macro="" textlink="">
          <xdr:nvSpPr>
            <xdr:cNvPr id="3" name="CaixaDeTexto 2">
              <a:extLst>
                <a:ext uri="{FF2B5EF4-FFF2-40B4-BE49-F238E27FC236}">
                  <a16:creationId xmlns:a16="http://schemas.microsoft.com/office/drawing/2014/main" id="{00000000-0008-0000-1E00-000003000000}"/>
                </a:ext>
              </a:extLst>
            </xdr:cNvPr>
            <xdr:cNvSpPr txBox="1"/>
          </xdr:nvSpPr>
          <xdr:spPr>
            <a:xfrm>
              <a:off x="527050" y="16111854"/>
              <a:ext cx="4399706" cy="6477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pt-BR" sz="1800" i="1">
                            <a:latin typeface="Cambria Math" panose="02040503050406030204" pitchFamily="18" charset="0"/>
                          </a:rPr>
                        </m:ctrlPr>
                      </m:fPr>
                      <m:num>
                        <m:d>
                          <m:dPr>
                            <m:ctrlPr>
                              <a:rPr lang="pt-BR" sz="1800" b="0" i="1">
                                <a:latin typeface="Cambria Math" panose="02040503050406030204" pitchFamily="18" charset="0"/>
                              </a:rPr>
                            </m:ctrlPr>
                          </m:dPr>
                          <m:e>
                            <m:r>
                              <a:rPr lang="pt-BR" sz="1800" b="0" i="1">
                                <a:latin typeface="Cambria Math" panose="02040503050406030204" pitchFamily="18" charset="0"/>
                              </a:rPr>
                              <m:t>1 </m:t>
                            </m:r>
                            <m:r>
                              <a:rPr lang="pt-BR" sz="1800" b="0" i="1">
                                <a:latin typeface="Cambria Math" panose="02040503050406030204" pitchFamily="18" charset="0"/>
                                <a:ea typeface="Cambria Math" panose="02040503050406030204" pitchFamily="18" charset="0"/>
                              </a:rPr>
                              <m:t>+</m:t>
                            </m:r>
                            <m:r>
                              <a:rPr lang="pt-BR" sz="1800" b="0" i="1">
                                <a:latin typeface="Cambria Math" panose="02040503050406030204" pitchFamily="18" charset="0"/>
                                <a:ea typeface="Cambria Math" panose="02040503050406030204" pitchFamily="18" charset="0"/>
                              </a:rPr>
                              <m:t>𝐴𝐶</m:t>
                            </m:r>
                            <m:r>
                              <a:rPr lang="pt-BR" sz="1800" b="0" i="1">
                                <a:latin typeface="Cambria Math" panose="02040503050406030204" pitchFamily="18" charset="0"/>
                                <a:ea typeface="Cambria Math" panose="02040503050406030204" pitchFamily="18" charset="0"/>
                              </a:rPr>
                              <m:t> +</m:t>
                            </m:r>
                            <m:r>
                              <a:rPr lang="pt-BR" sz="1800" b="0" i="1">
                                <a:latin typeface="Cambria Math" panose="02040503050406030204" pitchFamily="18" charset="0"/>
                                <a:ea typeface="Cambria Math" panose="02040503050406030204" pitchFamily="18" charset="0"/>
                              </a:rPr>
                              <m:t>𝑆</m:t>
                            </m:r>
                            <m:r>
                              <a:rPr lang="pt-BR" sz="1800" b="0" i="1">
                                <a:latin typeface="Cambria Math" panose="02040503050406030204" pitchFamily="18" charset="0"/>
                                <a:ea typeface="Cambria Math" panose="02040503050406030204" pitchFamily="18" charset="0"/>
                              </a:rPr>
                              <m:t> +</m:t>
                            </m:r>
                            <m:r>
                              <a:rPr lang="pt-BR" sz="1800" b="0" i="1">
                                <a:latin typeface="Cambria Math" panose="02040503050406030204" pitchFamily="18" charset="0"/>
                                <a:ea typeface="Cambria Math" panose="02040503050406030204" pitchFamily="18" charset="0"/>
                              </a:rPr>
                              <m:t>𝑅</m:t>
                            </m:r>
                            <m:r>
                              <a:rPr lang="pt-BR" sz="1800" b="0" i="1">
                                <a:latin typeface="Cambria Math" panose="02040503050406030204" pitchFamily="18" charset="0"/>
                                <a:ea typeface="Cambria Math" panose="02040503050406030204" pitchFamily="18" charset="0"/>
                              </a:rPr>
                              <m:t> +</m:t>
                            </m:r>
                            <m:r>
                              <a:rPr lang="pt-BR" sz="1800" b="0" i="1">
                                <a:latin typeface="Cambria Math" panose="02040503050406030204" pitchFamily="18" charset="0"/>
                                <a:ea typeface="Cambria Math" panose="02040503050406030204" pitchFamily="18" charset="0"/>
                              </a:rPr>
                              <m:t>𝐺</m:t>
                            </m:r>
                          </m:e>
                        </m:d>
                        <m:r>
                          <a:rPr lang="pt-BR" sz="1800" b="0" i="1">
                            <a:latin typeface="Cambria Math" panose="02040503050406030204" pitchFamily="18" charset="0"/>
                            <a:ea typeface="Cambria Math" panose="02040503050406030204" pitchFamily="18" charset="0"/>
                          </a:rPr>
                          <m:t>×</m:t>
                        </m:r>
                        <m:d>
                          <m:dPr>
                            <m:ctrlPr>
                              <a:rPr lang="pt-BR" sz="1800" b="0" i="1">
                                <a:latin typeface="Cambria Math" panose="02040503050406030204" pitchFamily="18" charset="0"/>
                                <a:ea typeface="Cambria Math" panose="02040503050406030204" pitchFamily="18" charset="0"/>
                              </a:rPr>
                            </m:ctrlPr>
                          </m:dPr>
                          <m:e>
                            <m:r>
                              <a:rPr lang="pt-BR" sz="1800" b="0" i="1">
                                <a:latin typeface="Cambria Math" panose="02040503050406030204" pitchFamily="18" charset="0"/>
                                <a:ea typeface="Cambria Math" panose="02040503050406030204" pitchFamily="18" charset="0"/>
                              </a:rPr>
                              <m:t>1 +</m:t>
                            </m:r>
                            <m:r>
                              <a:rPr lang="pt-BR" sz="1800" b="0" i="1">
                                <a:latin typeface="Cambria Math" panose="02040503050406030204" pitchFamily="18" charset="0"/>
                                <a:ea typeface="Cambria Math" panose="02040503050406030204" pitchFamily="18" charset="0"/>
                              </a:rPr>
                              <m:t>𝐷𝐹</m:t>
                            </m:r>
                          </m:e>
                        </m:d>
                        <m:r>
                          <a:rPr lang="pt-BR" sz="1800" b="0" i="1">
                            <a:latin typeface="Cambria Math" panose="02040503050406030204" pitchFamily="18" charset="0"/>
                            <a:ea typeface="Cambria Math" panose="02040503050406030204" pitchFamily="18" charset="0"/>
                          </a:rPr>
                          <m:t>×(1+</m:t>
                        </m:r>
                        <m:r>
                          <a:rPr lang="pt-BR" sz="1800" b="0" i="1">
                            <a:latin typeface="Cambria Math" panose="02040503050406030204" pitchFamily="18" charset="0"/>
                            <a:ea typeface="Cambria Math" panose="02040503050406030204" pitchFamily="18" charset="0"/>
                          </a:rPr>
                          <m:t>𝐿</m:t>
                        </m:r>
                        <m:r>
                          <a:rPr lang="pt-BR" sz="1800" b="0" i="1">
                            <a:latin typeface="Cambria Math" panose="02040503050406030204" pitchFamily="18" charset="0"/>
                            <a:ea typeface="Cambria Math" panose="02040503050406030204" pitchFamily="18" charset="0"/>
                          </a:rPr>
                          <m:t>)</m:t>
                        </m:r>
                      </m:num>
                      <m:den>
                        <m:r>
                          <a:rPr lang="pt-BR" sz="1800" b="0" i="1">
                            <a:latin typeface="Cambria Math" panose="02040503050406030204" pitchFamily="18" charset="0"/>
                          </a:rPr>
                          <m:t>1 </m:t>
                        </m:r>
                        <m:r>
                          <a:rPr lang="pt-BR" sz="1800" b="0" i="1">
                            <a:latin typeface="Cambria Math" panose="02040503050406030204" pitchFamily="18" charset="0"/>
                            <a:ea typeface="Cambria Math" panose="02040503050406030204" pitchFamily="18" charset="0"/>
                          </a:rPr>
                          <m:t>−</m:t>
                        </m:r>
                        <m:r>
                          <a:rPr lang="pt-BR" sz="1800" b="0" i="1">
                            <a:latin typeface="Cambria Math" panose="02040503050406030204" pitchFamily="18" charset="0"/>
                            <a:ea typeface="Cambria Math" panose="02040503050406030204" pitchFamily="18" charset="0"/>
                          </a:rPr>
                          <m:t>𝐼</m:t>
                        </m:r>
                      </m:den>
                    </m:f>
                    <m:r>
                      <a:rPr lang="pt-BR" sz="1800" b="0" i="1">
                        <a:latin typeface="Cambria Math" panose="02040503050406030204" pitchFamily="18" charset="0"/>
                      </a:rPr>
                      <m:t> </m:t>
                    </m:r>
                    <m:r>
                      <a:rPr lang="pt-BR" sz="1800" b="0" i="1">
                        <a:latin typeface="Cambria Math" panose="02040503050406030204" pitchFamily="18" charset="0"/>
                        <a:ea typeface="Cambria Math" panose="02040503050406030204" pitchFamily="18" charset="0"/>
                      </a:rPr>
                      <m:t>−1</m:t>
                    </m:r>
                  </m:oMath>
                </m:oMathPara>
              </a14:m>
              <a:endParaRPr lang="pt-BR" sz="1800"/>
            </a:p>
          </xdr:txBody>
        </xdr:sp>
      </mc:Choice>
      <mc:Fallback xmlns="">
        <xdr:sp macro="" textlink="">
          <xdr:nvSpPr>
            <xdr:cNvPr id="3" name="CaixaDeTexto 2">
              <a:extLst>
                <a:ext uri="{FF2B5EF4-FFF2-40B4-BE49-F238E27FC236}">
                  <a16:creationId xmlns:a16="http://schemas.microsoft.com/office/drawing/2014/main" id="{D63A2C72-92D2-417F-A739-8428A65F94E6}"/>
                </a:ext>
              </a:extLst>
            </xdr:cNvPr>
            <xdr:cNvSpPr txBox="1"/>
          </xdr:nvSpPr>
          <xdr:spPr>
            <a:xfrm>
              <a:off x="527050" y="16111854"/>
              <a:ext cx="4399706" cy="6477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pt-BR" sz="1800" i="0">
                  <a:latin typeface="Cambria Math" panose="02040503050406030204" pitchFamily="18" charset="0"/>
                </a:rPr>
                <a:t>(</a:t>
              </a:r>
              <a:r>
                <a:rPr lang="pt-BR" sz="1800" b="0" i="0">
                  <a:latin typeface="Cambria Math" panose="02040503050406030204" pitchFamily="18" charset="0"/>
                </a:rPr>
                <a:t>(1 </a:t>
              </a:r>
              <a:r>
                <a:rPr lang="pt-BR" sz="1800" b="0" i="0">
                  <a:latin typeface="Cambria Math" panose="02040503050406030204" pitchFamily="18" charset="0"/>
                  <a:ea typeface="Cambria Math" panose="02040503050406030204" pitchFamily="18" charset="0"/>
                </a:rPr>
                <a:t>+𝐴𝐶 +𝑆 +𝑅 +𝐺)×(1 +𝐷𝐹)×(1+𝐿))/(</a:t>
              </a:r>
              <a:r>
                <a:rPr lang="pt-BR" sz="1800" b="0" i="0">
                  <a:latin typeface="Cambria Math" panose="02040503050406030204" pitchFamily="18" charset="0"/>
                </a:rPr>
                <a:t>1 </a:t>
              </a:r>
              <a:r>
                <a:rPr lang="pt-BR" sz="1800" b="0" i="0">
                  <a:latin typeface="Cambria Math" panose="02040503050406030204" pitchFamily="18" charset="0"/>
                  <a:ea typeface="Cambria Math" panose="02040503050406030204" pitchFamily="18" charset="0"/>
                </a:rPr>
                <a:t>−𝐼) </a:t>
              </a:r>
              <a:r>
                <a:rPr lang="pt-BR" sz="1800" b="0" i="0">
                  <a:latin typeface="Cambria Math" panose="02040503050406030204" pitchFamily="18" charset="0"/>
                </a:rPr>
                <a:t> </a:t>
              </a:r>
              <a:r>
                <a:rPr lang="pt-BR" sz="1800" b="0" i="0">
                  <a:latin typeface="Cambria Math" panose="02040503050406030204" pitchFamily="18" charset="0"/>
                  <a:ea typeface="Cambria Math" panose="02040503050406030204" pitchFamily="18" charset="0"/>
                </a:rPr>
                <a:t>−1</a:t>
              </a:r>
              <a:endParaRPr lang="pt-BR" sz="1800"/>
            </a:p>
          </xdr:txBody>
        </xdr:sp>
      </mc:Fallback>
    </mc:AlternateContent>
    <xdr:clientData/>
  </xdr:oneCellAnchor>
  <xdr:oneCellAnchor>
    <xdr:from>
      <xdr:col>5</xdr:col>
      <xdr:colOff>1019175</xdr:colOff>
      <xdr:row>44</xdr:row>
      <xdr:rowOff>127001</xdr:rowOff>
    </xdr:from>
    <xdr:ext cx="1583576" cy="698500"/>
    <mc:AlternateContent xmlns:mc="http://schemas.openxmlformats.org/markup-compatibility/2006" xmlns:a14="http://schemas.microsoft.com/office/drawing/2010/main">
      <mc:Choice Requires="a14">
        <xdr:sp macro="" textlink="">
          <xdr:nvSpPr>
            <xdr:cNvPr id="4" name="CaixaDeTexto 3">
              <a:extLst>
                <a:ext uri="{FF2B5EF4-FFF2-40B4-BE49-F238E27FC236}">
                  <a16:creationId xmlns:a16="http://schemas.microsoft.com/office/drawing/2014/main" id="{00000000-0008-0000-1E00-000004000000}"/>
                </a:ext>
              </a:extLst>
            </xdr:cNvPr>
            <xdr:cNvSpPr txBox="1"/>
          </xdr:nvSpPr>
          <xdr:spPr>
            <a:xfrm>
              <a:off x="8105775" y="15732761"/>
              <a:ext cx="1583576" cy="698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pt-BR" sz="1800" i="1">
                            <a:latin typeface="Cambria Math" panose="02040503050406030204" pitchFamily="18" charset="0"/>
                          </a:rPr>
                        </m:ctrlPr>
                      </m:fPr>
                      <m:num>
                        <m:r>
                          <a:rPr lang="pt-BR" sz="1800" b="0" i="1">
                            <a:latin typeface="Cambria Math" panose="02040503050406030204" pitchFamily="18" charset="0"/>
                          </a:rPr>
                          <m:t>𝐴</m:t>
                        </m:r>
                        <m:r>
                          <a:rPr lang="pt-BR" sz="1800" b="0" i="1">
                            <a:latin typeface="Cambria Math" panose="02040503050406030204" pitchFamily="18" charset="0"/>
                            <a:ea typeface="Cambria Math" panose="02040503050406030204" pitchFamily="18" charset="0"/>
                          </a:rPr>
                          <m:t>×</m:t>
                        </m:r>
                        <m:r>
                          <a:rPr lang="pt-BR" sz="1800" b="0" i="1">
                            <a:latin typeface="Cambria Math" panose="02040503050406030204" pitchFamily="18" charset="0"/>
                            <a:ea typeface="Cambria Math" panose="02040503050406030204" pitchFamily="18" charset="0"/>
                          </a:rPr>
                          <m:t>𝐵</m:t>
                        </m:r>
                        <m:r>
                          <a:rPr lang="pt-BR" sz="1800" b="0" i="1">
                            <a:latin typeface="Cambria Math" panose="02040503050406030204" pitchFamily="18" charset="0"/>
                            <a:ea typeface="Cambria Math" panose="02040503050406030204" pitchFamily="18" charset="0"/>
                          </a:rPr>
                          <m:t>×</m:t>
                        </m:r>
                        <m:r>
                          <a:rPr lang="pt-BR" sz="1800" b="0" i="1">
                            <a:latin typeface="Cambria Math" panose="02040503050406030204" pitchFamily="18" charset="0"/>
                            <a:ea typeface="Cambria Math" panose="02040503050406030204" pitchFamily="18" charset="0"/>
                          </a:rPr>
                          <m:t>𝐶</m:t>
                        </m:r>
                      </m:num>
                      <m:den>
                        <m:r>
                          <a:rPr lang="pt-BR" sz="1800" b="0" i="1">
                            <a:latin typeface="Cambria Math" panose="02040503050406030204" pitchFamily="18" charset="0"/>
                          </a:rPr>
                          <m:t>𝐷</m:t>
                        </m:r>
                        <m:r>
                          <a:rPr lang="pt-BR" sz="1800" b="0" i="1">
                            <a:latin typeface="Cambria Math" panose="02040503050406030204" pitchFamily="18" charset="0"/>
                            <a:ea typeface="Cambria Math" panose="02040503050406030204" pitchFamily="18" charset="0"/>
                          </a:rPr>
                          <m:t>−1</m:t>
                        </m:r>
                      </m:den>
                    </m:f>
                  </m:oMath>
                </m:oMathPara>
              </a14:m>
              <a:endParaRPr lang="pt-BR" sz="1800"/>
            </a:p>
          </xdr:txBody>
        </xdr:sp>
      </mc:Choice>
      <mc:Fallback xmlns="">
        <xdr:sp macro="" textlink="">
          <xdr:nvSpPr>
            <xdr:cNvPr id="4" name="CaixaDeTexto 3">
              <a:extLst>
                <a:ext uri="{FF2B5EF4-FFF2-40B4-BE49-F238E27FC236}">
                  <a16:creationId xmlns:a16="http://schemas.microsoft.com/office/drawing/2014/main" id="{1E25701B-B40D-4AB1-B22B-940710BADE7A}"/>
                </a:ext>
              </a:extLst>
            </xdr:cNvPr>
            <xdr:cNvSpPr txBox="1"/>
          </xdr:nvSpPr>
          <xdr:spPr>
            <a:xfrm>
              <a:off x="8105775" y="15732761"/>
              <a:ext cx="1583576" cy="698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pt-BR" sz="1800" i="0">
                  <a:latin typeface="Cambria Math" panose="02040503050406030204" pitchFamily="18" charset="0"/>
                </a:rPr>
                <a:t>(</a:t>
              </a:r>
              <a:r>
                <a:rPr lang="pt-BR" sz="1800" b="0" i="0">
                  <a:latin typeface="Cambria Math" panose="02040503050406030204" pitchFamily="18" charset="0"/>
                </a:rPr>
                <a:t>𝐴</a:t>
              </a:r>
              <a:r>
                <a:rPr lang="pt-BR" sz="1800" b="0" i="0">
                  <a:latin typeface="Cambria Math" panose="02040503050406030204" pitchFamily="18" charset="0"/>
                  <a:ea typeface="Cambria Math" panose="02040503050406030204" pitchFamily="18" charset="0"/>
                </a:rPr>
                <a:t>×𝐵×𝐶)/(</a:t>
              </a:r>
              <a:r>
                <a:rPr lang="pt-BR" sz="1800" b="0" i="0">
                  <a:latin typeface="Cambria Math" panose="02040503050406030204" pitchFamily="18" charset="0"/>
                </a:rPr>
                <a:t>𝐷</a:t>
              </a:r>
              <a:r>
                <a:rPr lang="pt-BR" sz="1800" b="0" i="0">
                  <a:latin typeface="Cambria Math" panose="02040503050406030204" pitchFamily="18" charset="0"/>
                  <a:ea typeface="Cambria Math" panose="02040503050406030204" pitchFamily="18" charset="0"/>
                </a:rPr>
                <a:t>−1)</a:t>
              </a:r>
              <a:endParaRPr lang="pt-BR" sz="1800"/>
            </a:p>
          </xdr:txBody>
        </xdr:sp>
      </mc:Fallback>
    </mc:AlternateContent>
    <xdr:clientData/>
  </xdr:oneCellAnchor>
  <xdr:twoCellAnchor editAs="oneCell">
    <xdr:from>
      <xdr:col>3</xdr:col>
      <xdr:colOff>247650</xdr:colOff>
      <xdr:row>0</xdr:row>
      <xdr:rowOff>92808</xdr:rowOff>
    </xdr:from>
    <xdr:to>
      <xdr:col>4</xdr:col>
      <xdr:colOff>409575</xdr:colOff>
      <xdr:row>2</xdr:row>
      <xdr:rowOff>66675</xdr:rowOff>
    </xdr:to>
    <xdr:pic>
      <xdr:nvPicPr>
        <xdr:cNvPr id="5" name="Imagem 4">
          <a:extLst>
            <a:ext uri="{FF2B5EF4-FFF2-40B4-BE49-F238E27FC236}">
              <a16:creationId xmlns:a16="http://schemas.microsoft.com/office/drawing/2014/main" id="{F6BB280A-3322-4D88-978D-D3219592CD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1275" y="92808"/>
          <a:ext cx="771525" cy="640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1879600</xdr:colOff>
      <xdr:row>0</xdr:row>
      <xdr:rowOff>76200</xdr:rowOff>
    </xdr:from>
    <xdr:to>
      <xdr:col>3</xdr:col>
      <xdr:colOff>209550</xdr:colOff>
      <xdr:row>1</xdr:row>
      <xdr:rowOff>527050</xdr:rowOff>
    </xdr:to>
    <xdr:pic>
      <xdr:nvPicPr>
        <xdr:cNvPr id="37536" name="Imagem 3">
          <a:extLst>
            <a:ext uri="{FF2B5EF4-FFF2-40B4-BE49-F238E27FC236}">
              <a16:creationId xmlns:a16="http://schemas.microsoft.com/office/drawing/2014/main" id="{00000000-0008-0000-1F00-0000A09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68650" y="76200"/>
          <a:ext cx="1314450"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368300</xdr:colOff>
      <xdr:row>0</xdr:row>
      <xdr:rowOff>82550</xdr:rowOff>
    </xdr:from>
    <xdr:to>
      <xdr:col>2</xdr:col>
      <xdr:colOff>704850</xdr:colOff>
      <xdr:row>4</xdr:row>
      <xdr:rowOff>0</xdr:rowOff>
    </xdr:to>
    <xdr:pic>
      <xdr:nvPicPr>
        <xdr:cNvPr id="52651" name="Imagem 3">
          <a:extLst>
            <a:ext uri="{FF2B5EF4-FFF2-40B4-BE49-F238E27FC236}">
              <a16:creationId xmlns:a16="http://schemas.microsoft.com/office/drawing/2014/main" id="{00000000-0008-0000-2000-0000ABC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8300" y="82550"/>
          <a:ext cx="1625600" cy="67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1601107</xdr:colOff>
      <xdr:row>0</xdr:row>
      <xdr:rowOff>25399</xdr:rowOff>
    </xdr:from>
    <xdr:to>
      <xdr:col>5</xdr:col>
      <xdr:colOff>3846285</xdr:colOff>
      <xdr:row>4</xdr:row>
      <xdr:rowOff>8454</xdr:rowOff>
    </xdr:to>
    <xdr:pic>
      <xdr:nvPicPr>
        <xdr:cNvPr id="3" name="Imagem 3">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45893" y="25399"/>
          <a:ext cx="2245178" cy="1253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6105770</xdr:colOff>
      <xdr:row>0</xdr:row>
      <xdr:rowOff>219808</xdr:rowOff>
    </xdr:from>
    <xdr:to>
      <xdr:col>5</xdr:col>
      <xdr:colOff>911757</xdr:colOff>
      <xdr:row>3</xdr:row>
      <xdr:rowOff>304868</xdr:rowOff>
    </xdr:to>
    <xdr:pic>
      <xdr:nvPicPr>
        <xdr:cNvPr id="3" name="Imagem 4">
          <a:extLst>
            <a:ext uri="{FF2B5EF4-FFF2-40B4-BE49-F238E27FC236}">
              <a16:creationId xmlns:a16="http://schemas.microsoft.com/office/drawing/2014/main" id="{4D342762-7E61-412A-B7CD-950BB2D83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7308" y="219808"/>
          <a:ext cx="1571180" cy="1037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4127500</xdr:colOff>
      <xdr:row>0</xdr:row>
      <xdr:rowOff>184150</xdr:rowOff>
    </xdr:from>
    <xdr:to>
      <xdr:col>5</xdr:col>
      <xdr:colOff>6597650</xdr:colOff>
      <xdr:row>3</xdr:row>
      <xdr:rowOff>285750</xdr:rowOff>
    </xdr:to>
    <xdr:pic>
      <xdr:nvPicPr>
        <xdr:cNvPr id="78909" name="Imagem 3">
          <a:extLst>
            <a:ext uri="{FF2B5EF4-FFF2-40B4-BE49-F238E27FC236}">
              <a16:creationId xmlns:a16="http://schemas.microsoft.com/office/drawing/2014/main" id="{00000000-0008-0000-0500-00003D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74100" y="184150"/>
          <a:ext cx="2470150" cy="105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17</xdr:col>
      <xdr:colOff>1179286</xdr:colOff>
      <xdr:row>0</xdr:row>
      <xdr:rowOff>60476</xdr:rowOff>
    </xdr:from>
    <xdr:to>
      <xdr:col>19</xdr:col>
      <xdr:colOff>184485</xdr:colOff>
      <xdr:row>3</xdr:row>
      <xdr:rowOff>45357</xdr:rowOff>
    </xdr:to>
    <xdr:pic>
      <xdr:nvPicPr>
        <xdr:cNvPr id="2" name="Imagem 4">
          <a:extLst>
            <a:ext uri="{FF2B5EF4-FFF2-40B4-BE49-F238E27FC236}">
              <a16:creationId xmlns:a16="http://schemas.microsoft.com/office/drawing/2014/main" id="{F4D91474-D12D-4429-94AC-4BB904B05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25834" y="60476"/>
          <a:ext cx="895080" cy="7105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976923</xdr:colOff>
      <xdr:row>1</xdr:row>
      <xdr:rowOff>170962</xdr:rowOff>
    </xdr:from>
    <xdr:to>
      <xdr:col>9</xdr:col>
      <xdr:colOff>1040088</xdr:colOff>
      <xdr:row>4</xdr:row>
      <xdr:rowOff>165435</xdr:rowOff>
    </xdr:to>
    <xdr:pic>
      <xdr:nvPicPr>
        <xdr:cNvPr id="2" name="Imagem 4">
          <a:extLst>
            <a:ext uri="{FF2B5EF4-FFF2-40B4-BE49-F238E27FC236}">
              <a16:creationId xmlns:a16="http://schemas.microsoft.com/office/drawing/2014/main" id="{7EBA91CE-9002-4FFD-B5CD-8F51AFF99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66538" y="488462"/>
          <a:ext cx="1577396" cy="1020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304800</xdr:colOff>
      <xdr:row>0</xdr:row>
      <xdr:rowOff>381000</xdr:rowOff>
    </xdr:from>
    <xdr:to>
      <xdr:col>11</xdr:col>
      <xdr:colOff>2471260</xdr:colOff>
      <xdr:row>3</xdr:row>
      <xdr:rowOff>296342</xdr:rowOff>
    </xdr:to>
    <xdr:pic>
      <xdr:nvPicPr>
        <xdr:cNvPr id="2" name="Imagem 4">
          <a:extLst>
            <a:ext uri="{FF2B5EF4-FFF2-40B4-BE49-F238E27FC236}">
              <a16:creationId xmlns:a16="http://schemas.microsoft.com/office/drawing/2014/main" id="{60715662-3C98-4C63-9D08-D2616DD88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433000" y="381000"/>
          <a:ext cx="2166460" cy="1401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1000124</xdr:colOff>
      <xdr:row>3</xdr:row>
      <xdr:rowOff>1111</xdr:rowOff>
    </xdr:from>
    <xdr:to>
      <xdr:col>12</xdr:col>
      <xdr:colOff>3238499</xdr:colOff>
      <xdr:row>5</xdr:row>
      <xdr:rowOff>401117</xdr:rowOff>
    </xdr:to>
    <xdr:pic>
      <xdr:nvPicPr>
        <xdr:cNvPr id="2" name="Imagem 4">
          <a:extLst>
            <a:ext uri="{FF2B5EF4-FFF2-40B4-BE49-F238E27FC236}">
              <a16:creationId xmlns:a16="http://schemas.microsoft.com/office/drawing/2014/main" id="{A3F78035-2E6A-4477-A44E-B825BE192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04874" y="1286986"/>
          <a:ext cx="2238375" cy="14477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COTESE031/Usuarios/DOC/Micro_ASHFORD/PLANILHAS%202001%20(TUDO)/PROJETO%20ALVORADA%202/ALVORADA%20COMPLETO/E.E%20E.F.M.%20Napole&#227;o%20A.%20N&#243;brega%20-%20S.%20Mamed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COTESE031/Usuarios/DOC/Micro_ASHFORD/PLANILHAS%202001%20(TUDO)/PROJETO%20ALVORADA%202/ALVORADA%20COMPLETO/E.E%20E.F.M.%20de%20Alcantil%20-%20Alcanti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DISCO%20E\AMBIENTAL%20ENGENHARIA\COSANPA\GLEBA%20I,%20II%20e%20III\AGUA\LICITA&#199;&#195;O%20II%20-%20TOMADA%20DE%20PRE&#199;OS\OR&#199;AMENTO\OR&#199;AMENTO%20LICITA&#199;&#195;O%20GLEBA%20I,%20II%20e%20III%20-%20TOMAD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C/Users/Bruno/Documents/Engenharia/Carmona%20Cabrera/01%20-%20Obras/001%20-%20Ananideua%20-%20Resid.%20Padre%20Pietro%20Gerosa/01%20-%20Planejamento/11%20-%20Auxiliares/Calend&#225;rio%20201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Meus%20documentos/Livros1009/L1_matfinanc/CD_ou_disquete/MATFI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Servidor/c/Breu/Escola%20do%20Breu-11-02-9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0E835B80\OR&#199;AMENTO%20LICITA&#199;&#195;O%20GLEBA%20I,%20II%20e%20III%20-%20TOMAD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d.docs.live.net/Cn%2003%20Marab&#225;/Or&#231;amento%20final%20-%20revisar/C&#243;pia%20de%20Proposta%20de%20Pre&#231;o%20-%20Resumos%20CPU%20e%20Planilhas%20SinteticA.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ctec_3\drive_c\My%20Documents\Obras\Serra%20Talhada\My%20Documents\Obras\Serra%20Talhada\OBRAS\BR_316\PTRAB\PTrab89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ectec_adj\c\Ten%20Reginaldo\OBRAS\BR-316\OBRAS\BR_316\PTRAB\PTrab89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ectec_3\drive_c\My%20Documents\Obras\BR-316%20300.000\OBRAS\BR_316\PTRAB\PTrab89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sp-11207\c\Sergio\Amazonas\Dom%20eliseu\Bm%208-abr-dom%20eliseu.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816EC1E7\C&#243;pia%20de%20NF.%201072%20-%2007-05-2008.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Josenilton\c\Documents%20and%20Settings\DELTA\Meus%20documentos\Obra-1072%20Ananindeua-PA\C.C.%201072%20-%20Ananindeua%20-%20PA\Financeiro\Rela&#231;&#227;o%20de%20Notas%20Fiscais\5NF%201072%20MAIO%20%2008\C&#243;pia%20de%20NF.%201072%20-%2007-05-200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1700CB8F\Drenagem.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Sedurb-db-01a/diretoria%20projetos/BS2G%20CONSULTORIA/ETA%20S&#195;O%20BRAS%20C-D%20-%20JNETO/CD%20LICITA&#199;&#195;O/OR&#199;A%20ETA%20SAO%20BRAS%20RV%20JNETO%203%20(SAMPAIO)%20FINAL.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edurb-db-01a\diretoria%20projetos\BS2G%20CONSULTORIA\ETA%20S&#195;O%20BRAS%20C-D%20-%20JNETO\CD%20LICITA&#199;&#195;O\OR&#199;A%20ETA%20SAO%20BRAS%20RV%20JNETO%203%20(SAMPAIO)%20FINA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Freguesia1/1.engenharia/1.ENGENHARIA/4.Freguesia/Or&#231;amento%20de%20venda/Quantidades/Qtde%20FRG.xls"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Declara&#231;&#227;o%20de%20despesas1"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d.docs.live.net/SUPERINTENDECIA/F_SUPERINT/MSOffice/Excel/Obrabelem/PLANCR~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UPERINTENDECIA\F_SUPERINT\MSOffice\Excel\Obrabelem\PLANCR~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H:\Users\Carmona%20Cabrera\Documents\CONS&#211;RCIO%20AGUAS%20MARAB&#193;\SALA%20T&#201;CNICA\MEDI&#199;&#195;O\ANTERIORES\BM_2014-09_11\final\01-&#193;GUAS%20DE%20MARABA\12-Carmona%20Cabrera\4%20-%20Medi&#231;&#227;o\BM_2013-02_08\MC_02_2013_0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TESE031\Usuarios\DOC\Micro_ASHFORD\PLANILHAS%202001%20(TUDO)\PROJETO%20ALVORADA%202\ALVORADA%20COMPLETO\E.E%20E.F.M.%20Napole&#227;o%20A.%20N&#243;brega%20-%20S.%20Mamede.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H:\BM-13%20-%20REVIS&#195;O%2026-11-14\01-&#193;GUAS%20DE%20MARABA\12-Carmona%20Cabrera\4%20-%20Medi&#231;&#227;o\BM_2013-02_08\MC_02_2013_08.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d.docs.live.net/PROJETOS%20DIVERSOS/Agua-Porto%20Velho/A.G.%20Resposta_ADM/Administra&#231;&#227;o%20Local.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BAC4EAC9\Pb008n-RelFinal01-Dimens&amp;ComparaPavim.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Engenharia01\D-eng01\Meus%20documentos_Eng%201D\PREFEITURAS%20MUNICIPAIS%20ENG.%201\Joao%20Pessoa\JO&#195;O%20PESSOA%202005\Al&#231;a%20Beira%20Rio_2004\relat&#243;rio\Der\DER\PB008norte\Pb008n-RelFinal01\Pb008n-RelFinal01-Dimens&amp;ComparaPavim.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ectec_oca\drive%20c\PTRAB\modelo\fichas%20de%20composicao2.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ISCO%20E/AMBIENTAL%20ENGENHARIA/COSANPA/GLEBA%20I,%20II%20e%20III/AGUA/LICITA&#199;&#195;O%20II%20-%20TOMADA%20DE%20PRE&#199;OS/OR&#199;AMENTO/OR&#199;AMENTO%20LICITA&#199;&#195;O%20GLEBA%20I,%20II%20e%20III%20-%20TOMAD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9d03c424ee4bab00/&#193;rea%20de%20Trabalho/Atualizado%20CROQUI/Atrab/tecsan/MC-Calc/MC-E3.xls" TargetMode="External"/></Relationships>
</file>

<file path=xl/externalLinks/_rels/externalLink37.xml.rels><?xml version="1.0" encoding="UTF-8" standalone="yes"?>
<Relationships xmlns="http://schemas.openxmlformats.org/package/2006/relationships"><Relationship Id="rId2" Type="http://schemas.openxmlformats.org/officeDocument/2006/relationships/externalLinkPath" Target="file:///C:\Users\USER\Desktop\PM%203.06.xlsm" TargetMode="External"/><Relationship Id="rId1" Type="http://schemas.openxmlformats.org/officeDocument/2006/relationships/externalLinkPath" Target="file:///C:\Users\USER\Desktop\PM%203.06.xlsm" TargetMode="External"/></Relationships>
</file>

<file path=xl/externalLinks/_rels/externalLink38.xml.rels><?xml version="1.0" encoding="UTF-8" standalone="yes"?>
<Relationships xmlns="http://schemas.openxmlformats.org/package/2006/relationships"><Relationship Id="rId2" Type="http://schemas.openxmlformats.org/officeDocument/2006/relationships/externalLinkPath" Target="file:///F:\arquivo%2017.07.24\Or&#231;amento%20Finalizado%20completo.xls" TargetMode="External"/><Relationship Id="rId1" Type="http://schemas.openxmlformats.org/officeDocument/2006/relationships/externalLinkPath" Target="file:///F:\arquivo%2017.07.24\Or&#231;amento%20Finalizado%20completo.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OTESE031\Usuarios\DOC\Micro_ASHFORD\PLANILHAS%202001%20(TUDO)\PROJETO%20ALVORADA%202\ALVORADA%20COMPLETO\E.E%20E.F.M.%20de%20Alcantil%20-%20Alcanti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Csp-11207/c/Sergio/Amazonas/Dom%20eliseu/Bm%208-abr-dom%20eliseu.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CLELIADESK2/Scopus/orca_note/Scopus/822_Semin&#225;rio%20Maria%20Mater/822_Lev_Plan/822_Planilha%20QxPU_parcial.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d.docs.live.net/Paravolt10/Trabalho/CLIENTES%20EXTERNOS/PREFEITURA%20MUNICIPAL%20DE%20ITUPIRANGA/Secretaria%20de%20Educa&#231;&#227;o/Planilhas%20e%20Composi&#231;&#245;es/Kilita_Planilhas%20e%20Especifica&#231;&#245;es/Projeto%20Breu/Composi&#231;&#227;o%20de%20Pre&#231;os.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01-Trabalho/12-Carmona%20Cabrera/2003-Consorcio%20&#193;guas%20de%20Marab&#225;/3%20-%20Planejamento/00-PL2013/2013-11/Planilha%20-%20CUSTOS%20VPL%20TIR%20VUP.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Users/Luana/Documents/CARMONA/PAC%20II%20-%20ESGOTO/Or&#231;amento/Proposta%20de%20Pre&#231;o%20-%20revis&#227;o%20TACII.xlsm"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BS2G%20CONSULTORIA/ETA%20S&#195;O%20BRAS%20C-D%20-%20JNETO/CD%20LICITA&#199;&#195;O/OR&#199;A%20ETA%20SAO%20BRAS%20RV%20JNETO%203%20(SAMPAIO)%20FINAL.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s://d.docs.live.net/SGO-CARMONA/9999-Itaituba/02-Planejamento/VOL.%205%20TOMO%20I%20Or&#231;amento/Atrab/tecsan/MC-Calc/MC-E3.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I:\Atrab\tecsan\MC-Calc\MC-E3.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I:\EUSTAQUIO\Tecnica%20%201%20recuperado\Programa%20RECURSOS%20PR&#211;PRIOS%20DO%20ESTADO%20-%20MTL\JO&#195;O%20PESSOA_CIDADE%20VERDE_197%20u.h\Desmatamento%20e%20Arruamento_OR&#199;AMENTO%20AN&#193;LISE%20CAIXA_BASE%2011.2008_Or&#231;aLicit_05.10.2009.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J:\EDUARDO%20ALVES\Sinapi\C&#193;LCULO%20DE%20TAXAS_HABITE-SE%20E%20ALVAR&#193;.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s://d.docs.live.net/HERCULES/Elabora&#231;&#227;o%20de%20Or&#231;amentos/1Projetos%20Oficiais/1CEHAP%20-%20Promoradia%202005/15%20-%20OR&#199;AMENTOS/Caixa%20definitivo/11%20-%20Uira&#250;na%20e%2010%20outros/11.3%20Or&#231;%20-%20BOM%20JESUS%20-%20caixa2%20v2.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erver-3\tecnico\Concorrencia\LICITA&#199;&#195;O\DNIT\BR-101%20-%20SC%20EDITAL%200003-02\LOTE%2028%20apresenta&#231;&#227;o\cd\Lote%2028%20SC\gelson\XLS\CUSTOS\DNER398A.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J:\1Projetos%20Oficiais\1CEHAP%20-%20Promoradia%202005\15%20-%20OR&#199;AMENTOS\Caixa%20definitivo\6%20-%20Vista%20Serrana%20e%2017%20outros\6.11%20Or&#231;%20-%20SANTA%20LUZIA%20-%20caixa2%20v2.2.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https://d.docs.live.net/Orcamento2/meus%20documentos/Documents%20and%20Settings/ADM/Meus%20documentos/OBRAS%202007%20Perfil/Or&#231;amentos%202007/206%20BB%20-%20Ag.%20MARACANGALHA%20-REFORMA%20COM%20AMPLIA&#199;&#195;O.xls" TargetMode="External"/></Relationships>
</file>

<file path=xl/externalLinks/_rels/externalLink52.xml.rels><?xml version="1.0" encoding="UTF-8" standalone="yes"?>
<Relationships xmlns="http://schemas.openxmlformats.org/package/2006/relationships"><Relationship Id="rId1" Type="http://schemas.microsoft.com/office/2006/relationships/xlExternalLinkPath/xlPathMissing" Target="FINANCEIRO.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s://d.docs.live.net/Or&#231;amento/n_or&#231;amento/Multimedia%20Files/BE-APRE4.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Or&#231;amento\n_or&#231;amento\Multimedia%20Files\BE-APRE4.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https://d.docs.live.net/PROJETOS%20DIVERSOS/Agua-Porto%20Velho/A.G.%20Resposta_ADM/Adm%20Local%20-%20Porto%20Velho.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s://d.docs.live.net/9d03c424ee4bab00/&#193;rea%20de%20Trabalho/Atualizado%20CROQUI/BS2G%20CONSULTORIA/ETA%20S&#195;O%20BRAS%20C-D%20-%20JNETO/CD%20LICITA&#199;&#195;O/OR&#199;A%20ETA%20SAO%20BRAS%20RV%20JNETO%203%20(SAMPAIO)%20FINAL.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ttps://d.docs.live.net/Servidor/CSA%20Engenharia/BS2G%20CONSULTORIA/ETA%20S&#195;O%20BRAS%20C-D%20-%20JNETO/CD%20LICITA&#199;&#195;O/OR&#199;A%20ETA%20SAO%20BRAS%20RV%20JNETO%203%20(SAMPAIO)%20FINAL.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https://d.docs.live.net/sedurb-db-01/PUB_GT/Emendas%20Parlamentares%202007-revisado%20SEDURB/TUCUM&#195;/MC/TEXTO/Or&#231;a%20e%20Compo%20CACHOEIRA%20DO%20COUTO.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sedurb-db-01\PUB_GT\Emendas%20Parlamentares%202007-revisado%20SEDURB\TUCUM&#195;\MC\TEXTO\Or&#231;a%20e%20Compo%20CACHOEIRA%20DO%20COUT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Servidor1/c/LECDEMOS/Hitaeng/PROJETOS/EMBASA/Ad-Feij&#227;o/BA-MENDES/Atrab1/LATIN/apg/Mc-APG/AT-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0C2E17AA\OR&#199;AMENTO.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s://d.docs.live.net/Clelia/clelia/Orcamento/HAQUI/001-VIG_FUND-AGO2000.xls" TargetMode="External"/></Relationships>
</file>

<file path=xl/externalLinks/_rels/externalLink62.xml.rels><?xml version="1.0" encoding="UTF-8" standalone="yes"?>
<Relationships xmlns="http://schemas.openxmlformats.org/package/2006/relationships"><Relationship Id="rId2" Type="http://schemas.openxmlformats.org/officeDocument/2006/relationships/externalLinkPath" Target="file:///C:\Users\USER\Desktop\PLANILHAS%20-%20Icui&#769;%20Laranjeiras%2019-07-2024.xlsx" TargetMode="External"/><Relationship Id="rId1" Type="http://schemas.openxmlformats.org/officeDocument/2006/relationships/externalLinkPath" Target="file:///C:\Users\USER\Desktop\PLANILHAS%20-%20Icui&#769;%20Laranjeiras%2019-07-2024.xlsx"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Z:\NGCON\03.%20COORDENA&#199;&#195;O%20DE%20ENGENHARIA\ENG.%20FL&#193;VIO%20VALOIS\SAA%20-%20SESAN%20-%20MEM&#211;RIA%20DE%20C&#193;LCULO%20%20-%20OK.xls" TargetMode="External"/></Relationships>
</file>

<file path=xl/externalLinks/_rels/externalLink64.xml.rels><?xml version="1.0" encoding="UTF-8" standalone="yes"?>
<Relationships xmlns="http://schemas.openxmlformats.org/package/2006/relationships"><Relationship Id="rId2" Type="http://schemas.openxmlformats.org/officeDocument/2006/relationships/externalLinkPath" Target="https://d.docs.live.net/66dd99b1507bf1f5/CAG/Obras/Estudo%20de%20Obras/Pref%20Ananindeua/Canal%20do%20VI%20-%20T2/Edt/Planilha%20e%20anexos%20Canal%2040%20H%20T3%20e%20T4.xlsx" TargetMode="External"/><Relationship Id="rId1" Type="http://schemas.openxmlformats.org/officeDocument/2006/relationships/externalLinkPath" Target="https://d.docs.live.net/66dd99b1507bf1f5/Br&#252;cke/Obras/Pref%20Ananindeua/Canais%20do%20VI%5eJ%2040%20H%20e%20Ariri/Canal%2040%20H%20T2%20vs%20T3/Edt/Planilha%20e%20anexos%20Canal%2040%20H%20T3%20e%20T4.xlsx"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s://d.docs.live.net/Users/jeniffer.nascimento/Downloads/Composicao%20ORSE%20-%2012100.xlsx" TargetMode="External"/></Relationships>
</file>

<file path=xl/externalLinks/_rels/externalLink66.xml.rels><?xml version="1.0" encoding="UTF-8" standalone="yes"?>
<Relationships xmlns="http://schemas.openxmlformats.org/package/2006/relationships"><Relationship Id="rId2" Type="http://schemas.openxmlformats.org/officeDocument/2006/relationships/externalLinkPath" Target="https://d.docs.live.net/66dd99b1507bf1f5/Br&#252;cke/Obras/Pref%20Ananindeua/Nova%202023/UNA/PLANILHAS%20-%20una%20e%20atalaia%20-rev_01.xls" TargetMode="External"/><Relationship Id="rId1" Type="http://schemas.openxmlformats.org/officeDocument/2006/relationships/externalLinkPath" Target="https://d.docs.live.net/66dd99b1507bf1f5/Br&#252;cke/Obras/Pref%20Ananindeua/Nova%202023/UNA/PLANILHAS%20-%20una%20e%20atalaia%20-rev_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ervidor1\c\LECDEMOS\Hitaeng\PROJETOS\EMBASA\Ad-Feij&#227;o\BA-MENDES\Atrab1\LATIN\apg\Mc-APG\AT-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Sedurb-db-01/pub_gt/UECON/GEURB/OBRAS%20DO%20PAC1_2007/JADERL&#194;NDIA_PAC1/Boletim%20de%20Medi&#231;&#227;o/Calculo%20de%20prazo%20de%20obr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docs.live.net/10.40.2.3/diip/USPA%20COSANPA/PROJ.%20PAC/PAC%20Regi&#227;o%20Metropolitana/resposta%20cef%202008/Meus%20Documentos/GUANAB/reprograma&#231;&#227;o%20setembro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NOGRAMA - 120 Dias"/>
      <sheetName val="Reforma"/>
      <sheetName val="Ciência da Natureza"/>
      <sheetName val="Informática"/>
      <sheetName val="Biblioteca"/>
    </sheetNames>
    <sheetDataSet>
      <sheetData sheetId="0"/>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or Out. 2001 - BDI=20% Ajust"/>
      <sheetName val="Biblioteca Out. 2001 - BDI=20%"/>
      <sheetName val=" Salas OUT 2001 COM BDI 20%"/>
      <sheetName val="Lab cienc nat BRASILIA"/>
      <sheetName val="CRONOGRAMA - 120 Dias"/>
      <sheetName val="Refor Out_ 2001 _ BDI_20_ Ajust"/>
    </sheetNames>
    <sheetDataSet>
      <sheetData sheetId="0"/>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NO FISI FINAN GLEBA"/>
      <sheetName val="CRONOGRAMA DE DESEMBOLSO"/>
      <sheetName val="RESUMO"/>
      <sheetName val="ORÇAMENTO GLEBA"/>
      <sheetName val="MEMÓRIA ORÇAMENTO"/>
      <sheetName val="COMPOSIÇÕES PREÇOS"/>
    </sheetNames>
    <sheetDataSet>
      <sheetData sheetId="0" refreshError="1"/>
      <sheetData sheetId="1" refreshError="1"/>
      <sheetData sheetId="2"/>
      <sheetData sheetId="3" refreshError="1"/>
      <sheetData sheetId="4" refreshError="1"/>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gestão"/>
      <sheetName val="Padrão"/>
      <sheetName val="DB"/>
    </sheetNames>
    <sheetDataSet>
      <sheetData sheetId="0"/>
      <sheetData sheetId="1"/>
      <sheetData sheetId="2">
        <row r="1">
          <cell r="B1">
            <v>2012</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ício"/>
      <sheetName val="Menu"/>
      <sheetName val="JS  VF"/>
      <sheetName val="JS VP"/>
      <sheetName val="JS N"/>
      <sheetName val="JS I"/>
      <sheetName val="DB VF"/>
      <sheetName val="DB VP"/>
      <sheetName val="DB N"/>
      <sheetName val="DB I"/>
      <sheetName val="JC VF"/>
      <sheetName val="JC VP"/>
      <sheetName val="JC N"/>
      <sheetName val="JC I"/>
      <sheetName val="SÉRIE PMT"/>
      <sheetName val="SÉRIE VF"/>
      <sheetName val="SÉRIE VP"/>
      <sheetName val="SÉRIE N"/>
      <sheetName val="SÉRIE I"/>
      <sheetName val="Ser-Price"/>
      <sheetName val="Ser-Sac"/>
      <sheetName val="T Desiguais"/>
      <sheetName val="Geral"/>
      <sheetName val="Continua"/>
      <sheetName val="MatFinanc"/>
      <sheetName val="Autor"/>
      <sheetName val="OutrasFunçõ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4">
          <cell r="B4" t="str">
            <v>Price - Prestações Iguais</v>
          </cell>
        </row>
        <row r="13">
          <cell r="B13">
            <v>1</v>
          </cell>
          <cell r="C13">
            <v>9991.9698519896501</v>
          </cell>
          <cell r="D13">
            <v>-299.75909555968951</v>
          </cell>
          <cell r="E13">
            <v>-290.24090444031071</v>
          </cell>
          <cell r="F13">
            <v>-590.00000000000023</v>
          </cell>
          <cell r="G13">
            <v>9701.7289475493399</v>
          </cell>
        </row>
        <row r="14">
          <cell r="B14">
            <v>2</v>
          </cell>
          <cell r="C14">
            <v>9701.7289475493399</v>
          </cell>
          <cell r="D14">
            <v>-291.05186842648021</v>
          </cell>
          <cell r="E14">
            <v>-298.94813157352002</v>
          </cell>
          <cell r="F14">
            <v>-590.00000000000023</v>
          </cell>
          <cell r="G14">
            <v>9402.7808159758206</v>
          </cell>
        </row>
        <row r="15">
          <cell r="B15">
            <v>3</v>
          </cell>
          <cell r="C15">
            <v>9402.7808159758206</v>
          </cell>
          <cell r="D15">
            <v>-282.08342447927458</v>
          </cell>
          <cell r="E15">
            <v>-307.91657552072564</v>
          </cell>
          <cell r="F15">
            <v>-590.00000000000023</v>
          </cell>
          <cell r="G15">
            <v>9094.8642404550956</v>
          </cell>
        </row>
        <row r="16">
          <cell r="B16">
            <v>4</v>
          </cell>
          <cell r="C16">
            <v>9094.8642404550956</v>
          </cell>
          <cell r="D16">
            <v>-272.84592721365289</v>
          </cell>
          <cell r="E16">
            <v>-317.15407278634734</v>
          </cell>
          <cell r="F16">
            <v>-590.00000000000023</v>
          </cell>
          <cell r="G16">
            <v>8777.7101676687489</v>
          </cell>
        </row>
        <row r="17">
          <cell r="B17">
            <v>5</v>
          </cell>
          <cell r="C17">
            <v>8777.7101676687489</v>
          </cell>
          <cell r="D17">
            <v>-263.33130503006248</v>
          </cell>
          <cell r="E17">
            <v>-326.66869496993775</v>
          </cell>
          <cell r="F17">
            <v>-590.00000000000023</v>
          </cell>
          <cell r="G17">
            <v>8451.041472698811</v>
          </cell>
        </row>
        <row r="18">
          <cell r="B18">
            <v>6</v>
          </cell>
          <cell r="C18">
            <v>8451.041472698811</v>
          </cell>
          <cell r="D18">
            <v>-253.53124418096434</v>
          </cell>
          <cell r="E18">
            <v>-336.46875581903589</v>
          </cell>
          <cell r="F18">
            <v>-590.00000000000023</v>
          </cell>
          <cell r="G18">
            <v>8114.5727168797748</v>
          </cell>
        </row>
        <row r="19">
          <cell r="B19">
            <v>7</v>
          </cell>
          <cell r="C19">
            <v>8114.5727168797748</v>
          </cell>
          <cell r="D19">
            <v>-243.43718150639324</v>
          </cell>
          <cell r="E19">
            <v>-346.56281849360698</v>
          </cell>
          <cell r="F19">
            <v>-590.00000000000023</v>
          </cell>
          <cell r="G19">
            <v>7768.0098983861681</v>
          </cell>
        </row>
        <row r="20">
          <cell r="B20">
            <v>8</v>
          </cell>
          <cell r="C20">
            <v>7768.0098983861681</v>
          </cell>
          <cell r="D20">
            <v>-233.04029695158502</v>
          </cell>
          <cell r="E20">
            <v>-356.95970304841524</v>
          </cell>
          <cell r="F20">
            <v>-590.00000000000023</v>
          </cell>
          <cell r="G20">
            <v>7411.0501953377525</v>
          </cell>
        </row>
        <row r="21">
          <cell r="B21">
            <v>9</v>
          </cell>
          <cell r="C21">
            <v>7411.0501953377525</v>
          </cell>
          <cell r="D21">
            <v>-222.33150586013258</v>
          </cell>
          <cell r="E21">
            <v>-367.66849413986768</v>
          </cell>
          <cell r="F21">
            <v>-590.00000000000023</v>
          </cell>
          <cell r="G21">
            <v>7043.3817011978845</v>
          </cell>
        </row>
        <row r="22">
          <cell r="B22">
            <v>10</v>
          </cell>
          <cell r="C22">
            <v>7043.3817011978845</v>
          </cell>
          <cell r="D22">
            <v>-211.30145103593654</v>
          </cell>
          <cell r="E22">
            <v>-378.69854896406366</v>
          </cell>
          <cell r="F22">
            <v>-590.00000000000023</v>
          </cell>
          <cell r="G22">
            <v>6664.6831522338207</v>
          </cell>
        </row>
        <row r="23">
          <cell r="B23">
            <v>11</v>
          </cell>
          <cell r="C23">
            <v>6664.6831522338207</v>
          </cell>
          <cell r="D23">
            <v>-199.94049456701461</v>
          </cell>
          <cell r="E23">
            <v>-390.05950543298559</v>
          </cell>
          <cell r="F23">
            <v>-590.00000000000023</v>
          </cell>
          <cell r="G23">
            <v>6274.6236468008356</v>
          </cell>
        </row>
        <row r="24">
          <cell r="B24">
            <v>12</v>
          </cell>
          <cell r="C24">
            <v>6274.6236468008356</v>
          </cell>
          <cell r="D24">
            <v>-188.23870940402506</v>
          </cell>
          <cell r="E24">
            <v>-401.7612905959752</v>
          </cell>
          <cell r="F24">
            <v>-590.00000000000023</v>
          </cell>
          <cell r="G24">
            <v>5872.8623562048606</v>
          </cell>
        </row>
        <row r="25">
          <cell r="B25">
            <v>13</v>
          </cell>
          <cell r="C25">
            <v>5872.8623562048606</v>
          </cell>
          <cell r="D25">
            <v>-176.18587068614582</v>
          </cell>
          <cell r="E25">
            <v>-413.81412931385444</v>
          </cell>
          <cell r="F25">
            <v>-590.00000000000023</v>
          </cell>
          <cell r="G25">
            <v>5459.0482268910064</v>
          </cell>
        </row>
        <row r="26">
          <cell r="B26">
            <v>14</v>
          </cell>
          <cell r="C26">
            <v>5459.0482268910064</v>
          </cell>
          <cell r="D26">
            <v>-163.77144680673018</v>
          </cell>
          <cell r="E26">
            <v>-426.22855319327005</v>
          </cell>
          <cell r="F26">
            <v>-590.00000000000023</v>
          </cell>
          <cell r="G26">
            <v>5032.8196736977361</v>
          </cell>
        </row>
        <row r="27">
          <cell r="B27">
            <v>15</v>
          </cell>
          <cell r="C27">
            <v>5032.8196736977361</v>
          </cell>
          <cell r="D27">
            <v>-150.98459021093208</v>
          </cell>
          <cell r="E27">
            <v>-439.01540978906814</v>
          </cell>
          <cell r="F27">
            <v>-590.00000000000023</v>
          </cell>
          <cell r="G27">
            <v>4593.804263908668</v>
          </cell>
        </row>
        <row r="28">
          <cell r="B28">
            <v>16</v>
          </cell>
          <cell r="C28">
            <v>4593.804263908668</v>
          </cell>
          <cell r="D28">
            <v>-137.81412791726004</v>
          </cell>
          <cell r="E28">
            <v>-452.18587208274016</v>
          </cell>
          <cell r="F28">
            <v>-590.00000000000023</v>
          </cell>
          <cell r="G28">
            <v>4141.6183918259276</v>
          </cell>
        </row>
        <row r="29">
          <cell r="B29">
            <v>17</v>
          </cell>
          <cell r="C29">
            <v>4141.6183918259276</v>
          </cell>
          <cell r="D29">
            <v>-124.24855175477782</v>
          </cell>
          <cell r="E29">
            <v>-465.75144824522238</v>
          </cell>
          <cell r="F29">
            <v>-590.00000000000023</v>
          </cell>
          <cell r="G29">
            <v>3675.8669435807051</v>
          </cell>
        </row>
        <row r="30">
          <cell r="B30">
            <v>18</v>
          </cell>
          <cell r="C30">
            <v>3675.8669435807051</v>
          </cell>
          <cell r="D30">
            <v>-110.27600830742115</v>
          </cell>
          <cell r="E30">
            <v>-479.72399169257909</v>
          </cell>
          <cell r="F30">
            <v>-590.00000000000023</v>
          </cell>
          <cell r="G30">
            <v>3196.1429518881259</v>
          </cell>
        </row>
        <row r="31">
          <cell r="B31">
            <v>19</v>
          </cell>
          <cell r="C31">
            <v>3196.1429518881259</v>
          </cell>
          <cell r="D31">
            <v>-95.884288556643781</v>
          </cell>
          <cell r="E31">
            <v>-494.11571144335642</v>
          </cell>
          <cell r="F31">
            <v>-590.00000000000023</v>
          </cell>
          <cell r="G31">
            <v>2702.0272404447696</v>
          </cell>
        </row>
        <row r="32">
          <cell r="B32">
            <v>20</v>
          </cell>
          <cell r="C32">
            <v>2702.0272404447696</v>
          </cell>
          <cell r="D32">
            <v>-81.060817213343086</v>
          </cell>
          <cell r="E32">
            <v>-508.93918278665717</v>
          </cell>
          <cell r="F32">
            <v>-590.00000000000023</v>
          </cell>
          <cell r="G32">
            <v>2193.0880576581126</v>
          </cell>
        </row>
        <row r="33">
          <cell r="B33">
            <v>21</v>
          </cell>
          <cell r="C33">
            <v>2193.0880576581126</v>
          </cell>
          <cell r="D33">
            <v>-65.79264172974338</v>
          </cell>
          <cell r="E33">
            <v>-524.2073582702568</v>
          </cell>
          <cell r="F33">
            <v>-590.00000000000023</v>
          </cell>
          <cell r="G33">
            <v>1668.8806993878557</v>
          </cell>
        </row>
        <row r="34">
          <cell r="B34">
            <v>22</v>
          </cell>
          <cell r="C34">
            <v>1668.8806993878557</v>
          </cell>
          <cell r="D34">
            <v>-50.066420981635666</v>
          </cell>
          <cell r="E34">
            <v>-539.93357901836453</v>
          </cell>
          <cell r="F34">
            <v>-590.00000000000023</v>
          </cell>
          <cell r="G34">
            <v>1128.9471203694911</v>
          </cell>
        </row>
        <row r="35">
          <cell r="B35">
            <v>23</v>
          </cell>
          <cell r="C35">
            <v>1128.9471203694911</v>
          </cell>
          <cell r="D35">
            <v>-33.868413611084733</v>
          </cell>
          <cell r="E35">
            <v>-556.13158638891548</v>
          </cell>
          <cell r="F35">
            <v>-590.00000000000023</v>
          </cell>
          <cell r="G35">
            <v>572.81553398057565</v>
          </cell>
        </row>
        <row r="36">
          <cell r="B36">
            <v>24</v>
          </cell>
          <cell r="C36">
            <v>572.81553398057565</v>
          </cell>
          <cell r="D36">
            <v>-17.184466019417268</v>
          </cell>
          <cell r="E36">
            <v>-572.81553398058293</v>
          </cell>
          <cell r="F36">
            <v>-590.00000000000023</v>
          </cell>
          <cell r="G36">
            <v>-7.2759576141834259E-12</v>
          </cell>
        </row>
        <row r="37">
          <cell r="B37">
            <v>0</v>
          </cell>
          <cell r="C37">
            <v>0</v>
          </cell>
          <cell r="D37">
            <v>0</v>
          </cell>
          <cell r="E37">
            <v>0</v>
          </cell>
          <cell r="F37">
            <v>0</v>
          </cell>
          <cell r="G37">
            <v>0</v>
          </cell>
        </row>
        <row r="38">
          <cell r="B38">
            <v>0</v>
          </cell>
          <cell r="C38">
            <v>0</v>
          </cell>
          <cell r="D38">
            <v>0</v>
          </cell>
          <cell r="E38">
            <v>0</v>
          </cell>
          <cell r="F38">
            <v>0</v>
          </cell>
          <cell r="G38">
            <v>0</v>
          </cell>
        </row>
        <row r="39">
          <cell r="B39">
            <v>0</v>
          </cell>
          <cell r="C39">
            <v>0</v>
          </cell>
          <cell r="D39">
            <v>0</v>
          </cell>
          <cell r="E39">
            <v>0</v>
          </cell>
          <cell r="F39">
            <v>0</v>
          </cell>
          <cell r="G39">
            <v>0</v>
          </cell>
        </row>
        <row r="40">
          <cell r="B40">
            <v>0</v>
          </cell>
          <cell r="C40">
            <v>0</v>
          </cell>
          <cell r="D40">
            <v>0</v>
          </cell>
          <cell r="E40">
            <v>0</v>
          </cell>
          <cell r="F40">
            <v>0</v>
          </cell>
          <cell r="G40">
            <v>0</v>
          </cell>
        </row>
        <row r="41">
          <cell r="B41">
            <v>0</v>
          </cell>
          <cell r="C41">
            <v>0</v>
          </cell>
          <cell r="D41">
            <v>0</v>
          </cell>
          <cell r="E41">
            <v>0</v>
          </cell>
          <cell r="F41">
            <v>0</v>
          </cell>
          <cell r="G41">
            <v>0</v>
          </cell>
        </row>
        <row r="42">
          <cell r="B42">
            <v>0</v>
          </cell>
          <cell r="C42">
            <v>0</v>
          </cell>
          <cell r="D42">
            <v>0</v>
          </cell>
          <cell r="E42">
            <v>0</v>
          </cell>
          <cell r="F42">
            <v>0</v>
          </cell>
          <cell r="G42">
            <v>0</v>
          </cell>
        </row>
        <row r="43">
          <cell r="B43">
            <v>0</v>
          </cell>
          <cell r="C43">
            <v>0</v>
          </cell>
          <cell r="D43">
            <v>0</v>
          </cell>
          <cell r="E43">
            <v>0</v>
          </cell>
          <cell r="F43">
            <v>0</v>
          </cell>
          <cell r="G43">
            <v>0</v>
          </cell>
        </row>
        <row r="44">
          <cell r="B44">
            <v>0</v>
          </cell>
          <cell r="C44">
            <v>0</v>
          </cell>
          <cell r="D44">
            <v>0</v>
          </cell>
          <cell r="E44">
            <v>0</v>
          </cell>
          <cell r="F44">
            <v>0</v>
          </cell>
          <cell r="G44">
            <v>0</v>
          </cell>
        </row>
        <row r="45">
          <cell r="B45">
            <v>0</v>
          </cell>
          <cell r="C45">
            <v>0</v>
          </cell>
          <cell r="D45">
            <v>0</v>
          </cell>
          <cell r="E45">
            <v>0</v>
          </cell>
          <cell r="F45">
            <v>0</v>
          </cell>
          <cell r="G45">
            <v>0</v>
          </cell>
        </row>
        <row r="46">
          <cell r="B46">
            <v>0</v>
          </cell>
          <cell r="C46">
            <v>0</v>
          </cell>
          <cell r="D46">
            <v>0</v>
          </cell>
          <cell r="E46">
            <v>0</v>
          </cell>
          <cell r="F46">
            <v>0</v>
          </cell>
          <cell r="G46">
            <v>0</v>
          </cell>
        </row>
        <row r="47">
          <cell r="B47">
            <v>0</v>
          </cell>
          <cell r="C47">
            <v>0</v>
          </cell>
          <cell r="D47">
            <v>0</v>
          </cell>
          <cell r="E47">
            <v>0</v>
          </cell>
          <cell r="F47">
            <v>0</v>
          </cell>
          <cell r="G47">
            <v>0</v>
          </cell>
        </row>
        <row r="48">
          <cell r="B48">
            <v>0</v>
          </cell>
          <cell r="C48">
            <v>0</v>
          </cell>
          <cell r="D48">
            <v>0</v>
          </cell>
          <cell r="E48">
            <v>0</v>
          </cell>
          <cell r="F48">
            <v>0</v>
          </cell>
          <cell r="G48">
            <v>0</v>
          </cell>
        </row>
        <row r="49">
          <cell r="B49">
            <v>0</v>
          </cell>
          <cell r="C49">
            <v>0</v>
          </cell>
          <cell r="D49">
            <v>0</v>
          </cell>
          <cell r="E49">
            <v>0</v>
          </cell>
          <cell r="F49">
            <v>0</v>
          </cell>
          <cell r="G49">
            <v>0</v>
          </cell>
        </row>
        <row r="50">
          <cell r="B50">
            <v>0</v>
          </cell>
          <cell r="C50">
            <v>0</v>
          </cell>
          <cell r="D50">
            <v>0</v>
          </cell>
          <cell r="E50">
            <v>0</v>
          </cell>
          <cell r="F50">
            <v>0</v>
          </cell>
          <cell r="G50">
            <v>0</v>
          </cell>
        </row>
        <row r="51">
          <cell r="B51">
            <v>0</v>
          </cell>
          <cell r="C51">
            <v>0</v>
          </cell>
          <cell r="D51">
            <v>0</v>
          </cell>
          <cell r="E51">
            <v>0</v>
          </cell>
          <cell r="F51">
            <v>0</v>
          </cell>
          <cell r="G51">
            <v>0</v>
          </cell>
        </row>
        <row r="52">
          <cell r="B52">
            <v>0</v>
          </cell>
          <cell r="C52">
            <v>0</v>
          </cell>
          <cell r="D52">
            <v>0</v>
          </cell>
          <cell r="E52">
            <v>0</v>
          </cell>
          <cell r="F52">
            <v>0</v>
          </cell>
          <cell r="G52">
            <v>0</v>
          </cell>
        </row>
        <row r="53">
          <cell r="B53">
            <v>0</v>
          </cell>
          <cell r="C53">
            <v>0</v>
          </cell>
          <cell r="D53">
            <v>0</v>
          </cell>
          <cell r="E53">
            <v>0</v>
          </cell>
          <cell r="F53">
            <v>0</v>
          </cell>
          <cell r="G53">
            <v>0</v>
          </cell>
        </row>
        <row r="54">
          <cell r="B54">
            <v>0</v>
          </cell>
          <cell r="C54">
            <v>0</v>
          </cell>
          <cell r="D54">
            <v>0</v>
          </cell>
          <cell r="E54">
            <v>0</v>
          </cell>
          <cell r="F54">
            <v>0</v>
          </cell>
          <cell r="G54">
            <v>0</v>
          </cell>
        </row>
        <row r="55">
          <cell r="B55">
            <v>0</v>
          </cell>
          <cell r="C55">
            <v>0</v>
          </cell>
          <cell r="D55">
            <v>0</v>
          </cell>
          <cell r="E55">
            <v>0</v>
          </cell>
          <cell r="F55">
            <v>0</v>
          </cell>
          <cell r="G55">
            <v>0</v>
          </cell>
        </row>
        <row r="56">
          <cell r="B56">
            <v>0</v>
          </cell>
          <cell r="C56">
            <v>0</v>
          </cell>
          <cell r="D56">
            <v>0</v>
          </cell>
          <cell r="E56">
            <v>0</v>
          </cell>
          <cell r="F56">
            <v>0</v>
          </cell>
          <cell r="G56">
            <v>0</v>
          </cell>
        </row>
        <row r="57">
          <cell r="B57">
            <v>0</v>
          </cell>
          <cell r="C57">
            <v>0</v>
          </cell>
          <cell r="D57">
            <v>0</v>
          </cell>
          <cell r="E57">
            <v>0</v>
          </cell>
          <cell r="F57">
            <v>0</v>
          </cell>
          <cell r="G57">
            <v>0</v>
          </cell>
        </row>
        <row r="58">
          <cell r="B58">
            <v>0</v>
          </cell>
          <cell r="C58">
            <v>0</v>
          </cell>
          <cell r="D58">
            <v>0</v>
          </cell>
          <cell r="E58">
            <v>0</v>
          </cell>
          <cell r="F58">
            <v>0</v>
          </cell>
          <cell r="G58">
            <v>0</v>
          </cell>
        </row>
        <row r="59">
          <cell r="B59">
            <v>0</v>
          </cell>
          <cell r="C59">
            <v>0</v>
          </cell>
          <cell r="D59">
            <v>0</v>
          </cell>
          <cell r="E59">
            <v>0</v>
          </cell>
          <cell r="F59">
            <v>0</v>
          </cell>
          <cell r="G59">
            <v>0</v>
          </cell>
        </row>
        <row r="60">
          <cell r="B60">
            <v>0</v>
          </cell>
          <cell r="C60">
            <v>0</v>
          </cell>
          <cell r="D60">
            <v>0</v>
          </cell>
          <cell r="E60">
            <v>0</v>
          </cell>
          <cell r="F60">
            <v>0</v>
          </cell>
          <cell r="G60">
            <v>0</v>
          </cell>
        </row>
        <row r="61">
          <cell r="B61">
            <v>0</v>
          </cell>
          <cell r="C61">
            <v>0</v>
          </cell>
          <cell r="D61">
            <v>0</v>
          </cell>
          <cell r="E61">
            <v>0</v>
          </cell>
          <cell r="F61">
            <v>0</v>
          </cell>
          <cell r="G61">
            <v>0</v>
          </cell>
        </row>
        <row r="62">
          <cell r="B62">
            <v>0</v>
          </cell>
          <cell r="C62">
            <v>0</v>
          </cell>
          <cell r="D62">
            <v>0</v>
          </cell>
          <cell r="E62">
            <v>0</v>
          </cell>
          <cell r="F62">
            <v>0</v>
          </cell>
          <cell r="G62">
            <v>0</v>
          </cell>
        </row>
        <row r="63">
          <cell r="B63">
            <v>0</v>
          </cell>
          <cell r="C63">
            <v>0</v>
          </cell>
          <cell r="D63">
            <v>0</v>
          </cell>
          <cell r="E63">
            <v>0</v>
          </cell>
          <cell r="F63">
            <v>0</v>
          </cell>
          <cell r="G63">
            <v>0</v>
          </cell>
        </row>
        <row r="64">
          <cell r="B64">
            <v>0</v>
          </cell>
          <cell r="C64">
            <v>0</v>
          </cell>
          <cell r="D64">
            <v>0</v>
          </cell>
          <cell r="E64">
            <v>0</v>
          </cell>
          <cell r="F64">
            <v>0</v>
          </cell>
          <cell r="G64">
            <v>0</v>
          </cell>
        </row>
        <row r="65">
          <cell r="B65">
            <v>0</v>
          </cell>
          <cell r="C65">
            <v>0</v>
          </cell>
          <cell r="D65">
            <v>0</v>
          </cell>
          <cell r="E65">
            <v>0</v>
          </cell>
          <cell r="F65">
            <v>0</v>
          </cell>
          <cell r="G65">
            <v>0</v>
          </cell>
        </row>
        <row r="66">
          <cell r="B66">
            <v>0</v>
          </cell>
          <cell r="C66">
            <v>0</v>
          </cell>
          <cell r="D66">
            <v>0</v>
          </cell>
          <cell r="E66">
            <v>0</v>
          </cell>
          <cell r="F66">
            <v>0</v>
          </cell>
          <cell r="G66">
            <v>0</v>
          </cell>
        </row>
        <row r="67">
          <cell r="B67">
            <v>0</v>
          </cell>
          <cell r="C67">
            <v>0</v>
          </cell>
          <cell r="D67">
            <v>0</v>
          </cell>
          <cell r="E67">
            <v>0</v>
          </cell>
          <cell r="F67">
            <v>0</v>
          </cell>
          <cell r="G67">
            <v>0</v>
          </cell>
        </row>
        <row r="68">
          <cell r="B68">
            <v>0</v>
          </cell>
          <cell r="C68">
            <v>0</v>
          </cell>
          <cell r="D68">
            <v>0</v>
          </cell>
          <cell r="E68">
            <v>0</v>
          </cell>
          <cell r="F68">
            <v>0</v>
          </cell>
          <cell r="G68">
            <v>0</v>
          </cell>
        </row>
        <row r="69">
          <cell r="B69">
            <v>0</v>
          </cell>
          <cell r="C69">
            <v>0</v>
          </cell>
          <cell r="D69">
            <v>0</v>
          </cell>
          <cell r="E69">
            <v>0</v>
          </cell>
          <cell r="F69">
            <v>0</v>
          </cell>
          <cell r="G69">
            <v>0</v>
          </cell>
        </row>
        <row r="70">
          <cell r="B70">
            <v>0</v>
          </cell>
          <cell r="C70">
            <v>0</v>
          </cell>
          <cell r="D70">
            <v>0</v>
          </cell>
          <cell r="E70">
            <v>0</v>
          </cell>
          <cell r="F70">
            <v>0</v>
          </cell>
          <cell r="G70">
            <v>0</v>
          </cell>
        </row>
        <row r="71">
          <cell r="B71">
            <v>0</v>
          </cell>
          <cell r="C71">
            <v>0</v>
          </cell>
          <cell r="D71">
            <v>0</v>
          </cell>
          <cell r="E71">
            <v>0</v>
          </cell>
          <cell r="F71">
            <v>0</v>
          </cell>
          <cell r="G71">
            <v>0</v>
          </cell>
        </row>
        <row r="72">
          <cell r="B72">
            <v>0</v>
          </cell>
          <cell r="C72">
            <v>0</v>
          </cell>
          <cell r="D72">
            <v>0</v>
          </cell>
          <cell r="E72">
            <v>0</v>
          </cell>
          <cell r="F72">
            <v>0</v>
          </cell>
          <cell r="G72">
            <v>0</v>
          </cell>
        </row>
        <row r="73">
          <cell r="B73">
            <v>0</v>
          </cell>
          <cell r="C73">
            <v>0</v>
          </cell>
          <cell r="D73">
            <v>0</v>
          </cell>
          <cell r="E73">
            <v>0</v>
          </cell>
          <cell r="F73">
            <v>0</v>
          </cell>
          <cell r="G73">
            <v>0</v>
          </cell>
        </row>
        <row r="74">
          <cell r="B74">
            <v>0</v>
          </cell>
          <cell r="C74">
            <v>0</v>
          </cell>
          <cell r="D74">
            <v>0</v>
          </cell>
          <cell r="E74">
            <v>0</v>
          </cell>
          <cell r="F74">
            <v>0</v>
          </cell>
          <cell r="G74">
            <v>0</v>
          </cell>
        </row>
        <row r="75">
          <cell r="B75">
            <v>0</v>
          </cell>
          <cell r="C75">
            <v>0</v>
          </cell>
          <cell r="D75">
            <v>0</v>
          </cell>
          <cell r="E75">
            <v>0</v>
          </cell>
          <cell r="F75">
            <v>0</v>
          </cell>
          <cell r="G75">
            <v>0</v>
          </cell>
        </row>
        <row r="76">
          <cell r="B76">
            <v>0</v>
          </cell>
          <cell r="C76">
            <v>0</v>
          </cell>
          <cell r="D76">
            <v>0</v>
          </cell>
          <cell r="E76">
            <v>0</v>
          </cell>
          <cell r="F76">
            <v>0</v>
          </cell>
          <cell r="G76">
            <v>0</v>
          </cell>
        </row>
        <row r="77">
          <cell r="B77">
            <v>0</v>
          </cell>
          <cell r="C77">
            <v>0</v>
          </cell>
          <cell r="D77">
            <v>0</v>
          </cell>
          <cell r="E77">
            <v>0</v>
          </cell>
          <cell r="F77">
            <v>0</v>
          </cell>
          <cell r="G77">
            <v>0</v>
          </cell>
        </row>
        <row r="78">
          <cell r="B78">
            <v>0</v>
          </cell>
          <cell r="C78">
            <v>0</v>
          </cell>
          <cell r="D78">
            <v>0</v>
          </cell>
          <cell r="E78">
            <v>0</v>
          </cell>
          <cell r="F78">
            <v>0</v>
          </cell>
          <cell r="G78">
            <v>0</v>
          </cell>
        </row>
        <row r="79">
          <cell r="B79">
            <v>0</v>
          </cell>
          <cell r="C79">
            <v>0</v>
          </cell>
          <cell r="D79">
            <v>0</v>
          </cell>
          <cell r="E79">
            <v>0</v>
          </cell>
          <cell r="F79">
            <v>0</v>
          </cell>
          <cell r="G79">
            <v>0</v>
          </cell>
        </row>
        <row r="80">
          <cell r="B80">
            <v>0</v>
          </cell>
          <cell r="C80">
            <v>0</v>
          </cell>
          <cell r="D80">
            <v>0</v>
          </cell>
          <cell r="E80">
            <v>0</v>
          </cell>
          <cell r="F80">
            <v>0</v>
          </cell>
          <cell r="G80">
            <v>0</v>
          </cell>
        </row>
        <row r="81">
          <cell r="B81">
            <v>0</v>
          </cell>
          <cell r="C81">
            <v>0</v>
          </cell>
          <cell r="D81">
            <v>0</v>
          </cell>
          <cell r="E81">
            <v>0</v>
          </cell>
          <cell r="F81">
            <v>0</v>
          </cell>
          <cell r="G81">
            <v>0</v>
          </cell>
        </row>
        <row r="82">
          <cell r="B82">
            <v>0</v>
          </cell>
          <cell r="C82">
            <v>0</v>
          </cell>
          <cell r="D82">
            <v>0</v>
          </cell>
          <cell r="E82">
            <v>0</v>
          </cell>
          <cell r="F82">
            <v>0</v>
          </cell>
          <cell r="G82">
            <v>0</v>
          </cell>
        </row>
        <row r="83">
          <cell r="B83">
            <v>0</v>
          </cell>
          <cell r="C83">
            <v>0</v>
          </cell>
          <cell r="D83">
            <v>0</v>
          </cell>
          <cell r="E83">
            <v>0</v>
          </cell>
          <cell r="F83">
            <v>0</v>
          </cell>
          <cell r="G83">
            <v>0</v>
          </cell>
        </row>
        <row r="84">
          <cell r="B84">
            <v>0</v>
          </cell>
          <cell r="C84">
            <v>0</v>
          </cell>
          <cell r="D84">
            <v>0</v>
          </cell>
          <cell r="E84">
            <v>0</v>
          </cell>
          <cell r="F84">
            <v>0</v>
          </cell>
          <cell r="G84">
            <v>0</v>
          </cell>
        </row>
        <row r="85">
          <cell r="B85">
            <v>0</v>
          </cell>
          <cell r="C85">
            <v>0</v>
          </cell>
          <cell r="D85">
            <v>0</v>
          </cell>
          <cell r="E85">
            <v>0</v>
          </cell>
          <cell r="F85">
            <v>0</v>
          </cell>
          <cell r="G85">
            <v>0</v>
          </cell>
        </row>
        <row r="86">
          <cell r="B86">
            <v>0</v>
          </cell>
          <cell r="C86">
            <v>0</v>
          </cell>
          <cell r="D86">
            <v>0</v>
          </cell>
          <cell r="E86">
            <v>0</v>
          </cell>
          <cell r="F86">
            <v>0</v>
          </cell>
          <cell r="G86">
            <v>0</v>
          </cell>
        </row>
        <row r="87">
          <cell r="B87">
            <v>0</v>
          </cell>
          <cell r="C87">
            <v>0</v>
          </cell>
          <cell r="D87">
            <v>0</v>
          </cell>
          <cell r="E87">
            <v>0</v>
          </cell>
          <cell r="F87">
            <v>0</v>
          </cell>
          <cell r="G87">
            <v>0</v>
          </cell>
        </row>
        <row r="88">
          <cell r="B88">
            <v>0</v>
          </cell>
          <cell r="C88">
            <v>0</v>
          </cell>
          <cell r="D88">
            <v>0</v>
          </cell>
          <cell r="E88">
            <v>0</v>
          </cell>
          <cell r="F88">
            <v>0</v>
          </cell>
          <cell r="G88">
            <v>0</v>
          </cell>
        </row>
        <row r="89">
          <cell r="B89">
            <v>0</v>
          </cell>
          <cell r="C89">
            <v>0</v>
          </cell>
          <cell r="D89">
            <v>0</v>
          </cell>
          <cell r="E89">
            <v>0</v>
          </cell>
          <cell r="F89">
            <v>0</v>
          </cell>
          <cell r="G89">
            <v>0</v>
          </cell>
        </row>
        <row r="90">
          <cell r="B90">
            <v>0</v>
          </cell>
          <cell r="C90">
            <v>0</v>
          </cell>
          <cell r="D90">
            <v>0</v>
          </cell>
          <cell r="E90">
            <v>0</v>
          </cell>
          <cell r="F90">
            <v>0</v>
          </cell>
          <cell r="G90">
            <v>0</v>
          </cell>
        </row>
        <row r="91">
          <cell r="B91">
            <v>0</v>
          </cell>
          <cell r="C91">
            <v>0</v>
          </cell>
          <cell r="D91">
            <v>0</v>
          </cell>
          <cell r="E91">
            <v>0</v>
          </cell>
          <cell r="F91">
            <v>0</v>
          </cell>
          <cell r="G91">
            <v>0</v>
          </cell>
        </row>
        <row r="92">
          <cell r="B92">
            <v>0</v>
          </cell>
          <cell r="C92">
            <v>0</v>
          </cell>
          <cell r="D92">
            <v>0</v>
          </cell>
          <cell r="E92">
            <v>0</v>
          </cell>
          <cell r="F92">
            <v>0</v>
          </cell>
          <cell r="G92">
            <v>0</v>
          </cell>
        </row>
        <row r="95">
          <cell r="B95" t="str">
            <v>Gráficos</v>
          </cell>
        </row>
      </sheetData>
      <sheetData sheetId="20">
        <row r="4">
          <cell r="B4" t="str">
            <v>SAC - Amortizações Constantes</v>
          </cell>
        </row>
        <row r="95">
          <cell r="B95" t="str">
            <v>Gráficos (a ser melhorado em breve !!!)</v>
          </cell>
        </row>
      </sheetData>
      <sheetData sheetId="21"/>
      <sheetData sheetId="22"/>
      <sheetData sheetId="23" refreshError="1"/>
      <sheetData sheetId="24"/>
      <sheetData sheetId="25"/>
      <sheetData sheetId="2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ços"/>
      <sheetName val="Bloco2x4"/>
      <sheetName val="Bloco1x3"/>
      <sheetName val="BlocoAdm"/>
      <sheetName val="BlocoCan"/>
      <sheetName val="Lista2x4"/>
      <sheetName val="Lista1x3"/>
      <sheetName val="Lista Adm"/>
      <sheetName val="ListaCan"/>
      <sheetName val="Resumo"/>
    </sheetNames>
    <sheetDataSet>
      <sheetData sheetId="0" refreshError="1">
        <row r="15">
          <cell r="C15">
            <v>15</v>
          </cell>
        </row>
        <row r="277">
          <cell r="C277">
            <v>1.71</v>
          </cell>
        </row>
        <row r="278">
          <cell r="C278">
            <v>1.56</v>
          </cell>
        </row>
        <row r="286">
          <cell r="C286">
            <v>8</v>
          </cell>
        </row>
        <row r="291">
          <cell r="C291">
            <v>60</v>
          </cell>
        </row>
      </sheetData>
      <sheetData sheetId="1"/>
      <sheetData sheetId="2"/>
      <sheetData sheetId="3"/>
      <sheetData sheetId="4"/>
      <sheetData sheetId="5"/>
      <sheetData sheetId="6"/>
      <sheetData sheetId="7"/>
      <sheetData sheetId="8"/>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NO FISI FINAN GLEBA"/>
      <sheetName val="CRONOGRAMA DE DESEMBOLSO"/>
      <sheetName val="RESUMO"/>
      <sheetName val="ORÇAMENTO GLEBA"/>
      <sheetName val="MEMÓRIA ORÇAMENTO"/>
      <sheetName val="COMPOSIÇÕES PREÇOS"/>
    </sheetNames>
    <sheetDataSet>
      <sheetData sheetId="0"/>
      <sheetData sheetId="1" refreshError="1"/>
      <sheetData sheetId="2"/>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0"/>
      <sheetName val="80"/>
      <sheetName val="74"/>
      <sheetName val="73"/>
      <sheetName val="72"/>
      <sheetName val="71"/>
      <sheetName val="06"/>
      <sheetName val="05"/>
      <sheetName val="04"/>
      <sheetName val="03"/>
      <sheetName val="02"/>
      <sheetName val="01"/>
      <sheetName val="RES.GERAL"/>
      <sheetName val="ORIGEM"/>
      <sheetName val="CRONO FISI FINAN"/>
      <sheetName val="PLANEJ MACRO"/>
      <sheetName val="BDI"/>
      <sheetName val="LS"/>
      <sheetName val="SINTETICA"/>
      <sheetName val="ANALITICA"/>
      <sheetName val="BD"/>
      <sheetName val="MODELO-CP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B1">
            <v>1.2451000000000001</v>
          </cell>
        </row>
        <row r="2">
          <cell r="B2">
            <v>0.29399999999999998</v>
          </cell>
        </row>
        <row r="3">
          <cell r="B3">
            <v>0.27179999999999999</v>
          </cell>
        </row>
      </sheetData>
      <sheetData sheetId="2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
      <sheetName val="Prog_Sv"/>
      <sheetName val="mem"/>
      <sheetName val="MG"/>
      <sheetName val="GAL"/>
      <sheetName val="pf"/>
      <sheetName val="TB"/>
      <sheetName val="00-01"/>
      <sheetName val="07-15"/>
      <sheetName val="ev"/>
      <sheetName val="RotMRosa"/>
      <sheetName val="RotKm07"/>
      <sheetName val="Pontes"/>
      <sheetName val="mfc10x30cm"/>
      <sheetName val="pntcobra"/>
      <sheetName val="pntmarc"/>
      <sheetName val="pntpaul"/>
      <sheetName val="C-Mat E TRP"/>
      <sheetName val="limp-SMF"/>
      <sheetName val="corpbstc"/>
      <sheetName val="escmatjaz"/>
      <sheetName val="comp95"/>
      <sheetName val="regsubl"/>
      <sheetName val="sbase"/>
      <sheetName val="conc10mpa"/>
      <sheetName val="conc12mpa"/>
      <sheetName val="conc15mpa"/>
      <sheetName val="base"/>
      <sheetName val="solobase"/>
      <sheetName val="rempav"/>
      <sheetName val="stc01"/>
      <sheetName val="caiação"/>
      <sheetName val="remprof"/>
      <sheetName val="recrevaauq"/>
      <sheetName val="dar01"/>
      <sheetName val="pintura"/>
      <sheetName val="mfc05"/>
      <sheetName val="impri"/>
      <sheetName val="mistaauq"/>
      <sheetName val="reatcompbu"/>
      <sheetName val="esccav1ª"/>
      <sheetName val="clp03"/>
      <sheetName val="dar02"/>
      <sheetName val="clp01"/>
      <sheetName val="alvparg"/>
      <sheetName val="alvtij"/>
      <sheetName val="demdispconc"/>
      <sheetName val="AAUF"/>
      <sheetName val="tapbur"/>
      <sheetName val="recmecater"/>
      <sheetName val="CAPA_RELAT"/>
      <sheetName val="Pl_Res_Aprop"/>
      <sheetName val="Pl_C_Aprop_período SEDE"/>
      <sheetName val="Pl_C_Aprop_acumul SEDE"/>
      <sheetName val="Pl_C_Aprop_período NATAL"/>
      <sheetName val="Pl_C_Aprop_acumul NATAL"/>
      <sheetName val="Pl_C_Aprop_período S. LUIS"/>
      <sheetName val="Pl_C_Aprop_acumul S. LUIS"/>
      <sheetName val="Comb_Atual"/>
      <sheetName val="Comb_Acum"/>
      <sheetName val="Res-EqpVtr_ Atual"/>
      <sheetName val="Fich_Cont_ Desp_Eqp "/>
      <sheetName val="Tab_C_Eqp_Atual"/>
      <sheetName val="Tab_C_Eqp_Acum"/>
      <sheetName val="Comb_Ant"/>
      <sheetName val="Tab_C_ME_ MO"/>
      <sheetName val="Res-EqpVtr_ anterior"/>
      <sheetName val="Res_EqpVtr_Acum"/>
      <sheetName val="Custo horário Eqp Vtr"/>
      <sheetName val="Gráf1"/>
      <sheetName val="Plan1"/>
      <sheetName val="Plan2"/>
      <sheetName val="Plan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
      <sheetName val="Prog_Sv"/>
      <sheetName val="mem"/>
      <sheetName val="MG"/>
      <sheetName val="GAL"/>
      <sheetName val="pf"/>
      <sheetName val="TB"/>
      <sheetName val="00-01"/>
      <sheetName val="07-15"/>
      <sheetName val="ev"/>
      <sheetName val="RotMRosa"/>
      <sheetName val="RotKm07"/>
      <sheetName val="Pontes"/>
      <sheetName val="mfc10x30cm"/>
      <sheetName val="pntcobra"/>
      <sheetName val="pntmarc"/>
      <sheetName val="pntpaul"/>
      <sheetName val="C-Mat E TRP"/>
      <sheetName val="limp-SMF"/>
      <sheetName val="corpbstc"/>
      <sheetName val="escmatjaz"/>
      <sheetName val="comp95"/>
      <sheetName val="regsubl"/>
      <sheetName val="sbase"/>
      <sheetName val="conc10mpa"/>
      <sheetName val="conc12mpa"/>
      <sheetName val="conc15mpa"/>
      <sheetName val="base"/>
      <sheetName val="solobase"/>
      <sheetName val="rempav"/>
      <sheetName val="stc01"/>
      <sheetName val="caiação"/>
      <sheetName val="remprof"/>
      <sheetName val="recrevaauq"/>
      <sheetName val="dar01"/>
      <sheetName val="pintura"/>
      <sheetName val="mfc05"/>
      <sheetName val="impri"/>
      <sheetName val="mistaauq"/>
      <sheetName val="reatcompbu"/>
      <sheetName val="esccav1ª"/>
      <sheetName val="clp03"/>
      <sheetName val="dar02"/>
      <sheetName val="clp01"/>
      <sheetName val="alvparg"/>
      <sheetName val="alvtij"/>
      <sheetName val="demdispconc"/>
      <sheetName val="AAUF"/>
      <sheetName val="tapbur"/>
      <sheetName val="recmecater"/>
      <sheetName val="CAPA_RELAT"/>
      <sheetName val="Pl_Res_Aprop"/>
      <sheetName val="Pl_C_Aprop_período SEDE"/>
      <sheetName val="Pl_C_Aprop_acumul SEDE"/>
      <sheetName val="Pl_C_Aprop_período NATAL"/>
      <sheetName val="Pl_C_Aprop_acumul NATAL"/>
      <sheetName val="Pl_C_Aprop_período S. LUIS"/>
      <sheetName val="Pl_C_Aprop_acumul S. LUIS"/>
      <sheetName val="Comb_Atual"/>
      <sheetName val="Comb_Acum"/>
      <sheetName val="Res-EqpVtr_ Atual"/>
      <sheetName val="Fich_Cont_ Desp_Eqp "/>
      <sheetName val="Tab_C_Eqp_Atual"/>
      <sheetName val="Tab_C_Eqp_Acum"/>
      <sheetName val="Comb_Ant"/>
      <sheetName val="Tab_C_ME_ MO"/>
      <sheetName val="Res-EqpVtr_ anterior"/>
      <sheetName val="Res_EqpVtr_Acum"/>
      <sheetName val="Custo horário Eqp Vtr"/>
      <sheetName val="Gráf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
      <sheetName val="Prog_Sv"/>
      <sheetName val="mem"/>
      <sheetName val="MG"/>
      <sheetName val="GAL"/>
      <sheetName val="pf"/>
      <sheetName val="TB"/>
      <sheetName val="00-01"/>
      <sheetName val="07-15"/>
      <sheetName val="ev"/>
      <sheetName val="RotMRosa"/>
      <sheetName val="RotKm07"/>
      <sheetName val="Pontes"/>
      <sheetName val="mfc10x30cm"/>
      <sheetName val="pntcobra"/>
      <sheetName val="pntmarc"/>
      <sheetName val="pntpaul"/>
      <sheetName val="C-Mat E TRP"/>
      <sheetName val="limp-SMF"/>
      <sheetName val="corpbstc"/>
      <sheetName val="escmatjaz"/>
      <sheetName val="comp95"/>
      <sheetName val="regsubl"/>
      <sheetName val="sbase"/>
      <sheetName val="conc10mpa"/>
      <sheetName val="conc12mpa"/>
      <sheetName val="conc15mpa"/>
      <sheetName val="base"/>
      <sheetName val="solobase"/>
      <sheetName val="rempav"/>
      <sheetName val="stc01"/>
      <sheetName val="caiação"/>
      <sheetName val="remprof"/>
      <sheetName val="recrevaauq"/>
      <sheetName val="dar01"/>
      <sheetName val="pintura"/>
      <sheetName val="mfc05"/>
      <sheetName val="impri"/>
      <sheetName val="mistaauq"/>
      <sheetName val="reatcompbu"/>
      <sheetName val="esccav1ª"/>
      <sheetName val="clp03"/>
      <sheetName val="dar02"/>
      <sheetName val="clp01"/>
      <sheetName val="alvparg"/>
      <sheetName val="alvtij"/>
      <sheetName val="demdispconc"/>
      <sheetName val="AAUF"/>
      <sheetName val="tapbur"/>
      <sheetName val="recmecater"/>
      <sheetName val="CAPA_RELAT"/>
      <sheetName val="Pl_Res_Aprop"/>
      <sheetName val="Pl_C_Aprop_período SEDE"/>
      <sheetName val="Pl_C_Aprop_acumul SEDE"/>
      <sheetName val="Pl_C_Aprop_período NATAL"/>
      <sheetName val="Pl_C_Aprop_acumul NATAL"/>
      <sheetName val="Pl_C_Aprop_período S. LUIS"/>
      <sheetName val="Pl_C_Aprop_acumul S. LUIS"/>
      <sheetName val="Comb_Atual"/>
      <sheetName val="Comb_Acum"/>
      <sheetName val="Res-EqpVtr_ Atual"/>
      <sheetName val="Fich_Cont_ Desp_Eqp "/>
      <sheetName val="Tab_C_Eqp_Atual"/>
      <sheetName val="Tab_C_Eqp_Acum"/>
      <sheetName val="Comb_Ant"/>
      <sheetName val="Tab_C_ME_ MO"/>
      <sheetName val="Res-EqpVtr_ anterior"/>
      <sheetName val="Res_EqpVtr_Acum"/>
      <sheetName val="Custo horário Eqp Vt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Bm 8"/>
      <sheetName val="Bm 8"/>
      <sheetName val="Rede 8"/>
      <sheetName val="ValueList_Helper"/>
      <sheetName val="ORÇA. URUARÁ 2019"/>
    </sheetNames>
    <sheetDataSet>
      <sheetData sheetId="0"/>
      <sheetData sheetId="1"/>
      <sheetData sheetId="2"/>
      <sheetData sheetId="3" refreshError="1"/>
      <sheetData sheetId="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U versão 2a"/>
      <sheetName val="Cad.Fornecedores"/>
      <sheetName val="Relação Modalidades"/>
    </sheetNames>
    <sheetDataSet>
      <sheetData sheetId="0"/>
      <sheetData sheetId="1" refreshError="1"/>
      <sheetData sheetId="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U versão 2a"/>
      <sheetName val="Cad.Fornecedores"/>
      <sheetName val="Relação Modalidades"/>
    </sheetNames>
    <sheetDataSet>
      <sheetData sheetId="0"/>
      <sheetData sheetId="1" refreshError="1"/>
      <sheetData sheetId="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to"/>
      <sheetName val="DRE - 01"/>
      <sheetName val="DRE - 02"/>
      <sheetName val="DRE - 03"/>
      <sheetName val="DRE - 04"/>
      <sheetName val="DRE - 05"/>
      <sheetName val="DRE - 06"/>
      <sheetName val="DRE - 07"/>
      <sheetName val="DRE - 08"/>
      <sheetName val="DRE - 09"/>
      <sheetName val="DRE - 10"/>
      <sheetName val="DRE - 11"/>
      <sheetName val="DRE - 12"/>
      <sheetName val="DRE - 13"/>
    </sheetNames>
    <sheetDataSet>
      <sheetData sheetId="0">
        <row r="4">
          <cell r="C4" t="str">
            <v>CÓDIGO</v>
          </cell>
          <cell r="D4" t="str">
            <v>ITEM</v>
          </cell>
          <cell r="E4" t="str">
            <v>DESCRIÇÃO DO INSUMO</v>
          </cell>
          <cell r="F4" t="str">
            <v>UNID.</v>
          </cell>
          <cell r="G4" t="str">
            <v>PÇO. UNIT.</v>
          </cell>
          <cell r="H4" t="str">
            <v>QTDE. CONTRATO</v>
          </cell>
        </row>
        <row r="5">
          <cell r="C5" t="str">
            <v>AD05050100</v>
          </cell>
          <cell r="D5">
            <v>1</v>
          </cell>
          <cell r="E5" t="str">
            <v>Ensaio de andensamento edométrico em solo.</v>
          </cell>
          <cell r="F5" t="str">
            <v>un</v>
          </cell>
          <cell r="G5">
            <v>509.17</v>
          </cell>
          <cell r="H5">
            <v>44</v>
          </cell>
        </row>
        <row r="6">
          <cell r="C6" t="str">
            <v>AD05050200</v>
          </cell>
          <cell r="D6">
            <v>2</v>
          </cell>
          <cell r="E6" t="str">
            <v>Ensaio de laboratorio da Densidade Real.</v>
          </cell>
          <cell r="F6" t="str">
            <v>un</v>
          </cell>
          <cell r="G6">
            <v>56.78</v>
          </cell>
          <cell r="H6">
            <v>29</v>
          </cell>
        </row>
        <row r="7">
          <cell r="C7" t="str">
            <v>AD05050250</v>
          </cell>
          <cell r="D7">
            <v>3</v>
          </cell>
          <cell r="E7" t="str">
            <v>Ensaio em laboratorio do Limite de Liquidez.</v>
          </cell>
          <cell r="F7" t="str">
            <v>un</v>
          </cell>
          <cell r="G7">
            <v>41.29</v>
          </cell>
          <cell r="H7">
            <v>14</v>
          </cell>
        </row>
        <row r="8">
          <cell r="C8" t="str">
            <v>AD05050300</v>
          </cell>
          <cell r="D8">
            <v>4</v>
          </cell>
          <cell r="E8" t="str">
            <v xml:space="preserve">Ensaio em laboratório do limite de plasticidade. </v>
          </cell>
          <cell r="F8" t="str">
            <v>un</v>
          </cell>
          <cell r="G8">
            <v>41.29</v>
          </cell>
          <cell r="H8">
            <v>14</v>
          </cell>
        </row>
        <row r="9">
          <cell r="C9" t="str">
            <v>AD05050350</v>
          </cell>
          <cell r="D9">
            <v>5</v>
          </cell>
          <cell r="E9" t="str">
            <v>Ensaio em laboratório, do Peso Especifico.</v>
          </cell>
          <cell r="F9" t="str">
            <v>un</v>
          </cell>
          <cell r="G9">
            <v>22.86</v>
          </cell>
          <cell r="H9">
            <v>29</v>
          </cell>
        </row>
        <row r="10">
          <cell r="C10" t="str">
            <v>AD05050450</v>
          </cell>
          <cell r="D10">
            <v>6</v>
          </cell>
          <cell r="E10" t="str">
            <v>Ensaio Índice de Suporte Califórnia - Proctor Normal.</v>
          </cell>
          <cell r="F10" t="str">
            <v>un</v>
          </cell>
          <cell r="G10">
            <v>414.42</v>
          </cell>
          <cell r="H10">
            <v>43</v>
          </cell>
        </row>
        <row r="11">
          <cell r="C11" t="str">
            <v>AD05050700</v>
          </cell>
          <cell r="D11">
            <v>7</v>
          </cell>
          <cell r="E11" t="str">
            <v>Sondagem manual com pa e picareta por metro.</v>
          </cell>
          <cell r="F11" t="str">
            <v>m</v>
          </cell>
          <cell r="G11">
            <v>56.78</v>
          </cell>
          <cell r="H11">
            <v>280</v>
          </cell>
        </row>
        <row r="12">
          <cell r="C12" t="str">
            <v>AD20050050</v>
          </cell>
          <cell r="D12">
            <v>8</v>
          </cell>
          <cell r="E12" t="str">
            <v>Barracão de obra com paredes de madeira.</v>
          </cell>
          <cell r="F12" t="str">
            <v>m2</v>
          </cell>
          <cell r="G12">
            <v>141.75</v>
          </cell>
          <cell r="H12">
            <v>250</v>
          </cell>
        </row>
        <row r="13">
          <cell r="C13" t="str">
            <v>AD20050300</v>
          </cell>
          <cell r="D13">
            <v>9</v>
          </cell>
          <cell r="E13" t="str">
            <v>Tapume de vedação ou proteção.</v>
          </cell>
          <cell r="F13" t="str">
            <v>m2</v>
          </cell>
          <cell r="G13">
            <v>19.16</v>
          </cell>
          <cell r="H13">
            <v>24000</v>
          </cell>
        </row>
        <row r="14">
          <cell r="C14" t="str">
            <v>AD20200050</v>
          </cell>
          <cell r="D14">
            <v>10</v>
          </cell>
          <cell r="E14" t="str">
            <v>Instalação e ligação provisórias de energia.</v>
          </cell>
          <cell r="F14" t="str">
            <v>un</v>
          </cell>
          <cell r="G14">
            <v>595.94000000000005</v>
          </cell>
          <cell r="H14">
            <v>2</v>
          </cell>
        </row>
        <row r="15">
          <cell r="C15" t="str">
            <v xml:space="preserve">AD40050056 </v>
          </cell>
          <cell r="D15">
            <v>11</v>
          </cell>
          <cell r="E15" t="str">
            <v xml:space="preserve">Almoxarife(inclusive encargos sociais). </v>
          </cell>
          <cell r="F15" t="str">
            <v>h</v>
          </cell>
          <cell r="G15">
            <v>6.48</v>
          </cell>
          <cell r="H15">
            <v>1480</v>
          </cell>
        </row>
        <row r="16">
          <cell r="C16" t="str">
            <v>AD40050068</v>
          </cell>
          <cell r="D16">
            <v>12</v>
          </cell>
          <cell r="E16" t="str">
            <v>Apontador(inclusive encargos sociais).</v>
          </cell>
          <cell r="F16" t="str">
            <v>h</v>
          </cell>
          <cell r="G16">
            <v>6.48</v>
          </cell>
          <cell r="H16">
            <v>1480</v>
          </cell>
        </row>
        <row r="17">
          <cell r="C17" t="str">
            <v>AD40050074</v>
          </cell>
          <cell r="D17">
            <v>13</v>
          </cell>
          <cell r="E17" t="str">
            <v>Auxiliar de almoxarife(inclusive encargos sociais).</v>
          </cell>
          <cell r="F17" t="str">
            <v>h</v>
          </cell>
          <cell r="G17">
            <v>4.41</v>
          </cell>
          <cell r="H17">
            <v>1480</v>
          </cell>
        </row>
        <row r="18">
          <cell r="C18" t="str">
            <v>AD40050080</v>
          </cell>
          <cell r="D18">
            <v>14</v>
          </cell>
          <cell r="E18" t="str">
            <v>Auxiliar de escritório(inclusive encargos sociais).</v>
          </cell>
          <cell r="F18" t="str">
            <v>h</v>
          </cell>
          <cell r="G18">
            <v>5.32</v>
          </cell>
          <cell r="H18">
            <v>1480</v>
          </cell>
        </row>
        <row r="19">
          <cell r="C19" t="str">
            <v>AD40050086</v>
          </cell>
          <cell r="D19">
            <v>15</v>
          </cell>
          <cell r="E19" t="str">
            <v>Auxiliar técnico(inclusive encargos sociais).</v>
          </cell>
          <cell r="F19" t="str">
            <v>h</v>
          </cell>
          <cell r="G19">
            <v>8.1</v>
          </cell>
          <cell r="H19">
            <v>1480</v>
          </cell>
        </row>
        <row r="20">
          <cell r="C20" t="str">
            <v>AD40050092</v>
          </cell>
          <cell r="D20">
            <v>16</v>
          </cell>
          <cell r="E20" t="str">
            <v xml:space="preserve">Auxiliar de topografia(inclusive encargos sociais).     </v>
          </cell>
          <cell r="F20" t="str">
            <v>h</v>
          </cell>
          <cell r="G20">
            <v>4.5</v>
          </cell>
          <cell r="H20">
            <v>1480</v>
          </cell>
        </row>
        <row r="21">
          <cell r="C21" t="str">
            <v>AD40050098</v>
          </cell>
          <cell r="D21">
            <v>17</v>
          </cell>
          <cell r="E21" t="str">
            <v xml:space="preserve">Chefe de escritório(inclusive encargos sociais). </v>
          </cell>
          <cell r="F21" t="str">
            <v>h</v>
          </cell>
          <cell r="G21">
            <v>13.02</v>
          </cell>
          <cell r="H21">
            <v>1480</v>
          </cell>
        </row>
        <row r="22">
          <cell r="C22" t="str">
            <v>AD40050116</v>
          </cell>
          <cell r="D22">
            <v>18</v>
          </cell>
          <cell r="E22" t="str">
            <v>Encarregado(inclusive encargos sociais).</v>
          </cell>
          <cell r="F22" t="str">
            <v>h</v>
          </cell>
          <cell r="G22">
            <v>8.3699999999999992</v>
          </cell>
          <cell r="H22">
            <v>2960</v>
          </cell>
        </row>
        <row r="23">
          <cell r="C23" t="str">
            <v xml:space="preserve"> AD40050122</v>
          </cell>
          <cell r="D23">
            <v>19</v>
          </cell>
          <cell r="E23" t="str">
            <v>Engenheiro ou arquiteto jr(inclusive encargos sociais).</v>
          </cell>
          <cell r="F23" t="str">
            <v>h</v>
          </cell>
          <cell r="G23">
            <v>21.39</v>
          </cell>
          <cell r="H23">
            <v>1480</v>
          </cell>
        </row>
        <row r="24">
          <cell r="C24" t="str">
            <v>AD40050134</v>
          </cell>
          <cell r="D24">
            <v>20</v>
          </cell>
          <cell r="E24" t="str">
            <v xml:space="preserve">Engenheiro sênior(inclusive encargos sociais).  </v>
          </cell>
          <cell r="F24" t="str">
            <v>h</v>
          </cell>
          <cell r="G24">
            <v>54.35</v>
          </cell>
          <cell r="H24">
            <v>1110</v>
          </cell>
        </row>
        <row r="25">
          <cell r="C25" t="str">
            <v>AD40050146</v>
          </cell>
          <cell r="D25">
            <v>21</v>
          </cell>
          <cell r="E25" t="str">
            <v xml:space="preserve">Estagiário(inclusive encargos sociais).  </v>
          </cell>
          <cell r="F25" t="str">
            <v>h</v>
          </cell>
          <cell r="G25">
            <v>2.76</v>
          </cell>
          <cell r="H25">
            <v>2960</v>
          </cell>
        </row>
        <row r="26">
          <cell r="C26" t="str">
            <v>AD40050188</v>
          </cell>
          <cell r="D26">
            <v>22</v>
          </cell>
          <cell r="E26" t="str">
            <v>Secretaria(inclusive encargos sociais).</v>
          </cell>
          <cell r="F26" t="str">
            <v>h</v>
          </cell>
          <cell r="G26">
            <v>9.24</v>
          </cell>
          <cell r="H26">
            <v>1480</v>
          </cell>
        </row>
        <row r="27">
          <cell r="C27" t="str">
            <v>AD40050200</v>
          </cell>
          <cell r="D27">
            <v>23</v>
          </cell>
          <cell r="E27" t="str">
            <v xml:space="preserve">Supervisor de trafego(inclusive encargos sociais).    </v>
          </cell>
          <cell r="F27" t="str">
            <v>h</v>
          </cell>
          <cell r="G27">
            <v>29.17</v>
          </cell>
          <cell r="H27">
            <v>2960</v>
          </cell>
        </row>
        <row r="28">
          <cell r="C28" t="str">
            <v>AD40050212</v>
          </cell>
          <cell r="D28">
            <v>24</v>
          </cell>
          <cell r="E28" t="str">
            <v xml:space="preserve">Topógrafo A(inclusive encargos sociais).  </v>
          </cell>
          <cell r="F28" t="str">
            <v>h</v>
          </cell>
          <cell r="G28">
            <v>13.78</v>
          </cell>
          <cell r="H28">
            <v>740</v>
          </cell>
        </row>
        <row r="29">
          <cell r="C29" t="str">
            <v>AD40050218</v>
          </cell>
          <cell r="D29">
            <v>25</v>
          </cell>
          <cell r="E29" t="str">
            <v>Vigia(inclusive encargos sociais).</v>
          </cell>
          <cell r="F29" t="str">
            <v>h</v>
          </cell>
          <cell r="G29">
            <v>4.63</v>
          </cell>
          <cell r="H29">
            <v>2960</v>
          </cell>
        </row>
        <row r="30">
          <cell r="C30" t="str">
            <v xml:space="preserve"> AD10050050</v>
          </cell>
          <cell r="D30">
            <v>26</v>
          </cell>
          <cell r="E30" t="str">
            <v>Marcação de obra sem instrumento topográfico.</v>
          </cell>
          <cell r="F30" t="str">
            <v>m2</v>
          </cell>
          <cell r="G30">
            <v>0.95</v>
          </cell>
          <cell r="H30">
            <v>400</v>
          </cell>
        </row>
        <row r="31">
          <cell r="C31" t="str">
            <v>AD10100100</v>
          </cell>
          <cell r="D31">
            <v>27</v>
          </cell>
          <cell r="E31" t="str">
            <v>Locação de obra com aparelho topográfico.</v>
          </cell>
          <cell r="F31" t="str">
            <v>m</v>
          </cell>
          <cell r="G31">
            <v>6.75</v>
          </cell>
          <cell r="H31">
            <v>410</v>
          </cell>
        </row>
        <row r="32">
          <cell r="C32" t="str">
            <v>AD15150750</v>
          </cell>
          <cell r="D32">
            <v>28</v>
          </cell>
          <cell r="E32" t="str">
            <v>Veiculo motor 1.0 a gasolina sem motorista.</v>
          </cell>
          <cell r="F32" t="str">
            <v>mês</v>
          </cell>
          <cell r="G32">
            <v>1269.6600000000001</v>
          </cell>
          <cell r="H32">
            <v>8</v>
          </cell>
        </row>
        <row r="33">
          <cell r="C33" t="str">
            <v>AD20250050</v>
          </cell>
          <cell r="D33">
            <v>29</v>
          </cell>
          <cell r="E33" t="str">
            <v>Barragem de bloqueio, reaproveitamento 40 vezes.</v>
          </cell>
          <cell r="F33" t="str">
            <v>m</v>
          </cell>
          <cell r="G33">
            <v>0.98</v>
          </cell>
          <cell r="H33">
            <v>970</v>
          </cell>
        </row>
        <row r="34">
          <cell r="C34" t="str">
            <v>AD20250100</v>
          </cell>
          <cell r="D34">
            <v>30</v>
          </cell>
          <cell r="E34" t="str">
            <v>Barragem de bloqueio de obra, colocação e retirada.</v>
          </cell>
          <cell r="F34" t="str">
            <v>m</v>
          </cell>
          <cell r="G34">
            <v>3.26</v>
          </cell>
          <cell r="H34">
            <v>4200</v>
          </cell>
        </row>
        <row r="35">
          <cell r="C35" t="str">
            <v>AD20250200</v>
          </cell>
          <cell r="D35">
            <v>31</v>
          </cell>
          <cell r="E35" t="str">
            <v>Placa de sinalização para obra de via publica.</v>
          </cell>
          <cell r="F35" t="str">
            <v>un</v>
          </cell>
          <cell r="G35">
            <v>37.67</v>
          </cell>
          <cell r="H35">
            <v>43</v>
          </cell>
        </row>
        <row r="36">
          <cell r="C36" t="str">
            <v>AD20250250</v>
          </cell>
          <cell r="D36">
            <v>32</v>
          </cell>
          <cell r="E36" t="str">
            <v>Placa de sinalização para obra, colocação e retirada.</v>
          </cell>
          <cell r="F36" t="str">
            <v>un</v>
          </cell>
          <cell r="G36">
            <v>0.89</v>
          </cell>
          <cell r="H36">
            <v>173</v>
          </cell>
        </row>
        <row r="37">
          <cell r="C37" t="str">
            <v>AD20250300</v>
          </cell>
          <cell r="D37">
            <v>33</v>
          </cell>
          <cell r="E37" t="str">
            <v>Placa de identificação de obra publica.</v>
          </cell>
          <cell r="F37" t="str">
            <v>m2</v>
          </cell>
          <cell r="G37">
            <v>166.66</v>
          </cell>
          <cell r="H37">
            <v>22.4</v>
          </cell>
        </row>
        <row r="38">
          <cell r="C38" t="str">
            <v>AD25050050</v>
          </cell>
          <cell r="D38">
            <v>34</v>
          </cell>
          <cell r="E38" t="str">
            <v>Aluguel de balizador vaga-lume.</v>
          </cell>
          <cell r="F38" t="str">
            <v>mês</v>
          </cell>
          <cell r="G38">
            <v>86.83</v>
          </cell>
          <cell r="H38">
            <v>960</v>
          </cell>
        </row>
        <row r="39">
          <cell r="C39" t="str">
            <v xml:space="preserve">AD25050200/  </v>
          </cell>
          <cell r="D39">
            <v>35</v>
          </cell>
          <cell r="E39" t="str">
            <v>Aluguel de cavalete plástico universa.</v>
          </cell>
          <cell r="F39" t="str">
            <v>un.mês</v>
          </cell>
          <cell r="G39">
            <v>86.83</v>
          </cell>
          <cell r="H39">
            <v>600</v>
          </cell>
        </row>
        <row r="40">
          <cell r="C40" t="str">
            <v>AD25050250</v>
          </cell>
          <cell r="D40">
            <v>36</v>
          </cell>
          <cell r="E40" t="str">
            <v>Aluguel de cone canalizador empinhavel T-Topde.</v>
          </cell>
          <cell r="F40" t="str">
            <v>un.mês</v>
          </cell>
          <cell r="G40">
            <v>32.29</v>
          </cell>
          <cell r="H40">
            <v>600</v>
          </cell>
        </row>
        <row r="41">
          <cell r="C41" t="str">
            <v>AD35150050A</v>
          </cell>
          <cell r="D41">
            <v>37</v>
          </cell>
          <cell r="E41" t="str">
            <v>Controle tecnológico de obras em concreto armado.</v>
          </cell>
          <cell r="F41" t="str">
            <v>m3</v>
          </cell>
          <cell r="G41">
            <v>12.32</v>
          </cell>
          <cell r="H41">
            <v>382</v>
          </cell>
        </row>
        <row r="42">
          <cell r="C42" t="str">
            <v xml:space="preserve">SE25100100A  </v>
          </cell>
          <cell r="D42">
            <v>38</v>
          </cell>
          <cell r="E42" t="str">
            <v>Projeto executivo para urbanização/reurbanização.</v>
          </cell>
          <cell r="F42" t="str">
            <v>há</v>
          </cell>
          <cell r="G42">
            <v>34610.160000000003</v>
          </cell>
          <cell r="H42">
            <v>5.18</v>
          </cell>
        </row>
        <row r="43">
          <cell r="C43" t="str">
            <v>SE20100050</v>
          </cell>
          <cell r="D43">
            <v>39</v>
          </cell>
          <cell r="E43" t="str">
            <v>Lançamento de linha poligonal básica.</v>
          </cell>
          <cell r="F43" t="str">
            <v>Km</v>
          </cell>
          <cell r="G43">
            <v>159.44</v>
          </cell>
          <cell r="H43">
            <v>1</v>
          </cell>
        </row>
        <row r="44">
          <cell r="C44" t="str">
            <v>SE20102500A</v>
          </cell>
          <cell r="D44">
            <v>40</v>
          </cell>
          <cell r="E44" t="str">
            <v>Nivelamento de eixo de logradouro.</v>
          </cell>
          <cell r="F44" t="str">
            <v>Km</v>
          </cell>
          <cell r="G44">
            <v>74.489999999999995</v>
          </cell>
          <cell r="H44">
            <v>1</v>
          </cell>
        </row>
        <row r="45">
          <cell r="C45" t="str">
            <v>SE20150050</v>
          </cell>
          <cell r="D45">
            <v>41</v>
          </cell>
          <cell r="E45" t="str">
            <v>Levantamento fotográfico de aspecto de área urbana.</v>
          </cell>
          <cell r="F45" t="str">
            <v>un</v>
          </cell>
          <cell r="G45">
            <v>1.8</v>
          </cell>
          <cell r="H45">
            <v>259</v>
          </cell>
        </row>
        <row r="46">
          <cell r="C46" t="str">
            <v>SE20150250</v>
          </cell>
          <cell r="D46">
            <v>42</v>
          </cell>
          <cell r="E46" t="str">
            <v>Levantamento fotográfico aéreo vertical de área urbana.</v>
          </cell>
          <cell r="F46" t="str">
            <v>conj</v>
          </cell>
          <cell r="G46">
            <v>8267.76</v>
          </cell>
          <cell r="H46">
            <v>1</v>
          </cell>
        </row>
        <row r="47">
          <cell r="C47" t="str">
            <v>SE20101600</v>
          </cell>
          <cell r="D47">
            <v>43</v>
          </cell>
          <cell r="E47" t="str">
            <v>Levantamento cadastral das profundidades de tubos.</v>
          </cell>
          <cell r="F47" t="str">
            <v>un</v>
          </cell>
          <cell r="G47">
            <v>23.05</v>
          </cell>
          <cell r="H47">
            <v>137</v>
          </cell>
        </row>
        <row r="48">
          <cell r="C48" t="str">
            <v>SE30050100</v>
          </cell>
          <cell r="D48">
            <v>44</v>
          </cell>
          <cell r="E48" t="str">
            <v>Determinação da deformação com Viga Benkelmann.</v>
          </cell>
          <cell r="F48" t="str">
            <v>un</v>
          </cell>
          <cell r="G48">
            <v>53.9</v>
          </cell>
          <cell r="H48">
            <v>144</v>
          </cell>
        </row>
        <row r="49">
          <cell r="C49" t="str">
            <v>CE05100110</v>
          </cell>
          <cell r="D49">
            <v>45</v>
          </cell>
          <cell r="E49" t="str">
            <v>Consultor de serviços técnicos especializados.</v>
          </cell>
          <cell r="F49" t="str">
            <v>h</v>
          </cell>
          <cell r="G49">
            <v>89.23</v>
          </cell>
          <cell r="H49">
            <v>726</v>
          </cell>
        </row>
        <row r="50">
          <cell r="C50" t="str">
            <v>CO05050500</v>
          </cell>
          <cell r="D50">
            <v>46</v>
          </cell>
          <cell r="E50" t="str">
            <v>Plataforma ou passarela de Pinho.</v>
          </cell>
          <cell r="F50" t="str">
            <v>m2</v>
          </cell>
          <cell r="G50">
            <v>2.31</v>
          </cell>
          <cell r="H50">
            <v>187</v>
          </cell>
        </row>
        <row r="51">
          <cell r="C51" t="str">
            <v>CO05100050</v>
          </cell>
          <cell r="D51">
            <v>47</v>
          </cell>
          <cell r="E51" t="str">
            <v>Aluguel de andaime tubular sobre sapatas fixas.</v>
          </cell>
          <cell r="F51" t="str">
            <v>m2.mês</v>
          </cell>
          <cell r="G51">
            <v>2.2000000000000002</v>
          </cell>
          <cell r="H51">
            <v>2100</v>
          </cell>
        </row>
        <row r="52">
          <cell r="C52" t="str">
            <v>CO05150100</v>
          </cell>
          <cell r="D52">
            <v>48</v>
          </cell>
          <cell r="E52" t="str">
            <v>Montagem e desmontagem de andaime tubular.</v>
          </cell>
          <cell r="F52" t="str">
            <v>m2</v>
          </cell>
          <cell r="G52">
            <v>1.77</v>
          </cell>
          <cell r="H52">
            <v>350</v>
          </cell>
        </row>
        <row r="53">
          <cell r="C53" t="str">
            <v>CO05150300</v>
          </cell>
          <cell r="D53">
            <v>49</v>
          </cell>
          <cell r="E53" t="str">
            <v>Movimentação vertical ou horizontal de plataforma.</v>
          </cell>
          <cell r="F53" t="str">
            <v>m2</v>
          </cell>
          <cell r="G53">
            <v>0.14000000000000001</v>
          </cell>
          <cell r="H53">
            <v>350</v>
          </cell>
        </row>
        <row r="54">
          <cell r="C54" t="str">
            <v>MT05300100</v>
          </cell>
          <cell r="D54">
            <v>50</v>
          </cell>
          <cell r="E54" t="str">
            <v>Escavação manual em material de 1a categoria.</v>
          </cell>
          <cell r="F54" t="str">
            <v>m3</v>
          </cell>
          <cell r="G54">
            <v>12.4</v>
          </cell>
          <cell r="H54">
            <v>10700</v>
          </cell>
        </row>
        <row r="55">
          <cell r="C55" t="str">
            <v>MT10050050</v>
          </cell>
          <cell r="D55">
            <v>51</v>
          </cell>
          <cell r="E55" t="str">
            <v xml:space="preserve">Escavação mecânica, utilizando Retro-Escavadeira. </v>
          </cell>
          <cell r="F55" t="str">
            <v>m3</v>
          </cell>
          <cell r="G55">
            <v>2.77</v>
          </cell>
          <cell r="H55">
            <v>36800</v>
          </cell>
        </row>
        <row r="56">
          <cell r="C56" t="str">
            <v>MT10100050</v>
          </cell>
          <cell r="D56">
            <v>52</v>
          </cell>
          <cell r="E56" t="str">
            <v>Escavação mecânica, utilizando Escavadeira.</v>
          </cell>
          <cell r="F56" t="str">
            <v>m3</v>
          </cell>
          <cell r="G56">
            <v>0.96</v>
          </cell>
          <cell r="H56">
            <v>7300</v>
          </cell>
        </row>
        <row r="57">
          <cell r="C57" t="str">
            <v>MT15050250</v>
          </cell>
          <cell r="D57">
            <v>53</v>
          </cell>
          <cell r="E57" t="str">
            <v xml:space="preserve">Reaterro de vala com material de boa qualidade. </v>
          </cell>
          <cell r="F57" t="str">
            <v>m3</v>
          </cell>
          <cell r="G57">
            <v>9.3000000000000007</v>
          </cell>
          <cell r="H57">
            <v>13700</v>
          </cell>
        </row>
        <row r="58">
          <cell r="C58" t="str">
            <v>MT15050300</v>
          </cell>
          <cell r="D58">
            <v>54</v>
          </cell>
          <cell r="E58" t="str">
            <v>Reaterro de vala, com po-de-pedra.</v>
          </cell>
          <cell r="F58" t="str">
            <v>m3</v>
          </cell>
          <cell r="G58">
            <v>36.18</v>
          </cell>
          <cell r="H58">
            <v>19600</v>
          </cell>
        </row>
        <row r="59">
          <cell r="C59" t="str">
            <v>MT05250050</v>
          </cell>
          <cell r="D59">
            <v>55</v>
          </cell>
          <cell r="E59" t="str">
            <v>Desmonte manual de bloco de 3a categoria.</v>
          </cell>
          <cell r="F59" t="str">
            <v>m3</v>
          </cell>
          <cell r="G59">
            <v>32.14</v>
          </cell>
          <cell r="H59">
            <v>7050</v>
          </cell>
        </row>
        <row r="60">
          <cell r="C60" t="str">
            <v>MT05450050</v>
          </cell>
          <cell r="D60">
            <v>56</v>
          </cell>
          <cell r="E60" t="str">
            <v>Desmonte a fogo de bloco de material de 3a categoria.</v>
          </cell>
          <cell r="F60" t="str">
            <v>m3</v>
          </cell>
          <cell r="G60">
            <v>66.56</v>
          </cell>
          <cell r="H60">
            <v>8545</v>
          </cell>
        </row>
        <row r="61">
          <cell r="C61" t="str">
            <v>MT15150050</v>
          </cell>
          <cell r="D61">
            <v>57</v>
          </cell>
          <cell r="E61" t="str">
            <v>Preparo de solo ate 30cm de profundidade.</v>
          </cell>
          <cell r="F61" t="str">
            <v>m2</v>
          </cell>
          <cell r="G61">
            <v>5.46</v>
          </cell>
          <cell r="H61">
            <v>17842</v>
          </cell>
        </row>
        <row r="62">
          <cell r="C62" t="str">
            <v>MT20050050</v>
          </cell>
          <cell r="D62">
            <v>58</v>
          </cell>
          <cell r="E62" t="str">
            <v>Espalhamento de material de 1a categoria.</v>
          </cell>
          <cell r="F62" t="str">
            <v>m3</v>
          </cell>
          <cell r="G62">
            <v>0.24</v>
          </cell>
          <cell r="H62">
            <v>70776</v>
          </cell>
        </row>
        <row r="63">
          <cell r="C63" t="str">
            <v>TC05050350</v>
          </cell>
          <cell r="D63">
            <v>59</v>
          </cell>
          <cell r="E63" t="str">
            <v>Transporte de carga de qualquer natureza.</v>
          </cell>
          <cell r="F63" t="str">
            <v>t.Km</v>
          </cell>
          <cell r="G63">
            <v>0.39</v>
          </cell>
          <cell r="H63">
            <v>1880000</v>
          </cell>
        </row>
        <row r="64">
          <cell r="C64" t="str">
            <v>TC10050150</v>
          </cell>
          <cell r="D64">
            <v>60</v>
          </cell>
          <cell r="E64" t="str">
            <v>Carga manual e descarga mecânica.</v>
          </cell>
          <cell r="F64" t="str">
            <v>t</v>
          </cell>
          <cell r="G64">
            <v>7.38</v>
          </cell>
          <cell r="H64">
            <v>47000</v>
          </cell>
        </row>
        <row r="65">
          <cell r="C65" t="str">
            <v>EQ05050100A</v>
          </cell>
          <cell r="D65">
            <v>61</v>
          </cell>
          <cell r="E65" t="str">
            <v xml:space="preserve">Caminhão basculante. Custo horário produtivo.     </v>
          </cell>
          <cell r="F65" t="str">
            <v>h</v>
          </cell>
          <cell r="G65">
            <v>45.34</v>
          </cell>
          <cell r="H65">
            <v>2446</v>
          </cell>
        </row>
        <row r="66">
          <cell r="C66" t="str">
            <v>EQ05050103A</v>
          </cell>
          <cell r="D66">
            <v>62</v>
          </cell>
          <cell r="E66" t="str">
            <v>Caminhão basculante. Custo horário improdutivo.</v>
          </cell>
          <cell r="F66" t="str">
            <v>h</v>
          </cell>
          <cell r="G66">
            <v>25.39</v>
          </cell>
          <cell r="H66">
            <v>432</v>
          </cell>
        </row>
        <row r="67">
          <cell r="C67" t="str">
            <v>EQ05050300</v>
          </cell>
          <cell r="D67">
            <v>63</v>
          </cell>
          <cell r="E67" t="str">
            <v>Caminhão com Carroceria Fixa. Aluguel produtivo.</v>
          </cell>
          <cell r="F67" t="str">
            <v>h</v>
          </cell>
          <cell r="G67">
            <v>32.28</v>
          </cell>
          <cell r="H67">
            <v>1957</v>
          </cell>
        </row>
        <row r="68">
          <cell r="C68" t="str">
            <v>EQ05050306</v>
          </cell>
          <cell r="D68">
            <v>64</v>
          </cell>
          <cell r="E68" t="str">
            <v>Caminhão com Carroceria Fixa. Aluguel improdutivo.</v>
          </cell>
          <cell r="F68" t="str">
            <v>h</v>
          </cell>
          <cell r="G68">
            <v>8.5399999999999991</v>
          </cell>
          <cell r="H68">
            <v>346</v>
          </cell>
        </row>
        <row r="69">
          <cell r="C69" t="str">
            <v>EQ05050415</v>
          </cell>
          <cell r="D69">
            <v>65</v>
          </cell>
          <cell r="E69" t="str">
            <v xml:space="preserve">Caminhão Carroceria Fixa F-12000 Munck produtivo.               </v>
          </cell>
          <cell r="F69" t="str">
            <v>h</v>
          </cell>
          <cell r="G69">
            <v>53.72</v>
          </cell>
          <cell r="H69">
            <v>3453</v>
          </cell>
        </row>
        <row r="70">
          <cell r="C70" t="str">
            <v>EQ15050450</v>
          </cell>
          <cell r="D70">
            <v>66</v>
          </cell>
          <cell r="E70" t="str">
            <v xml:space="preserve">Pa-carregadeira(Carregador frontal). Custo produtivo.  </v>
          </cell>
          <cell r="F70" t="str">
            <v>h</v>
          </cell>
          <cell r="G70">
            <v>68.34</v>
          </cell>
          <cell r="H70">
            <v>1345</v>
          </cell>
        </row>
        <row r="71">
          <cell r="C71" t="str">
            <v>EQ15050453</v>
          </cell>
          <cell r="D71">
            <v>67</v>
          </cell>
          <cell r="E71" t="str">
            <v>Pa-carregadeira(Carregador Frontal).Custo improdutivo.</v>
          </cell>
          <cell r="F71" t="str">
            <v>h</v>
          </cell>
          <cell r="G71">
            <v>31.05</v>
          </cell>
          <cell r="H71">
            <v>237</v>
          </cell>
        </row>
        <row r="72">
          <cell r="C72" t="str">
            <v>EQ15050500</v>
          </cell>
          <cell r="D72">
            <v>68</v>
          </cell>
          <cell r="E72" t="str">
            <v xml:space="preserve">Retro-Escavadeira/carregadeira. Custo produtivo. </v>
          </cell>
          <cell r="F72" t="str">
            <v>h</v>
          </cell>
          <cell r="G72">
            <v>45.49</v>
          </cell>
          <cell r="H72">
            <v>1439</v>
          </cell>
        </row>
        <row r="73">
          <cell r="C73" t="str">
            <v>EQ30050200</v>
          </cell>
          <cell r="D73">
            <v>69</v>
          </cell>
          <cell r="E73" t="str">
            <v>Betoneira com capacidade de 580l, Aluguel produtivo.</v>
          </cell>
          <cell r="F73" t="str">
            <v>h</v>
          </cell>
          <cell r="G73">
            <v>4.71</v>
          </cell>
          <cell r="H73">
            <v>2041</v>
          </cell>
        </row>
        <row r="74">
          <cell r="C74" t="str">
            <v>EQ30050206</v>
          </cell>
          <cell r="D74">
            <v>70</v>
          </cell>
          <cell r="E74" t="str">
            <v>Betoneira com capacidade de 580l Aluguel improdutivo.</v>
          </cell>
          <cell r="F74" t="str">
            <v>h</v>
          </cell>
          <cell r="G74">
            <v>1.56</v>
          </cell>
          <cell r="H74">
            <v>216</v>
          </cell>
        </row>
        <row r="75">
          <cell r="C75" t="str">
            <v>EQ15050550</v>
          </cell>
          <cell r="D75">
            <v>71</v>
          </cell>
          <cell r="E75" t="str">
            <v xml:space="preserve">Rompedor Pneumático de 32,6Kg Aluguel produtivo. </v>
          </cell>
          <cell r="F75" t="str">
            <v>h</v>
          </cell>
          <cell r="G75">
            <v>1.05</v>
          </cell>
          <cell r="H75">
            <v>648</v>
          </cell>
        </row>
        <row r="76">
          <cell r="C76" t="str">
            <v>EQ15050556</v>
          </cell>
          <cell r="D76">
            <v>72</v>
          </cell>
          <cell r="E76" t="str">
            <v>Rompedor Pneumático de 32,6Kg Aluguel improdutivo.</v>
          </cell>
          <cell r="F76" t="str">
            <v>h</v>
          </cell>
          <cell r="G76">
            <v>0.7</v>
          </cell>
          <cell r="H76">
            <v>72</v>
          </cell>
        </row>
        <row r="77">
          <cell r="C77" t="str">
            <v xml:space="preserve"> EQ20050800</v>
          </cell>
          <cell r="D77">
            <v>73</v>
          </cell>
          <cell r="E77" t="str">
            <v xml:space="preserve">Vassoura Mecânica, rebocável, Aluguel produtivo.   </v>
          </cell>
          <cell r="F77" t="str">
            <v>h</v>
          </cell>
          <cell r="G77">
            <v>3.58</v>
          </cell>
          <cell r="H77">
            <v>1712</v>
          </cell>
        </row>
        <row r="78">
          <cell r="C78" t="str">
            <v>EQ20050806</v>
          </cell>
          <cell r="D78">
            <v>74</v>
          </cell>
          <cell r="E78" t="str">
            <v>Vassoura Mecânica, rebocável, Aluguel improdutivo.</v>
          </cell>
          <cell r="F78" t="str">
            <v>h</v>
          </cell>
          <cell r="G78">
            <v>1.43</v>
          </cell>
          <cell r="H78">
            <v>216</v>
          </cell>
        </row>
        <row r="79">
          <cell r="C79" t="str">
            <v>EQ35100200</v>
          </cell>
          <cell r="D79">
            <v>75</v>
          </cell>
          <cell r="E79" t="str">
            <v xml:space="preserve">Bomba Centrífuga Submersível. Aluguel produtivo.    </v>
          </cell>
          <cell r="F79" t="str">
            <v>h</v>
          </cell>
          <cell r="G79">
            <v>3.6</v>
          </cell>
          <cell r="H79">
            <v>8632</v>
          </cell>
        </row>
        <row r="80">
          <cell r="C80" t="str">
            <v>EQ35100203</v>
          </cell>
          <cell r="D80">
            <v>76</v>
          </cell>
          <cell r="E80" t="str">
            <v>Bomba Centrífuga Submersível. Aluguel improdutivo.</v>
          </cell>
          <cell r="F80" t="str">
            <v>h</v>
          </cell>
          <cell r="G80">
            <v>1.4</v>
          </cell>
          <cell r="H80">
            <v>863</v>
          </cell>
        </row>
        <row r="81">
          <cell r="C81" t="str">
            <v>EQ45050159</v>
          </cell>
          <cell r="D81">
            <v>77</v>
          </cell>
          <cell r="E81" t="str">
            <v>Compressor de ar. Aluguel improdutivo.</v>
          </cell>
          <cell r="F81" t="str">
            <v>h</v>
          </cell>
          <cell r="G81">
            <v>3.64</v>
          </cell>
          <cell r="H81">
            <v>72</v>
          </cell>
        </row>
        <row r="82">
          <cell r="C82" t="str">
            <v>EQ45150100</v>
          </cell>
          <cell r="D82">
            <v>78</v>
          </cell>
          <cell r="E82" t="str">
            <v>Retificador de solda elétrica de 430A.</v>
          </cell>
          <cell r="F82" t="str">
            <v>h</v>
          </cell>
          <cell r="G82">
            <v>7.16</v>
          </cell>
          <cell r="H82">
            <v>1007</v>
          </cell>
        </row>
        <row r="83">
          <cell r="C83" t="str">
            <v>EQ40050150A</v>
          </cell>
          <cell r="D83">
            <v>79</v>
          </cell>
          <cell r="E83" t="str">
            <v>Equipamento de jato d'água (Sewer-Jet ou similar).</v>
          </cell>
          <cell r="F83" t="str">
            <v>h</v>
          </cell>
          <cell r="G83">
            <v>79.2</v>
          </cell>
          <cell r="H83">
            <v>1079</v>
          </cell>
        </row>
        <row r="84">
          <cell r="C84" t="str">
            <v>EQ40050153A</v>
          </cell>
          <cell r="D84">
            <v>80</v>
          </cell>
          <cell r="E84" t="str">
            <v>Equipamento de alta pressão  (Vac-All ou similar).</v>
          </cell>
          <cell r="F84" t="str">
            <v>h</v>
          </cell>
          <cell r="G84">
            <v>104.07</v>
          </cell>
          <cell r="H84">
            <v>1942</v>
          </cell>
        </row>
        <row r="85">
          <cell r="C85" t="str">
            <v>SC05050050</v>
          </cell>
          <cell r="D85">
            <v>81</v>
          </cell>
          <cell r="E85" t="str">
            <v>Arrancamento de aparelhos de iluminação.</v>
          </cell>
          <cell r="F85" t="str">
            <v>un</v>
          </cell>
          <cell r="G85">
            <v>1.67</v>
          </cell>
          <cell r="H85">
            <v>65</v>
          </cell>
        </row>
        <row r="86">
          <cell r="C86" t="str">
            <v>SC05050200</v>
          </cell>
          <cell r="D86">
            <v>82</v>
          </cell>
          <cell r="E86" t="str">
            <v>Arrancamento de grades, gradis, alambrados, cercas.</v>
          </cell>
          <cell r="F86" t="str">
            <v>m2</v>
          </cell>
          <cell r="G86">
            <v>4.43</v>
          </cell>
          <cell r="H86">
            <v>144</v>
          </cell>
        </row>
        <row r="87">
          <cell r="C87" t="str">
            <v>SC05050250</v>
          </cell>
          <cell r="D87">
            <v>83</v>
          </cell>
          <cell r="E87" t="str">
            <v>Arrancamento de meios-fios, de granito ou concreto.</v>
          </cell>
          <cell r="F87" t="str">
            <v>m</v>
          </cell>
          <cell r="G87">
            <v>4.87</v>
          </cell>
          <cell r="H87">
            <v>3739</v>
          </cell>
        </row>
        <row r="88">
          <cell r="C88" t="str">
            <v>SC05050300</v>
          </cell>
          <cell r="D88">
            <v>84</v>
          </cell>
          <cell r="E88" t="str">
            <v>Arrancamento de paralelepípedos.</v>
          </cell>
          <cell r="F88" t="str">
            <v>m2</v>
          </cell>
          <cell r="G88">
            <v>2.21</v>
          </cell>
          <cell r="H88">
            <v>860</v>
          </cell>
        </row>
        <row r="89">
          <cell r="C89" t="str">
            <v>SC05050500</v>
          </cell>
          <cell r="D89">
            <v>85</v>
          </cell>
          <cell r="E89" t="str">
            <v>Arrancamento tubos concreto manilhas ø 0,40 a 0,60m.</v>
          </cell>
          <cell r="F89" t="str">
            <v>m</v>
          </cell>
          <cell r="G89">
            <v>3.99</v>
          </cell>
          <cell r="H89">
            <v>328</v>
          </cell>
        </row>
        <row r="90">
          <cell r="C90" t="str">
            <v>SC05050601</v>
          </cell>
          <cell r="D90">
            <v>86</v>
          </cell>
          <cell r="E90" t="str">
            <v>Demolição manual de alvenaria de pedra argamassada.</v>
          </cell>
          <cell r="F90" t="str">
            <v>m3</v>
          </cell>
          <cell r="G90">
            <v>30.27</v>
          </cell>
          <cell r="H90">
            <v>324</v>
          </cell>
        </row>
        <row r="91">
          <cell r="C91" t="str">
            <v>SC05050750</v>
          </cell>
          <cell r="D91">
            <v>87</v>
          </cell>
          <cell r="E91" t="str">
            <v>Demolição manual de alvenaria de tijolos maciços.</v>
          </cell>
          <cell r="F91" t="str">
            <v>m3</v>
          </cell>
          <cell r="G91">
            <v>52.99</v>
          </cell>
          <cell r="H91">
            <v>130</v>
          </cell>
        </row>
        <row r="92">
          <cell r="C92" t="str">
            <v>SC05050850</v>
          </cell>
          <cell r="D92">
            <v>88</v>
          </cell>
          <cell r="E92" t="str">
            <v>Demolição manual de concreto simples.</v>
          </cell>
          <cell r="F92" t="str">
            <v>m3</v>
          </cell>
          <cell r="G92">
            <v>60.55</v>
          </cell>
          <cell r="H92">
            <v>1904</v>
          </cell>
        </row>
        <row r="93">
          <cell r="C93" t="str">
            <v>SC05050950</v>
          </cell>
          <cell r="D93">
            <v>89</v>
          </cell>
          <cell r="E93" t="str">
            <v>Demolição manual de concreto armado.</v>
          </cell>
          <cell r="F93" t="str">
            <v>m3</v>
          </cell>
          <cell r="G93">
            <v>85.78</v>
          </cell>
          <cell r="H93">
            <v>140</v>
          </cell>
        </row>
        <row r="94">
          <cell r="C94" t="str">
            <v>SC05051400</v>
          </cell>
          <cell r="D94">
            <v>90</v>
          </cell>
          <cell r="E94" t="str">
            <v>Demolição de revestimento em argamassa.</v>
          </cell>
          <cell r="F94" t="str">
            <v>m2</v>
          </cell>
          <cell r="G94">
            <v>2.21</v>
          </cell>
          <cell r="H94">
            <v>144</v>
          </cell>
        </row>
        <row r="95">
          <cell r="C95" t="str">
            <v>SC05051450</v>
          </cell>
          <cell r="D95">
            <v>91</v>
          </cell>
          <cell r="E95" t="str">
            <v>Demolição de revestimento em azulejos, cerâmicas.</v>
          </cell>
          <cell r="F95" t="str">
            <v>m2</v>
          </cell>
          <cell r="G95">
            <v>5.31</v>
          </cell>
          <cell r="H95">
            <v>130</v>
          </cell>
        </row>
        <row r="96">
          <cell r="C96" t="str">
            <v>SC05052150</v>
          </cell>
          <cell r="D96">
            <v>92</v>
          </cell>
          <cell r="E96" t="str">
            <v>Remoção de cobertura de telha francesa.</v>
          </cell>
          <cell r="F96" t="str">
            <v>m2</v>
          </cell>
          <cell r="G96">
            <v>8.26</v>
          </cell>
          <cell r="H96">
            <v>260</v>
          </cell>
        </row>
        <row r="97">
          <cell r="C97" t="str">
            <v>SC05052450</v>
          </cell>
          <cell r="D97">
            <v>93</v>
          </cell>
          <cell r="E97" t="str">
            <v>Remoção de cobertura de telha de fibro-cimento.</v>
          </cell>
          <cell r="F97" t="str">
            <v>m2</v>
          </cell>
          <cell r="G97">
            <v>3.87</v>
          </cell>
          <cell r="H97">
            <v>460</v>
          </cell>
        </row>
        <row r="98">
          <cell r="C98" t="str">
            <v>SC05052900</v>
          </cell>
          <cell r="D98">
            <v>94</v>
          </cell>
          <cell r="E98" t="str">
            <v xml:space="preserve">Remoção manual de passeio de pedra portuguesa. </v>
          </cell>
          <cell r="F98" t="str">
            <v>m2</v>
          </cell>
          <cell r="G98">
            <v>2.44</v>
          </cell>
          <cell r="H98">
            <v>2900</v>
          </cell>
        </row>
        <row r="99">
          <cell r="C99" t="str">
            <v>SC05053250</v>
          </cell>
          <cell r="D99">
            <v>95</v>
          </cell>
          <cell r="E99" t="str">
            <v>Remoção de tubulação ferro fundido ø50mm a 300mm.</v>
          </cell>
          <cell r="F99" t="str">
            <v>m</v>
          </cell>
          <cell r="G99">
            <v>11.88</v>
          </cell>
          <cell r="H99">
            <v>290</v>
          </cell>
        </row>
        <row r="100">
          <cell r="C100" t="str">
            <v>SC05100150</v>
          </cell>
          <cell r="D100">
            <v>96</v>
          </cell>
          <cell r="E100" t="str">
            <v>Demolição, com equipamento, concreto simples.</v>
          </cell>
          <cell r="F100" t="str">
            <v>m3</v>
          </cell>
          <cell r="G100">
            <v>43.52</v>
          </cell>
          <cell r="H100">
            <v>2160</v>
          </cell>
        </row>
        <row r="101">
          <cell r="C101" t="str">
            <v>SC05100300</v>
          </cell>
          <cell r="D101">
            <v>97</v>
          </cell>
          <cell r="E101" t="str">
            <v>Demolição, com equipamento concreto armado.</v>
          </cell>
          <cell r="F101" t="str">
            <v>m3</v>
          </cell>
          <cell r="G101">
            <v>73.98</v>
          </cell>
          <cell r="H101">
            <v>3400</v>
          </cell>
        </row>
        <row r="102">
          <cell r="C102" t="str">
            <v>SC05100500</v>
          </cell>
          <cell r="D102">
            <v>98</v>
          </cell>
          <cell r="E102" t="str">
            <v>Demolição com equipamento concreto asfáltico 10cm.</v>
          </cell>
          <cell r="F102" t="str">
            <v>m2</v>
          </cell>
          <cell r="G102">
            <v>8.98</v>
          </cell>
          <cell r="H102">
            <v>20100</v>
          </cell>
        </row>
        <row r="103">
          <cell r="C103" t="str">
            <v>SC10050250</v>
          </cell>
          <cell r="D103">
            <v>99</v>
          </cell>
          <cell r="E103" t="str">
            <v xml:space="preserve">Bombeiro hidráulico (inclusive encargos sociais).   </v>
          </cell>
          <cell r="F103" t="str">
            <v>h</v>
          </cell>
          <cell r="G103">
            <v>6.48</v>
          </cell>
          <cell r="H103">
            <v>2960</v>
          </cell>
        </row>
        <row r="104">
          <cell r="C104" t="str">
            <v>SC10050300</v>
          </cell>
          <cell r="D104">
            <v>100</v>
          </cell>
          <cell r="E104" t="str">
            <v xml:space="preserve">Calceteiro (inclusive encargos sociais).   </v>
          </cell>
          <cell r="F104" t="str">
            <v>h</v>
          </cell>
          <cell r="G104">
            <v>5.99</v>
          </cell>
          <cell r="H104">
            <v>1480</v>
          </cell>
        </row>
        <row r="105">
          <cell r="C105" t="str">
            <v>SC10050350</v>
          </cell>
          <cell r="D105">
            <v>101</v>
          </cell>
          <cell r="E105" t="str">
            <v>Carpinteiro de forma (inclusive encargos sociais).</v>
          </cell>
          <cell r="F105" t="str">
            <v>h</v>
          </cell>
          <cell r="G105">
            <v>5.99</v>
          </cell>
          <cell r="H105">
            <v>1480</v>
          </cell>
        </row>
        <row r="106">
          <cell r="C106" t="str">
            <v>SC10050450</v>
          </cell>
          <cell r="D106">
            <v>102</v>
          </cell>
          <cell r="E106" t="str">
            <v xml:space="preserve">Eletricista (inclusive encargos sociais). </v>
          </cell>
          <cell r="F106" t="str">
            <v>h</v>
          </cell>
          <cell r="G106">
            <v>6.48</v>
          </cell>
          <cell r="H106">
            <v>2960</v>
          </cell>
        </row>
        <row r="107">
          <cell r="C107" t="str">
            <v>SC10050900</v>
          </cell>
          <cell r="D107">
            <v>103</v>
          </cell>
          <cell r="E107" t="str">
            <v xml:space="preserve">Marteleteiro (inclusive encargos sociais). </v>
          </cell>
          <cell r="F107" t="str">
            <v>h</v>
          </cell>
          <cell r="G107">
            <v>5.99</v>
          </cell>
          <cell r="H107">
            <v>2960</v>
          </cell>
        </row>
        <row r="108">
          <cell r="C108" t="str">
            <v>SC10051100</v>
          </cell>
          <cell r="D108">
            <v>104</v>
          </cell>
          <cell r="E108" t="str">
            <v>Operador de máquinas.(inclusive encargos sociais).</v>
          </cell>
          <cell r="F108" t="str">
            <v>h</v>
          </cell>
          <cell r="G108">
            <v>6.48</v>
          </cell>
          <cell r="H108">
            <v>1480</v>
          </cell>
        </row>
        <row r="109">
          <cell r="C109" t="str">
            <v>SC10051200</v>
          </cell>
          <cell r="D109">
            <v>105</v>
          </cell>
          <cell r="E109" t="str">
            <v xml:space="preserve">Pedreiro (inclusive encargos sociais).   </v>
          </cell>
          <cell r="F109" t="str">
            <v>h</v>
          </cell>
          <cell r="G109">
            <v>5.99</v>
          </cell>
          <cell r="H109">
            <v>2960</v>
          </cell>
        </row>
        <row r="110">
          <cell r="C110" t="str">
            <v>SC10051450</v>
          </cell>
          <cell r="D110">
            <v>106</v>
          </cell>
          <cell r="E110" t="str">
            <v>Servente (inclusive encargos sociais).</v>
          </cell>
          <cell r="F110" t="str">
            <v>h</v>
          </cell>
          <cell r="G110">
            <v>4.3</v>
          </cell>
          <cell r="H110">
            <v>5920</v>
          </cell>
        </row>
        <row r="111">
          <cell r="C111" t="str">
            <v>SC10051500</v>
          </cell>
          <cell r="D111">
            <v>107</v>
          </cell>
          <cell r="E111" t="str">
            <v>Soldador em construção civil (inclusive encargos).</v>
          </cell>
          <cell r="F111" t="str">
            <v>h</v>
          </cell>
          <cell r="G111">
            <v>6.23</v>
          </cell>
          <cell r="H111">
            <v>1480</v>
          </cell>
        </row>
        <row r="112">
          <cell r="C112" t="str">
            <v>SC10100050</v>
          </cell>
          <cell r="D112">
            <v>108</v>
          </cell>
          <cell r="E112" t="str">
            <v xml:space="preserve">Operador de tráfego(inclusive encargos sociais). </v>
          </cell>
          <cell r="F112" t="str">
            <v>h</v>
          </cell>
          <cell r="G112">
            <v>7.08</v>
          </cell>
          <cell r="H112">
            <v>2960</v>
          </cell>
        </row>
        <row r="113">
          <cell r="C113" t="str">
            <v>SC05100050</v>
          </cell>
          <cell r="D113">
            <v>109</v>
          </cell>
          <cell r="E113" t="str">
            <v>Arrancamento de tampão de ferro fundido.</v>
          </cell>
          <cell r="F113" t="str">
            <v>un</v>
          </cell>
          <cell r="G113">
            <v>15.18</v>
          </cell>
          <cell r="H113">
            <v>22</v>
          </cell>
        </row>
        <row r="114">
          <cell r="C114" t="str">
            <v>SC15050100</v>
          </cell>
          <cell r="D114">
            <v>110</v>
          </cell>
          <cell r="E114" t="str">
            <v>Aditivo de reciclagem para mistura asfáltica a quente.</v>
          </cell>
          <cell r="F114" t="str">
            <v>t</v>
          </cell>
          <cell r="G114">
            <v>2857.32</v>
          </cell>
          <cell r="H114">
            <v>15</v>
          </cell>
        </row>
        <row r="115">
          <cell r="C115" t="str">
            <v>SC15050150</v>
          </cell>
          <cell r="D115">
            <v>111</v>
          </cell>
          <cell r="E115" t="str">
            <v>Areia grossa lavada. Fornecimento.</v>
          </cell>
          <cell r="F115" t="str">
            <v>m3</v>
          </cell>
          <cell r="G115">
            <v>21</v>
          </cell>
          <cell r="H115">
            <v>2000</v>
          </cell>
        </row>
        <row r="116">
          <cell r="C116" t="str">
            <v>SC15050200</v>
          </cell>
          <cell r="D116">
            <v>112</v>
          </cell>
          <cell r="E116" t="str">
            <v>Asfalto diluído tipo cura rápida CR-250</v>
          </cell>
          <cell r="F116" t="str">
            <v>t</v>
          </cell>
          <cell r="G116">
            <v>1468.02</v>
          </cell>
          <cell r="H116">
            <v>7</v>
          </cell>
        </row>
        <row r="117">
          <cell r="C117" t="str">
            <v>SC15050550</v>
          </cell>
          <cell r="D117">
            <v>113</v>
          </cell>
          <cell r="E117" t="str">
            <v xml:space="preserve">Saibro, inclusive transporte ate 20Km.Fornecimento. </v>
          </cell>
          <cell r="F117" t="str">
            <v>m3</v>
          </cell>
          <cell r="G117">
            <v>20.63</v>
          </cell>
          <cell r="H117">
            <v>184</v>
          </cell>
        </row>
        <row r="118">
          <cell r="C118" t="str">
            <v>SC15100050</v>
          </cell>
          <cell r="D118">
            <v>114</v>
          </cell>
          <cell r="E118" t="str">
            <v>Chapa de aço de 3/4"para passagem de veículos.</v>
          </cell>
          <cell r="F118" t="str">
            <v>m2</v>
          </cell>
          <cell r="G118">
            <v>17.100000000000001</v>
          </cell>
          <cell r="H118">
            <v>360</v>
          </cell>
        </row>
        <row r="119">
          <cell r="C119" t="str">
            <v>SC35050050A</v>
          </cell>
          <cell r="D119">
            <v>115</v>
          </cell>
          <cell r="E119" t="str">
            <v>Levantamento ou rebaixamento de tampão na rua.</v>
          </cell>
          <cell r="F119" t="str">
            <v>un</v>
          </cell>
          <cell r="G119">
            <v>86.15</v>
          </cell>
          <cell r="H119">
            <v>169</v>
          </cell>
        </row>
        <row r="120">
          <cell r="C120" t="str">
            <v>SC45050150</v>
          </cell>
          <cell r="D120">
            <v>116</v>
          </cell>
          <cell r="E120" t="str">
            <v>Toten informativo nas dimensões de (0,50x1,50)m.</v>
          </cell>
          <cell r="F120" t="str">
            <v>un</v>
          </cell>
          <cell r="G120">
            <v>2490</v>
          </cell>
          <cell r="H120">
            <v>29</v>
          </cell>
        </row>
        <row r="121">
          <cell r="C121" t="str">
            <v>SC45100200</v>
          </cell>
          <cell r="D121">
            <v>117</v>
          </cell>
          <cell r="E121" t="str">
            <v>Placa de inauguração em bronze.</v>
          </cell>
          <cell r="F121" t="str">
            <v>un</v>
          </cell>
          <cell r="G121">
            <v>1003.36</v>
          </cell>
          <cell r="H121">
            <v>1</v>
          </cell>
        </row>
        <row r="122">
          <cell r="C122" t="str">
            <v>FD05400100</v>
          </cell>
          <cell r="D122">
            <v>118</v>
          </cell>
          <cell r="E122" t="str">
            <v>Arrasamento de estaca concreto armado, ø40 a 50cm.</v>
          </cell>
          <cell r="F122" t="str">
            <v>un</v>
          </cell>
          <cell r="G122">
            <v>103.03</v>
          </cell>
          <cell r="H122">
            <v>23</v>
          </cell>
        </row>
        <row r="123">
          <cell r="C123" t="str">
            <v>FD05500050</v>
          </cell>
          <cell r="D123">
            <v>119</v>
          </cell>
          <cell r="E123" t="str">
            <v>Estaca raiz com diâmetro de 12", perfurada em solo.</v>
          </cell>
          <cell r="F123" t="str">
            <v>m</v>
          </cell>
          <cell r="G123">
            <v>248.49</v>
          </cell>
          <cell r="H123">
            <v>260</v>
          </cell>
        </row>
        <row r="124">
          <cell r="C124" t="str">
            <v>FD05650150</v>
          </cell>
          <cell r="D124">
            <v>120</v>
          </cell>
          <cell r="E124" t="str">
            <v>Estaca raiz com diâmetro de 10", perfurada em solo.</v>
          </cell>
          <cell r="F124" t="str">
            <v>m</v>
          </cell>
          <cell r="G124">
            <v>130</v>
          </cell>
          <cell r="H124">
            <v>86</v>
          </cell>
        </row>
        <row r="125">
          <cell r="C125" t="str">
            <v>FD10050100</v>
          </cell>
          <cell r="D125">
            <v>121</v>
          </cell>
          <cell r="E125" t="str">
            <v>Ensecadeira de estacas-prancha de aço, tipo Armco.</v>
          </cell>
          <cell r="F125" t="str">
            <v>m2</v>
          </cell>
          <cell r="G125">
            <v>127.53</v>
          </cell>
          <cell r="H125">
            <v>4200</v>
          </cell>
        </row>
        <row r="126">
          <cell r="C126" t="str">
            <v>FD10100050</v>
          </cell>
          <cell r="D126">
            <v>122</v>
          </cell>
          <cell r="E126" t="str">
            <v>Ensecadeira de estacas-prancha em Maçaranduba.</v>
          </cell>
          <cell r="F126" t="str">
            <v>m2</v>
          </cell>
          <cell r="G126">
            <v>70.5</v>
          </cell>
          <cell r="H126">
            <v>2395</v>
          </cell>
        </row>
        <row r="127">
          <cell r="C127" t="str">
            <v>ET15100100</v>
          </cell>
          <cell r="D127">
            <v>123</v>
          </cell>
          <cell r="E127" t="str">
            <v>Formas de madeira peças de concreto armado.</v>
          </cell>
          <cell r="F127" t="str">
            <v>m2</v>
          </cell>
          <cell r="G127">
            <v>25.9</v>
          </cell>
          <cell r="H127">
            <v>2986</v>
          </cell>
        </row>
        <row r="128">
          <cell r="C128" t="str">
            <v>ET15100200</v>
          </cell>
          <cell r="D128">
            <v>124</v>
          </cell>
          <cell r="E128" t="str">
            <v>Formas de madeira.</v>
          </cell>
          <cell r="F128" t="str">
            <v>m2</v>
          </cell>
          <cell r="G128">
            <v>34.86</v>
          </cell>
          <cell r="H128">
            <v>4352</v>
          </cell>
        </row>
        <row r="129">
          <cell r="C129" t="str">
            <v>ET15100250</v>
          </cell>
          <cell r="D129">
            <v>125</v>
          </cell>
          <cell r="E129" t="str">
            <v>Formas de madeira.</v>
          </cell>
          <cell r="F129" t="str">
            <v>m2</v>
          </cell>
          <cell r="G129">
            <v>29.62</v>
          </cell>
          <cell r="H129">
            <v>4406</v>
          </cell>
        </row>
        <row r="130">
          <cell r="C130" t="str">
            <v>ET20300050</v>
          </cell>
          <cell r="D130">
            <v>126</v>
          </cell>
          <cell r="E130" t="str">
            <v>Escoramento de formas.</v>
          </cell>
          <cell r="F130" t="str">
            <v>m2</v>
          </cell>
          <cell r="G130">
            <v>11.18</v>
          </cell>
          <cell r="H130">
            <v>3090</v>
          </cell>
        </row>
        <row r="131">
          <cell r="C131" t="str">
            <v>ET10050100</v>
          </cell>
          <cell r="D131">
            <v>127</v>
          </cell>
          <cell r="E131" t="str">
            <v>Aço CA-50 diâmetro de 6,3mm.</v>
          </cell>
          <cell r="F131" t="str">
            <v>kg</v>
          </cell>
          <cell r="G131">
            <v>2.64</v>
          </cell>
          <cell r="H131">
            <v>4750</v>
          </cell>
        </row>
        <row r="132">
          <cell r="C132" t="str">
            <v>ET10050103</v>
          </cell>
          <cell r="D132">
            <v>128</v>
          </cell>
          <cell r="E132" t="str">
            <v>Aço CA-50 diâmetro de 8mm.</v>
          </cell>
          <cell r="F132" t="str">
            <v>kg</v>
          </cell>
          <cell r="G132">
            <v>2.46</v>
          </cell>
          <cell r="H132">
            <v>1250</v>
          </cell>
        </row>
        <row r="133">
          <cell r="C133" t="str">
            <v>ET10050106</v>
          </cell>
          <cell r="D133">
            <v>129</v>
          </cell>
          <cell r="E133" t="str">
            <v>Aço CA-50 diâmetro de 10mm.</v>
          </cell>
          <cell r="F133" t="str">
            <v>kg</v>
          </cell>
          <cell r="G133">
            <v>2.2000000000000002</v>
          </cell>
          <cell r="H133">
            <v>7950</v>
          </cell>
        </row>
        <row r="134">
          <cell r="C134" t="str">
            <v>ET10050109</v>
          </cell>
          <cell r="D134">
            <v>130</v>
          </cell>
          <cell r="E134" t="str">
            <v>Aço CA-50 diâmetro de 12,5mm.</v>
          </cell>
          <cell r="F134" t="str">
            <v>kg</v>
          </cell>
          <cell r="G134">
            <v>2.1800000000000002</v>
          </cell>
          <cell r="H134">
            <v>5400</v>
          </cell>
        </row>
        <row r="135">
          <cell r="C135" t="str">
            <v>ET10050112</v>
          </cell>
          <cell r="D135">
            <v>131</v>
          </cell>
          <cell r="E135" t="str">
            <v>Aço CA-50 diâmetro de 16mm.</v>
          </cell>
          <cell r="F135" t="str">
            <v>kg</v>
          </cell>
          <cell r="G135">
            <v>2.1800000000000002</v>
          </cell>
          <cell r="H135">
            <v>2700</v>
          </cell>
        </row>
        <row r="136">
          <cell r="C136" t="str">
            <v>ET10050118</v>
          </cell>
          <cell r="D136">
            <v>132</v>
          </cell>
          <cell r="E136" t="str">
            <v>Aço CA-50 diâmetro de 25mm.</v>
          </cell>
          <cell r="F136" t="str">
            <v>kg</v>
          </cell>
          <cell r="G136">
            <v>2.19</v>
          </cell>
          <cell r="H136">
            <v>1400</v>
          </cell>
        </row>
        <row r="137">
          <cell r="C137" t="str">
            <v>ET10100056</v>
          </cell>
          <cell r="D137">
            <v>133</v>
          </cell>
          <cell r="E137" t="str">
            <v>Corte, dobragem, montagem aço CA-50 ø 6,3mm.</v>
          </cell>
          <cell r="F137" t="str">
            <v>kg</v>
          </cell>
          <cell r="G137">
            <v>1.28</v>
          </cell>
          <cell r="H137">
            <v>4750</v>
          </cell>
        </row>
        <row r="138">
          <cell r="C138" t="str">
            <v>ET10100062</v>
          </cell>
          <cell r="D138">
            <v>134</v>
          </cell>
          <cell r="E138" t="str">
            <v>Corte, dobragem, montagem aço CA-50 ø 12,5mm.</v>
          </cell>
          <cell r="F138" t="str">
            <v>kg</v>
          </cell>
          <cell r="G138">
            <v>0.96</v>
          </cell>
          <cell r="H138">
            <v>9450</v>
          </cell>
        </row>
        <row r="139">
          <cell r="C139" t="str">
            <v>ET10100065</v>
          </cell>
          <cell r="D139">
            <v>135</v>
          </cell>
          <cell r="E139" t="str">
            <v>Corte, dobragem, montagem aço CA-50 ø 6,3 a 12,5mm.</v>
          </cell>
          <cell r="F139" t="str">
            <v>kg</v>
          </cell>
          <cell r="G139">
            <v>1.1100000000000001</v>
          </cell>
          <cell r="H139">
            <v>13950</v>
          </cell>
        </row>
        <row r="140">
          <cell r="C140" t="str">
            <v>ET05250653</v>
          </cell>
          <cell r="D140">
            <v>136</v>
          </cell>
          <cell r="E140" t="str">
            <v>Lançamento de concreto.</v>
          </cell>
          <cell r="F140" t="str">
            <v>m3</v>
          </cell>
          <cell r="G140">
            <v>22.57</v>
          </cell>
          <cell r="H140">
            <v>187</v>
          </cell>
        </row>
        <row r="141">
          <cell r="C141" t="str">
            <v>ET45100071</v>
          </cell>
          <cell r="D141">
            <v>137</v>
          </cell>
          <cell r="E141" t="str">
            <v>Concreto bombeado usinado fck=30MPa.</v>
          </cell>
          <cell r="F141" t="str">
            <v>m3</v>
          </cell>
          <cell r="G141">
            <v>297.16000000000003</v>
          </cell>
          <cell r="H141">
            <v>195</v>
          </cell>
        </row>
        <row r="142">
          <cell r="C142" t="str">
            <v>ET60050059</v>
          </cell>
          <cell r="D142">
            <v>138</v>
          </cell>
          <cell r="E142" t="str">
            <v>Concreto usinado de 18MPa.</v>
          </cell>
          <cell r="F142" t="str">
            <v>m3</v>
          </cell>
          <cell r="G142">
            <v>185.77</v>
          </cell>
          <cell r="H142">
            <v>187</v>
          </cell>
        </row>
        <row r="143">
          <cell r="C143" t="str">
            <v>ET25050300</v>
          </cell>
          <cell r="D143">
            <v>139</v>
          </cell>
          <cell r="E143" t="str">
            <v>Fornecimento e montagem de estruturas metálicas.</v>
          </cell>
          <cell r="F143" t="str">
            <v>t</v>
          </cell>
          <cell r="G143">
            <v>7186.39</v>
          </cell>
          <cell r="H143">
            <v>36</v>
          </cell>
        </row>
        <row r="144">
          <cell r="C144" t="str">
            <v>ET25050450</v>
          </cell>
          <cell r="D144">
            <v>140</v>
          </cell>
          <cell r="E144" t="str">
            <v>Peças em chapa de aço 3/8", galvanizadas.</v>
          </cell>
          <cell r="F144" t="str">
            <v>Kg</v>
          </cell>
          <cell r="G144">
            <v>3.99</v>
          </cell>
          <cell r="H144">
            <v>2166</v>
          </cell>
        </row>
        <row r="145">
          <cell r="C145" t="str">
            <v>ET25050453</v>
          </cell>
          <cell r="D145">
            <v>141</v>
          </cell>
          <cell r="E145" t="str">
            <v>Peças em chapa de aço 3/8", galvanizadas.</v>
          </cell>
          <cell r="F145" t="str">
            <v>Kg</v>
          </cell>
          <cell r="G145">
            <v>4.26</v>
          </cell>
          <cell r="H145">
            <v>2078</v>
          </cell>
        </row>
        <row r="146">
          <cell r="C146" t="str">
            <v>ET25050456</v>
          </cell>
          <cell r="D146">
            <v>142</v>
          </cell>
          <cell r="E146" t="str">
            <v>Peças em chapa de aço 3/8", galvanizadas.</v>
          </cell>
          <cell r="F146" t="str">
            <v>Kg</v>
          </cell>
          <cell r="G146">
            <v>4.16</v>
          </cell>
          <cell r="H146">
            <v>1820</v>
          </cell>
        </row>
        <row r="147">
          <cell r="C147" t="str">
            <v>ET50050250</v>
          </cell>
          <cell r="D147">
            <v>143</v>
          </cell>
          <cell r="E147" t="str">
            <v>Muro de contenção em solo reforçado.</v>
          </cell>
          <cell r="F147" t="str">
            <v>m2</v>
          </cell>
          <cell r="G147">
            <v>145.63</v>
          </cell>
          <cell r="H147">
            <v>144</v>
          </cell>
        </row>
        <row r="148">
          <cell r="C148" t="str">
            <v>ET55100100</v>
          </cell>
          <cell r="D148">
            <v>144</v>
          </cell>
          <cell r="E148" t="str">
            <v>Canal pré-fabricado, em concreto armado seção U.</v>
          </cell>
          <cell r="F148" t="str">
            <v>m2</v>
          </cell>
          <cell r="G148">
            <v>384.26</v>
          </cell>
          <cell r="H148">
            <v>86</v>
          </cell>
        </row>
        <row r="149">
          <cell r="C149" t="str">
            <v>ET55100150</v>
          </cell>
          <cell r="D149">
            <v>145</v>
          </cell>
          <cell r="E149" t="str">
            <v>Cobertura de canal pré-fabricado em concreto armado.</v>
          </cell>
          <cell r="F149" t="str">
            <v>m2</v>
          </cell>
          <cell r="G149">
            <v>435.06</v>
          </cell>
          <cell r="H149">
            <v>58</v>
          </cell>
        </row>
        <row r="150">
          <cell r="C150" t="str">
            <v>ES05250359</v>
          </cell>
          <cell r="D150">
            <v>146</v>
          </cell>
          <cell r="E150" t="str">
            <v>Gradil em tubo de ferro galvanizado de 1 1/4".</v>
          </cell>
          <cell r="F150" t="str">
            <v>m</v>
          </cell>
          <cell r="G150">
            <v>338.32</v>
          </cell>
          <cell r="H150">
            <v>144</v>
          </cell>
        </row>
        <row r="151">
          <cell r="C151" t="str">
            <v>ES10250150</v>
          </cell>
          <cell r="D151">
            <v>147</v>
          </cell>
          <cell r="E151" t="str">
            <v xml:space="preserve">Peça em Angelim ou similar, de 2"x1".Fornecimento. </v>
          </cell>
          <cell r="F151" t="str">
            <v>m</v>
          </cell>
          <cell r="G151">
            <v>2.14</v>
          </cell>
          <cell r="H151">
            <v>150</v>
          </cell>
        </row>
        <row r="152">
          <cell r="C152" t="str">
            <v>ES10250200</v>
          </cell>
          <cell r="D152">
            <v>148</v>
          </cell>
          <cell r="E152" t="str">
            <v xml:space="preserve">Peça em Ipê ou similar, de 2"x8".  Fornecimento.    </v>
          </cell>
          <cell r="F152" t="str">
            <v>m</v>
          </cell>
          <cell r="G152">
            <v>30.26</v>
          </cell>
          <cell r="H152">
            <v>200</v>
          </cell>
        </row>
        <row r="153">
          <cell r="C153" t="str">
            <v>ES10250262</v>
          </cell>
          <cell r="D153">
            <v>149</v>
          </cell>
          <cell r="E153" t="str">
            <v>Peça em Maçaranduba ou similar, serrada, de 3"x6".</v>
          </cell>
          <cell r="F153" t="str">
            <v>m</v>
          </cell>
          <cell r="G153">
            <v>8.66</v>
          </cell>
          <cell r="H153">
            <v>100</v>
          </cell>
        </row>
        <row r="154">
          <cell r="C154" t="str">
            <v>ES99990050</v>
          </cell>
          <cell r="D154">
            <v>150</v>
          </cell>
          <cell r="E154" t="str">
            <v>Arruela de 5/16", inclusive transporte até a obra.</v>
          </cell>
          <cell r="F154" t="str">
            <v>un</v>
          </cell>
          <cell r="G154">
            <v>0.02</v>
          </cell>
          <cell r="H154">
            <v>863</v>
          </cell>
        </row>
        <row r="155">
          <cell r="C155" t="str">
            <v>ES99990700</v>
          </cell>
          <cell r="D155">
            <v>151</v>
          </cell>
          <cell r="E155" t="str">
            <v>Parafuso de (8x250)mm.</v>
          </cell>
          <cell r="F155" t="str">
            <v>un</v>
          </cell>
          <cell r="G155">
            <v>0.78</v>
          </cell>
          <cell r="H155">
            <v>863</v>
          </cell>
        </row>
        <row r="156">
          <cell r="C156" t="str">
            <v>ES99990800</v>
          </cell>
          <cell r="D156">
            <v>152</v>
          </cell>
          <cell r="E156" t="str">
            <v>Porca de 5/16", inclusive transporte até a obra.</v>
          </cell>
          <cell r="F156" t="str">
            <v>un</v>
          </cell>
          <cell r="G156">
            <v>0.04</v>
          </cell>
          <cell r="H156">
            <v>863</v>
          </cell>
        </row>
        <row r="157">
          <cell r="C157" t="str">
            <v>ES99990900</v>
          </cell>
          <cell r="D157">
            <v>153</v>
          </cell>
          <cell r="E157" t="str">
            <v>Prego com cabeça chata 23x54, em caixa de 100Kg.</v>
          </cell>
          <cell r="F157" t="str">
            <v>Kg</v>
          </cell>
          <cell r="G157">
            <v>3.01</v>
          </cell>
          <cell r="H157">
            <v>332</v>
          </cell>
        </row>
        <row r="158">
          <cell r="C158" t="str">
            <v>IT25100112</v>
          </cell>
          <cell r="D158">
            <v>154</v>
          </cell>
          <cell r="E158" t="str">
            <v>Kanalex diâmetro de 50mm (2" ).</v>
          </cell>
          <cell r="F158" t="str">
            <v>m</v>
          </cell>
          <cell r="G158">
            <v>4.55</v>
          </cell>
          <cell r="H158">
            <v>356</v>
          </cell>
        </row>
        <row r="159">
          <cell r="C159" t="str">
            <v>IT25100115</v>
          </cell>
          <cell r="D159">
            <v>155</v>
          </cell>
          <cell r="E159" t="str">
            <v>Kanalex diâmetro de 75mm (3" ).</v>
          </cell>
          <cell r="F159" t="str">
            <v>m</v>
          </cell>
          <cell r="G159">
            <v>5.98</v>
          </cell>
          <cell r="H159">
            <v>1766</v>
          </cell>
        </row>
        <row r="160">
          <cell r="C160" t="str">
            <v>IT25100118</v>
          </cell>
          <cell r="D160">
            <v>156</v>
          </cell>
          <cell r="E160" t="str">
            <v>Kanalex diâmetro de 100mm (4" ).</v>
          </cell>
          <cell r="F160" t="str">
            <v>m</v>
          </cell>
          <cell r="G160">
            <v>7.02</v>
          </cell>
          <cell r="H160">
            <v>2554</v>
          </cell>
        </row>
        <row r="161">
          <cell r="C161" t="str">
            <v>IT25100159</v>
          </cell>
          <cell r="D161">
            <v>157</v>
          </cell>
          <cell r="E161" t="str">
            <v>Linha dupla de Kanalex diâmetro de 75mm (3" ).</v>
          </cell>
          <cell r="F161" t="str">
            <v>m</v>
          </cell>
          <cell r="G161">
            <v>10.52</v>
          </cell>
          <cell r="H161">
            <v>3705</v>
          </cell>
        </row>
        <row r="162">
          <cell r="C162" t="str">
            <v>IT25100162</v>
          </cell>
          <cell r="D162">
            <v>158</v>
          </cell>
          <cell r="E162" t="str">
            <v>Linha dupla de Kanalex diâmetro de 100mm (4" ).</v>
          </cell>
          <cell r="F162" t="str">
            <v>m</v>
          </cell>
          <cell r="G162">
            <v>21.87</v>
          </cell>
          <cell r="H162">
            <v>6000</v>
          </cell>
        </row>
        <row r="163">
          <cell r="C163" t="str">
            <v xml:space="preserve"> IT25100165</v>
          </cell>
          <cell r="D163">
            <v>159</v>
          </cell>
          <cell r="E163" t="str">
            <v>Linha dupla de Kanalex diâmetro de 125mm (5" ).</v>
          </cell>
          <cell r="F163" t="str">
            <v>m</v>
          </cell>
          <cell r="G163">
            <v>29.6</v>
          </cell>
          <cell r="H163">
            <v>4000</v>
          </cell>
        </row>
        <row r="164">
          <cell r="C164" t="str">
            <v xml:space="preserve"> IT25340321</v>
          </cell>
          <cell r="D164">
            <v>160</v>
          </cell>
          <cell r="E164" t="str">
            <v>Cabo de cobre rígido, seção de 35mm2 XLPE.</v>
          </cell>
          <cell r="F164" t="str">
            <v>m</v>
          </cell>
          <cell r="G164">
            <v>11.38</v>
          </cell>
          <cell r="H164">
            <v>2842</v>
          </cell>
        </row>
        <row r="165">
          <cell r="C165" t="str">
            <v>IT25700100</v>
          </cell>
          <cell r="D165">
            <v>161</v>
          </cell>
          <cell r="E165" t="str">
            <v>Haste para aterramento, de cobre, de 5/8", com 3m.</v>
          </cell>
          <cell r="F165" t="str">
            <v xml:space="preserve"> un</v>
          </cell>
          <cell r="G165">
            <v>60.94</v>
          </cell>
          <cell r="H165">
            <v>29</v>
          </cell>
        </row>
        <row r="166">
          <cell r="C166" t="str">
            <v>IT25990100</v>
          </cell>
          <cell r="D166">
            <v>162</v>
          </cell>
          <cell r="E166" t="str">
            <v>Base de ferro retangular, para caixa subterrânea.</v>
          </cell>
          <cell r="F166" t="str">
            <v xml:space="preserve"> un</v>
          </cell>
          <cell r="G166">
            <v>117.72</v>
          </cell>
          <cell r="H166">
            <v>55</v>
          </cell>
        </row>
        <row r="167">
          <cell r="C167" t="str">
            <v>IT25990103</v>
          </cell>
          <cell r="D167">
            <v>163</v>
          </cell>
          <cell r="E167" t="str">
            <v>Tampa de ferro retangular, medindo (1,07x0,52)m.</v>
          </cell>
          <cell r="F167" t="str">
            <v xml:space="preserve"> un</v>
          </cell>
          <cell r="G167">
            <v>231.13</v>
          </cell>
          <cell r="H167">
            <v>55</v>
          </cell>
        </row>
        <row r="168">
          <cell r="C168" t="str">
            <v>RV15200409</v>
          </cell>
          <cell r="D168">
            <v>164</v>
          </cell>
          <cell r="E168" t="str">
            <v>Revestimento com granito Cinza flameado.</v>
          </cell>
          <cell r="F168" t="str">
            <v>m2</v>
          </cell>
          <cell r="G168">
            <v>82.41</v>
          </cell>
          <cell r="H168">
            <v>152</v>
          </cell>
        </row>
        <row r="169">
          <cell r="C169" t="str">
            <v>RV15250103</v>
          </cell>
          <cell r="D169">
            <v>165</v>
          </cell>
          <cell r="E169" t="str">
            <v>Piso de concreto simples,8cm de espessura.</v>
          </cell>
          <cell r="F169" t="str">
            <v>m2</v>
          </cell>
          <cell r="G169">
            <v>24.65</v>
          </cell>
          <cell r="H169">
            <v>1095</v>
          </cell>
        </row>
        <row r="170">
          <cell r="C170" t="str">
            <v>CI05750050</v>
          </cell>
          <cell r="D170">
            <v>166</v>
          </cell>
          <cell r="E170" t="str">
            <v>Cabine para quiosque em Fiber-Glass.</v>
          </cell>
          <cell r="F170" t="str">
            <v xml:space="preserve"> un   </v>
          </cell>
          <cell r="G170">
            <v>12250.73</v>
          </cell>
          <cell r="H170">
            <v>6</v>
          </cell>
        </row>
        <row r="171">
          <cell r="C171" t="str">
            <v>PT05300250</v>
          </cell>
          <cell r="D171">
            <v>167</v>
          </cell>
          <cell r="E171" t="str">
            <v>Pintura sobre concreto com uma demão de Primer.</v>
          </cell>
          <cell r="F171" t="str">
            <v>m2</v>
          </cell>
          <cell r="G171">
            <v>9.09</v>
          </cell>
          <cell r="H171">
            <v>542</v>
          </cell>
        </row>
        <row r="172">
          <cell r="C172" t="str">
            <v>PT05400106</v>
          </cell>
          <cell r="D172">
            <v>168</v>
          </cell>
          <cell r="E172" t="str">
            <v>Pintura interna ou externa sobre ferro, com esmalte.</v>
          </cell>
          <cell r="F172" t="str">
            <v>m2</v>
          </cell>
          <cell r="G172">
            <v>7.86</v>
          </cell>
          <cell r="H172">
            <v>1262</v>
          </cell>
        </row>
        <row r="173">
          <cell r="C173" t="str">
            <v>DR05200050</v>
          </cell>
          <cell r="D173">
            <v>169</v>
          </cell>
          <cell r="E173" t="str">
            <v>Tubo de concreto armado com diametro de 0,40m.</v>
          </cell>
          <cell r="F173" t="str">
            <v>m</v>
          </cell>
          <cell r="G173">
            <v>43.02</v>
          </cell>
          <cell r="H173">
            <v>768</v>
          </cell>
        </row>
        <row r="174">
          <cell r="C174" t="str">
            <v>DR05200100</v>
          </cell>
          <cell r="D174">
            <v>170</v>
          </cell>
          <cell r="E174" t="str">
            <v>Tubo de concreto armado com diâmetro de 0,50m.</v>
          </cell>
          <cell r="F174" t="str">
            <v>m</v>
          </cell>
          <cell r="G174">
            <v>62.61</v>
          </cell>
          <cell r="H174">
            <v>290</v>
          </cell>
        </row>
        <row r="175">
          <cell r="C175" t="str">
            <v>DR05200150</v>
          </cell>
          <cell r="D175">
            <v>171</v>
          </cell>
          <cell r="E175" t="str">
            <v>Tubo de concreto armado com diâmetro de 0,60m.</v>
          </cell>
          <cell r="F175" t="str">
            <v>m</v>
          </cell>
          <cell r="G175">
            <v>71.53</v>
          </cell>
          <cell r="H175">
            <v>54</v>
          </cell>
        </row>
        <row r="176">
          <cell r="C176" t="str">
            <v>DR05200200</v>
          </cell>
          <cell r="D176">
            <v>172</v>
          </cell>
          <cell r="E176" t="str">
            <v>Tubo de concreto armado com diâmetro de 0,70m.</v>
          </cell>
          <cell r="F176" t="str">
            <v>m</v>
          </cell>
          <cell r="G176">
            <v>106.59</v>
          </cell>
          <cell r="H176">
            <v>264</v>
          </cell>
        </row>
        <row r="177">
          <cell r="C177" t="str">
            <v>DR05200250</v>
          </cell>
          <cell r="D177">
            <v>173</v>
          </cell>
          <cell r="E177" t="str">
            <v>Tubo de concreto armado com diâmetro de 0,80m.</v>
          </cell>
          <cell r="F177" t="str">
            <v>m</v>
          </cell>
          <cell r="G177">
            <v>113.63</v>
          </cell>
          <cell r="H177">
            <v>38</v>
          </cell>
        </row>
        <row r="178">
          <cell r="C178" t="str">
            <v>DR05200350</v>
          </cell>
          <cell r="D178">
            <v>174</v>
          </cell>
          <cell r="E178" t="str">
            <v>Tubo de concreto armado com diametro de 1m.</v>
          </cell>
          <cell r="F178" t="str">
            <v>m</v>
          </cell>
          <cell r="G178">
            <v>189.28</v>
          </cell>
          <cell r="H178">
            <v>320</v>
          </cell>
        </row>
        <row r="179">
          <cell r="C179" t="str">
            <v>DR05200500</v>
          </cell>
          <cell r="D179">
            <v>175</v>
          </cell>
          <cell r="E179" t="str">
            <v>Tubo de concreto armado com diâmetro de 1,50m.</v>
          </cell>
          <cell r="F179" t="str">
            <v>m</v>
          </cell>
          <cell r="G179">
            <v>400.58</v>
          </cell>
          <cell r="H179">
            <v>214</v>
          </cell>
        </row>
        <row r="180">
          <cell r="C180" t="str">
            <v>DR05400100</v>
          </cell>
          <cell r="D180">
            <v>176</v>
          </cell>
          <cell r="E180" t="str">
            <v>Tubo de PVC rígido Vinilfort, diâmetro de 150mm.</v>
          </cell>
          <cell r="F180" t="str">
            <v>m</v>
          </cell>
          <cell r="G180">
            <v>19.47</v>
          </cell>
          <cell r="H180">
            <v>1643</v>
          </cell>
        </row>
        <row r="181">
          <cell r="C181" t="str">
            <v>DR05400150</v>
          </cell>
          <cell r="D181">
            <v>177</v>
          </cell>
          <cell r="E181" t="str">
            <v>Tubo de PVC rígido Vinilfort, diâmetro de 200mm.</v>
          </cell>
          <cell r="F181" t="str">
            <v>m</v>
          </cell>
          <cell r="G181">
            <v>27.22</v>
          </cell>
          <cell r="H181">
            <v>263</v>
          </cell>
        </row>
        <row r="182">
          <cell r="C182" t="str">
            <v>DR10050065</v>
          </cell>
          <cell r="D182">
            <v>178</v>
          </cell>
          <cell r="E182" t="str">
            <v>Tubo de ferro fundido K-9, diâmetro de 300mm.</v>
          </cell>
          <cell r="F182" t="str">
            <v>m</v>
          </cell>
          <cell r="G182">
            <v>370.29</v>
          </cell>
          <cell r="H182">
            <v>200</v>
          </cell>
        </row>
        <row r="183">
          <cell r="C183" t="str">
            <v>DR20100050</v>
          </cell>
          <cell r="D183">
            <v>179</v>
          </cell>
          <cell r="E183" t="str">
            <v>Poço de visita de (1,20x1,20x1,40)m ø 0,40 a 0,70m.</v>
          </cell>
          <cell r="F183" t="str">
            <v xml:space="preserve"> un</v>
          </cell>
          <cell r="G183">
            <v>704.13</v>
          </cell>
          <cell r="H183">
            <v>22</v>
          </cell>
        </row>
        <row r="184">
          <cell r="C184" t="str">
            <v>DR20100053</v>
          </cell>
          <cell r="D184">
            <v>180</v>
          </cell>
          <cell r="E184" t="str">
            <v>Poço de visita de (1,30 x1,30 x1,40)m ø de 0,80 m.</v>
          </cell>
          <cell r="F184" t="str">
            <v xml:space="preserve"> un</v>
          </cell>
          <cell r="G184">
            <v>750.69</v>
          </cell>
          <cell r="H184">
            <v>2</v>
          </cell>
        </row>
        <row r="185">
          <cell r="C185" t="str">
            <v>DR20100059</v>
          </cell>
          <cell r="D185">
            <v>181</v>
          </cell>
          <cell r="E185" t="str">
            <v>Poço de visita de (1.50x1.50x1.60)m ø1,00 m.</v>
          </cell>
          <cell r="F185" t="str">
            <v xml:space="preserve"> un</v>
          </cell>
          <cell r="G185">
            <v>948.69</v>
          </cell>
          <cell r="H185">
            <v>11</v>
          </cell>
        </row>
        <row r="186">
          <cell r="C186" t="str">
            <v>DR20100068</v>
          </cell>
          <cell r="D186">
            <v>182</v>
          </cell>
          <cell r="E186" t="str">
            <v>Poço de vista de ( 2x 2x2,10)m ø1,50m.</v>
          </cell>
          <cell r="F186" t="str">
            <v xml:space="preserve"> un</v>
          </cell>
          <cell r="G186">
            <v>1525.88</v>
          </cell>
          <cell r="H186">
            <v>7</v>
          </cell>
        </row>
        <row r="187">
          <cell r="C187" t="str">
            <v>DR20150053</v>
          </cell>
          <cell r="D187">
            <v>183</v>
          </cell>
          <cell r="E187" t="str">
            <v>Poço de visita para esgoto sanitário de 1m .</v>
          </cell>
          <cell r="F187" t="str">
            <v xml:space="preserve"> un</v>
          </cell>
          <cell r="G187">
            <v>129.63</v>
          </cell>
          <cell r="H187">
            <v>2</v>
          </cell>
        </row>
        <row r="188">
          <cell r="C188" t="str">
            <v>DR20150056</v>
          </cell>
          <cell r="D188">
            <v>184</v>
          </cell>
          <cell r="E188" t="str">
            <v xml:space="preserve">Poço de visita para esgoto sanitário de 1,05m.                      </v>
          </cell>
          <cell r="F188" t="str">
            <v xml:space="preserve"> un</v>
          </cell>
          <cell r="G188">
            <v>303.89</v>
          </cell>
          <cell r="H188">
            <v>1</v>
          </cell>
        </row>
        <row r="189">
          <cell r="C189" t="str">
            <v>DR20150059</v>
          </cell>
          <cell r="D189">
            <v>185</v>
          </cell>
          <cell r="E189" t="str">
            <v xml:space="preserve">Poço de visita para esgoto sanitário de 1,20m.  </v>
          </cell>
          <cell r="F189" t="str">
            <v xml:space="preserve"> un</v>
          </cell>
          <cell r="G189">
            <v>337.88</v>
          </cell>
          <cell r="H189">
            <v>15</v>
          </cell>
        </row>
        <row r="190">
          <cell r="C190" t="str">
            <v>DR20150062</v>
          </cell>
          <cell r="D190">
            <v>186</v>
          </cell>
          <cell r="E190" t="str">
            <v xml:space="preserve">Poço de visita de esgoto sanitário de 1,40m.      </v>
          </cell>
          <cell r="F190" t="str">
            <v xml:space="preserve"> un</v>
          </cell>
          <cell r="G190">
            <v>387.67</v>
          </cell>
          <cell r="H190">
            <v>5</v>
          </cell>
        </row>
        <row r="191">
          <cell r="C191" t="str">
            <v>DR20150065</v>
          </cell>
          <cell r="D191">
            <v>187</v>
          </cell>
          <cell r="E191" t="str">
            <v xml:space="preserve">Poço de visita de esgoto sanitário de 1,50m.  </v>
          </cell>
          <cell r="F191" t="str">
            <v xml:space="preserve"> un</v>
          </cell>
          <cell r="G191">
            <v>412.76</v>
          </cell>
          <cell r="H191">
            <v>7</v>
          </cell>
        </row>
        <row r="192">
          <cell r="C192" t="str">
            <v>DR20150068</v>
          </cell>
          <cell r="D192">
            <v>188</v>
          </cell>
          <cell r="E192" t="str">
            <v xml:space="preserve">Poço de visita de esgoto sanitário de 1,60m.          </v>
          </cell>
          <cell r="F192" t="str">
            <v xml:space="preserve"> un</v>
          </cell>
          <cell r="G192">
            <v>416.03</v>
          </cell>
          <cell r="H192">
            <v>4</v>
          </cell>
        </row>
        <row r="193">
          <cell r="C193" t="str">
            <v>DR20150071</v>
          </cell>
          <cell r="D193">
            <v>189</v>
          </cell>
          <cell r="E193" t="str">
            <v xml:space="preserve">Poço de visita de esgoto sanitário de 1,70m.   </v>
          </cell>
          <cell r="F193" t="str">
            <v xml:space="preserve"> un</v>
          </cell>
          <cell r="G193">
            <v>450.56</v>
          </cell>
          <cell r="H193">
            <v>2</v>
          </cell>
        </row>
        <row r="194">
          <cell r="C194" t="str">
            <v>DR20150074</v>
          </cell>
          <cell r="D194">
            <v>190</v>
          </cell>
          <cell r="E194" t="str">
            <v xml:space="preserve">Poço de visita de esgoto sanitário de 2m.       </v>
          </cell>
          <cell r="F194" t="str">
            <v xml:space="preserve"> un</v>
          </cell>
          <cell r="G194">
            <v>479.14</v>
          </cell>
          <cell r="H194">
            <v>12</v>
          </cell>
        </row>
        <row r="195">
          <cell r="C195" t="str">
            <v>DR20150077</v>
          </cell>
          <cell r="D195">
            <v>191</v>
          </cell>
          <cell r="E195" t="str">
            <v xml:space="preserve">Poço de visita de esgoto sanitário de 2,30m.        </v>
          </cell>
          <cell r="F195" t="str">
            <v xml:space="preserve"> un</v>
          </cell>
          <cell r="G195">
            <v>518.35</v>
          </cell>
          <cell r="H195">
            <v>2</v>
          </cell>
        </row>
        <row r="196">
          <cell r="C196" t="str">
            <v>DR30150103</v>
          </cell>
          <cell r="D196">
            <v>192</v>
          </cell>
          <cell r="E196" t="str">
            <v>Caixa de ralo de blocos de concreto prensado.</v>
          </cell>
          <cell r="F196" t="str">
            <v xml:space="preserve"> un</v>
          </cell>
          <cell r="G196">
            <v>541.29999999999995</v>
          </cell>
          <cell r="H196">
            <v>135</v>
          </cell>
        </row>
        <row r="197">
          <cell r="C197" t="str">
            <v>DR05300100</v>
          </cell>
          <cell r="D197">
            <v>193</v>
          </cell>
          <cell r="E197" t="str">
            <v>Manilha cerâmica vidrada, com diâmetro 0,15m.</v>
          </cell>
          <cell r="F197" t="str">
            <v>m</v>
          </cell>
          <cell r="G197">
            <v>16.14</v>
          </cell>
          <cell r="H197">
            <v>1240</v>
          </cell>
        </row>
        <row r="198">
          <cell r="C198" t="str">
            <v>DR35050250</v>
          </cell>
          <cell r="D198">
            <v>194</v>
          </cell>
          <cell r="E198" t="str">
            <v>Tampão de ferro fundido completo pesado, de 0,60m.</v>
          </cell>
          <cell r="F198" t="str">
            <v xml:space="preserve"> un</v>
          </cell>
          <cell r="G198">
            <v>209.66</v>
          </cell>
          <cell r="H198">
            <v>140</v>
          </cell>
        </row>
        <row r="199">
          <cell r="C199" t="str">
            <v>DR35050300</v>
          </cell>
          <cell r="D199">
            <v>195</v>
          </cell>
          <cell r="E199" t="str">
            <v>Tampão de ferro fundido completo, de 3 seções.</v>
          </cell>
          <cell r="F199" t="str">
            <v xml:space="preserve"> un</v>
          </cell>
          <cell r="G199">
            <v>1659.65</v>
          </cell>
          <cell r="H199">
            <v>9</v>
          </cell>
        </row>
        <row r="200">
          <cell r="C200" t="str">
            <v>DR55050450</v>
          </cell>
          <cell r="D200">
            <v>196</v>
          </cell>
          <cell r="E200" t="str">
            <v>Embasamento de tubulação, feito com pó-de-pedra.</v>
          </cell>
          <cell r="F200" t="str">
            <v>m3</v>
          </cell>
          <cell r="G200">
            <v>47.35</v>
          </cell>
          <cell r="H200">
            <v>200</v>
          </cell>
        </row>
        <row r="201">
          <cell r="C201" t="str">
            <v>DR75050077</v>
          </cell>
          <cell r="D201">
            <v>197</v>
          </cell>
          <cell r="E201" t="str">
            <v>Levantamento limpeza reassentamento tubos ø1,50m.</v>
          </cell>
          <cell r="F201" t="str">
            <v>m</v>
          </cell>
          <cell r="G201">
            <v>137.80000000000001</v>
          </cell>
          <cell r="H201">
            <v>576</v>
          </cell>
        </row>
        <row r="202">
          <cell r="C202" t="str">
            <v>BP05050050</v>
          </cell>
          <cell r="D202">
            <v>198</v>
          </cell>
          <cell r="E202" t="str">
            <v>Base de brita corrida.</v>
          </cell>
          <cell r="F202" t="str">
            <v>m3</v>
          </cell>
          <cell r="G202">
            <v>35.47</v>
          </cell>
          <cell r="H202">
            <v>7200</v>
          </cell>
        </row>
        <row r="203">
          <cell r="C203" t="str">
            <v>BP05050400A</v>
          </cell>
          <cell r="D203">
            <v>199</v>
          </cell>
          <cell r="E203" t="str">
            <v>Imprimação de base de pavimentação.</v>
          </cell>
          <cell r="F203" t="str">
            <v>m2</v>
          </cell>
          <cell r="G203">
            <v>2.04</v>
          </cell>
          <cell r="H203">
            <v>23998</v>
          </cell>
        </row>
        <row r="204">
          <cell r="C204" t="str">
            <v>BP05050100</v>
          </cell>
          <cell r="D204">
            <v>200</v>
          </cell>
          <cell r="E204" t="str">
            <v>Camada de bloqueio (colchão) de areia.</v>
          </cell>
          <cell r="F204" t="str">
            <v>m3</v>
          </cell>
          <cell r="G204">
            <v>29.11</v>
          </cell>
          <cell r="H204">
            <v>7200</v>
          </cell>
        </row>
        <row r="205">
          <cell r="C205" t="str">
            <v>BP05050103</v>
          </cell>
          <cell r="D205">
            <v>201</v>
          </cell>
          <cell r="E205" t="str">
            <v>Camada de bloqueio (colchão) de pó-de-pedra.</v>
          </cell>
          <cell r="F205" t="str">
            <v>m3</v>
          </cell>
          <cell r="G205">
            <v>31.41</v>
          </cell>
          <cell r="H205">
            <v>6000</v>
          </cell>
        </row>
        <row r="206">
          <cell r="C206" t="str">
            <v>BP10050659</v>
          </cell>
          <cell r="D206">
            <v>202</v>
          </cell>
          <cell r="E206" t="str">
            <v>Revestimento de CBUQ, com  10cm de espessura.</v>
          </cell>
          <cell r="F206" t="str">
            <v>m2</v>
          </cell>
          <cell r="G206">
            <v>24.98</v>
          </cell>
          <cell r="H206">
            <v>23998</v>
          </cell>
        </row>
        <row r="207">
          <cell r="C207" t="str">
            <v>BP10200368</v>
          </cell>
          <cell r="D207">
            <v>203</v>
          </cell>
          <cell r="E207" t="str">
            <v>Revestimento intertravado com peças de concreto.</v>
          </cell>
          <cell r="F207" t="str">
            <v>m2</v>
          </cell>
          <cell r="G207">
            <v>54.88</v>
          </cell>
          <cell r="H207">
            <v>18820</v>
          </cell>
        </row>
        <row r="208">
          <cell r="C208" t="str">
            <v>BP10250050</v>
          </cell>
          <cell r="D208">
            <v>204</v>
          </cell>
          <cell r="E208" t="str">
            <v>Paralelepípedos.Fornecimento.</v>
          </cell>
          <cell r="F208" t="str">
            <v xml:space="preserve"> un</v>
          </cell>
          <cell r="G208">
            <v>0.45</v>
          </cell>
          <cell r="H208">
            <v>2877</v>
          </cell>
        </row>
        <row r="209">
          <cell r="C209" t="str">
            <v>BP05050450</v>
          </cell>
          <cell r="D209">
            <v>205</v>
          </cell>
          <cell r="E209" t="str">
            <v>Regularização de subleito.</v>
          </cell>
          <cell r="F209" t="str">
            <v>m2</v>
          </cell>
          <cell r="G209">
            <v>0.41</v>
          </cell>
          <cell r="H209">
            <v>23998</v>
          </cell>
        </row>
        <row r="210">
          <cell r="C210" t="str">
            <v>BP20100053</v>
          </cell>
          <cell r="D210">
            <v>206</v>
          </cell>
          <cell r="E210" t="str">
            <v>Cordões de concreto simples, secção de (10x25)cm.</v>
          </cell>
          <cell r="F210" t="str">
            <v>m</v>
          </cell>
          <cell r="G210">
            <v>15.98</v>
          </cell>
          <cell r="H210">
            <v>864</v>
          </cell>
        </row>
        <row r="211">
          <cell r="C211" t="str">
            <v>BP05050250</v>
          </cell>
          <cell r="D211">
            <v>207</v>
          </cell>
          <cell r="E211" t="str">
            <v>Construção de aterro.</v>
          </cell>
          <cell r="F211" t="str">
            <v>m3</v>
          </cell>
          <cell r="G211">
            <v>1.1299999999999999</v>
          </cell>
          <cell r="H211">
            <v>5000</v>
          </cell>
        </row>
        <row r="212">
          <cell r="C212" t="str">
            <v>BP10050400A</v>
          </cell>
          <cell r="D212">
            <v>208</v>
          </cell>
          <cell r="E212" t="str">
            <v>Pintura de ligação.</v>
          </cell>
          <cell r="F212" t="str">
            <v>m2</v>
          </cell>
          <cell r="G212">
            <v>1.23</v>
          </cell>
          <cell r="H212">
            <v>23998</v>
          </cell>
        </row>
        <row r="213">
          <cell r="C213" t="str">
            <v>BP10050500</v>
          </cell>
          <cell r="D213">
            <v>209</v>
          </cell>
          <cell r="E213" t="str">
            <v>Recomposição de revestimento em concreto asfáltico.</v>
          </cell>
          <cell r="F213" t="str">
            <v>m2</v>
          </cell>
          <cell r="G213">
            <v>2.13</v>
          </cell>
          <cell r="H213">
            <v>2000</v>
          </cell>
        </row>
        <row r="214">
          <cell r="C214" t="str">
            <v>BP10150050</v>
          </cell>
          <cell r="D214">
            <v>210</v>
          </cell>
          <cell r="E214" t="str">
            <v>Junta de retração, serrada com disco de diamantes.</v>
          </cell>
          <cell r="F214" t="str">
            <v>m</v>
          </cell>
          <cell r="G214">
            <v>7.5</v>
          </cell>
          <cell r="H214">
            <v>415</v>
          </cell>
        </row>
        <row r="215">
          <cell r="C215" t="str">
            <v>BP10250050</v>
          </cell>
          <cell r="D215">
            <v>211</v>
          </cell>
          <cell r="E215" t="str">
            <v xml:space="preserve">Paralelepípedos.Fornecimento. </v>
          </cell>
          <cell r="F215" t="str">
            <v xml:space="preserve"> un</v>
          </cell>
          <cell r="G215">
            <v>0.45</v>
          </cell>
          <cell r="H215">
            <v>2877</v>
          </cell>
        </row>
        <row r="216">
          <cell r="C216" t="str">
            <v>BP15050050</v>
          </cell>
          <cell r="D216">
            <v>212</v>
          </cell>
          <cell r="E216" t="str">
            <v>Fresagem espessura de até 5cm.</v>
          </cell>
          <cell r="F216" t="str">
            <v>m2</v>
          </cell>
          <cell r="G216">
            <v>1.34</v>
          </cell>
          <cell r="H216">
            <v>16799</v>
          </cell>
        </row>
        <row r="217">
          <cell r="C217" t="str">
            <v>BP20150056</v>
          </cell>
          <cell r="D217">
            <v>213</v>
          </cell>
          <cell r="E217" t="str">
            <v>Sarjeta e meio-fio conjugados, de concreto simples.</v>
          </cell>
          <cell r="F217" t="str">
            <v>m</v>
          </cell>
          <cell r="G217">
            <v>44.43</v>
          </cell>
          <cell r="H217">
            <v>4315</v>
          </cell>
        </row>
        <row r="218">
          <cell r="C218" t="str">
            <v>PJ05100150</v>
          </cell>
          <cell r="D218">
            <v>214</v>
          </cell>
          <cell r="E218" t="str">
            <v>Plantio de grama em placas.</v>
          </cell>
          <cell r="F218" t="str">
            <v>m2</v>
          </cell>
          <cell r="G218">
            <v>6.48</v>
          </cell>
          <cell r="H218">
            <v>2213</v>
          </cell>
        </row>
        <row r="219">
          <cell r="C219" t="str">
            <v>PJ10050200</v>
          </cell>
          <cell r="D219">
            <v>215</v>
          </cell>
          <cell r="E219" t="str">
            <v>Plantio de árvore de 2m de altura.</v>
          </cell>
          <cell r="F219" t="str">
            <v xml:space="preserve"> un</v>
          </cell>
          <cell r="G219">
            <v>14.95</v>
          </cell>
          <cell r="H219">
            <v>283</v>
          </cell>
        </row>
        <row r="220">
          <cell r="C220" t="str">
            <v>PJ10150050</v>
          </cell>
          <cell r="D220">
            <v>216</v>
          </cell>
          <cell r="E220" t="str">
            <v>Árvores tipo 1 - Pseudobombax Ellipticum.</v>
          </cell>
          <cell r="F220" t="str">
            <v xml:space="preserve"> un</v>
          </cell>
          <cell r="G220">
            <v>12.9</v>
          </cell>
          <cell r="H220">
            <v>283</v>
          </cell>
        </row>
        <row r="221">
          <cell r="C221" t="str">
            <v>PJ10250056</v>
          </cell>
          <cell r="D221">
            <v>217</v>
          </cell>
          <cell r="E221" t="str">
            <v>Palmeira tipo 3 - Roystonea Oleracea.</v>
          </cell>
          <cell r="F221" t="str">
            <v xml:space="preserve"> un</v>
          </cell>
          <cell r="G221">
            <v>250</v>
          </cell>
          <cell r="H221">
            <v>20</v>
          </cell>
        </row>
        <row r="222">
          <cell r="C222" t="str">
            <v>PJ20100050</v>
          </cell>
          <cell r="D222">
            <v>218</v>
          </cell>
          <cell r="E222" t="str">
            <v>Arrancamento e replantio de árvore adulta.</v>
          </cell>
          <cell r="F222" t="str">
            <v xml:space="preserve"> un</v>
          </cell>
          <cell r="G222">
            <v>46.5</v>
          </cell>
          <cell r="H222">
            <v>32</v>
          </cell>
        </row>
        <row r="223">
          <cell r="C223" t="str">
            <v>PJ20100306</v>
          </cell>
          <cell r="D223">
            <v>219</v>
          </cell>
          <cell r="E223" t="str">
            <v>Remoção de árvore de grande porte.</v>
          </cell>
          <cell r="F223" t="str">
            <v xml:space="preserve"> un</v>
          </cell>
          <cell r="G223">
            <v>886.31</v>
          </cell>
          <cell r="H223">
            <v>10</v>
          </cell>
        </row>
        <row r="224">
          <cell r="C224" t="str">
            <v>PJ40100356</v>
          </cell>
          <cell r="D224">
            <v>220</v>
          </cell>
          <cell r="E224" t="str">
            <v>Tratamento fitossanitário em árvores.</v>
          </cell>
          <cell r="F224" t="str">
            <v xml:space="preserve"> un</v>
          </cell>
          <cell r="G224">
            <v>663.93</v>
          </cell>
          <cell r="H224">
            <v>100</v>
          </cell>
        </row>
        <row r="225">
          <cell r="C225" t="str">
            <v>PJ15050053</v>
          </cell>
          <cell r="D225">
            <v>221</v>
          </cell>
          <cell r="E225" t="str">
            <v>Cerca protetora para jardim.</v>
          </cell>
          <cell r="F225" t="str">
            <v>m2</v>
          </cell>
          <cell r="G225">
            <v>57.16</v>
          </cell>
          <cell r="H225">
            <v>200</v>
          </cell>
        </row>
        <row r="226">
          <cell r="C226" t="str">
            <v>PJ25050100</v>
          </cell>
          <cell r="D226">
            <v>222</v>
          </cell>
          <cell r="E226" t="str">
            <v>Banco para jardim, duplo, pés em ferro fundido.</v>
          </cell>
          <cell r="F226" t="str">
            <v xml:space="preserve"> un</v>
          </cell>
          <cell r="G226">
            <v>904.96</v>
          </cell>
          <cell r="H226">
            <v>36</v>
          </cell>
        </row>
        <row r="227">
          <cell r="C227" t="str">
            <v>PJ25050153</v>
          </cell>
          <cell r="D227">
            <v>223</v>
          </cell>
          <cell r="E227" t="str">
            <v>Mesa de jogos com 4 bancos.</v>
          </cell>
          <cell r="F227" t="str">
            <v xml:space="preserve"> un</v>
          </cell>
          <cell r="G227">
            <v>547.5</v>
          </cell>
          <cell r="H227">
            <v>14</v>
          </cell>
        </row>
        <row r="228">
          <cell r="C228" t="str">
            <v>PJ25100253</v>
          </cell>
          <cell r="D228">
            <v>224</v>
          </cell>
          <cell r="E228" t="str">
            <v>Brinquedo modelo A-08 Dupla Escalada.</v>
          </cell>
          <cell r="F228" t="str">
            <v xml:space="preserve"> un</v>
          </cell>
          <cell r="G228">
            <v>1730.38</v>
          </cell>
          <cell r="H228">
            <v>5</v>
          </cell>
        </row>
        <row r="229">
          <cell r="C229" t="str">
            <v>PJ25100350</v>
          </cell>
          <cell r="D229">
            <v>225</v>
          </cell>
          <cell r="E229" t="str">
            <v>Casa do Tarzan, referência M-45, conforme o modelo.</v>
          </cell>
          <cell r="F229" t="str">
            <v xml:space="preserve"> un</v>
          </cell>
          <cell r="G229">
            <v>2911.25</v>
          </cell>
          <cell r="H229">
            <v>1</v>
          </cell>
        </row>
        <row r="230">
          <cell r="C230" t="str">
            <v>PJ25100600</v>
          </cell>
          <cell r="D230">
            <v>226</v>
          </cell>
          <cell r="E230" t="str">
            <v>Etapa 8, conforme o modelo Pactaplayground.</v>
          </cell>
          <cell r="F230" t="str">
            <v xml:space="preserve"> un</v>
          </cell>
          <cell r="G230">
            <v>263.37</v>
          </cell>
          <cell r="H230">
            <v>1</v>
          </cell>
        </row>
        <row r="231">
          <cell r="C231" t="str">
            <v>PJ25101000</v>
          </cell>
          <cell r="D231">
            <v>227</v>
          </cell>
          <cell r="E231" t="str">
            <v>Prancha para abdominal, em madeira de Lei.</v>
          </cell>
          <cell r="F231" t="str">
            <v xml:space="preserve"> un</v>
          </cell>
          <cell r="G231">
            <v>288.86</v>
          </cell>
          <cell r="H231">
            <v>2</v>
          </cell>
        </row>
        <row r="232">
          <cell r="C232" t="str">
            <v>PJ15050153</v>
          </cell>
          <cell r="D232">
            <v>228</v>
          </cell>
          <cell r="E232" t="str">
            <v>Protetor de árvore em ferro de 3/8".</v>
          </cell>
          <cell r="F232" t="str">
            <v xml:space="preserve"> un</v>
          </cell>
          <cell r="G232">
            <v>40.17</v>
          </cell>
          <cell r="H232">
            <v>283</v>
          </cell>
        </row>
        <row r="233">
          <cell r="C233" t="str">
            <v>PJ20050200</v>
          </cell>
          <cell r="D233">
            <v>229</v>
          </cell>
          <cell r="E233" t="str">
            <v>Aterro com terra preta simples, para gramados.</v>
          </cell>
          <cell r="F233" t="str">
            <v>m3</v>
          </cell>
          <cell r="G233">
            <v>57.72</v>
          </cell>
          <cell r="H233">
            <v>303</v>
          </cell>
        </row>
        <row r="234">
          <cell r="C234" t="str">
            <v>PJ20050453</v>
          </cell>
          <cell r="D234">
            <v>230</v>
          </cell>
          <cell r="E234" t="str">
            <v>Irrigação de árvore e/ou palmeira com Caminhão Pipa.</v>
          </cell>
          <cell r="F234" t="str">
            <v xml:space="preserve"> un</v>
          </cell>
          <cell r="G234">
            <v>0.25</v>
          </cell>
          <cell r="H234">
            <v>303</v>
          </cell>
        </row>
        <row r="235">
          <cell r="C235" t="str">
            <v>PJ20050870</v>
          </cell>
          <cell r="D235">
            <v>231</v>
          </cell>
          <cell r="E235" t="str">
            <v xml:space="preserve">Revolvimento de solo até 20cm de profundidade.   </v>
          </cell>
          <cell r="F235" t="str">
            <v>m2</v>
          </cell>
          <cell r="G235">
            <v>0.67</v>
          </cell>
          <cell r="H235">
            <v>1000</v>
          </cell>
        </row>
        <row r="236">
          <cell r="C236" t="str">
            <v>PJ25250106</v>
          </cell>
          <cell r="D236">
            <v>232</v>
          </cell>
          <cell r="E236" t="str">
            <v>Frade metálico, em ferro fundido, modelo ciclovia.</v>
          </cell>
          <cell r="F236" t="str">
            <v xml:space="preserve"> un</v>
          </cell>
          <cell r="G236">
            <v>94.45</v>
          </cell>
          <cell r="H236">
            <v>505</v>
          </cell>
        </row>
        <row r="237">
          <cell r="C237" t="str">
            <v>PJ40050159</v>
          </cell>
          <cell r="D237">
            <v>233</v>
          </cell>
          <cell r="E237" t="str">
            <v>Remoção de espécies vegetais.</v>
          </cell>
          <cell r="F237" t="str">
            <v xml:space="preserve"> un</v>
          </cell>
          <cell r="G237">
            <v>207.92</v>
          </cell>
          <cell r="H237">
            <v>35</v>
          </cell>
        </row>
        <row r="238">
          <cell r="C238" t="str">
            <v>IP05100300</v>
          </cell>
          <cell r="D238">
            <v>234</v>
          </cell>
          <cell r="E238" t="str">
            <v>Poste de aço, reto, cônico contínuo de 4,5m.</v>
          </cell>
          <cell r="F238" t="str">
            <v xml:space="preserve"> un</v>
          </cell>
          <cell r="G238">
            <v>199.5</v>
          </cell>
          <cell r="H238">
            <v>70</v>
          </cell>
        </row>
        <row r="239">
          <cell r="C239" t="str">
            <v>IP05100553</v>
          </cell>
          <cell r="D239">
            <v>235</v>
          </cell>
          <cell r="E239" t="str">
            <v>Poste de aço, reto, de 7m.</v>
          </cell>
          <cell r="F239" t="str">
            <v xml:space="preserve"> un</v>
          </cell>
          <cell r="G239">
            <v>4336.38</v>
          </cell>
          <cell r="H239">
            <v>10</v>
          </cell>
        </row>
        <row r="240">
          <cell r="C240" t="str">
            <v>IP05100556</v>
          </cell>
          <cell r="D240">
            <v>236</v>
          </cell>
          <cell r="E240" t="str">
            <v>Poste de aço, reto, de 7m.</v>
          </cell>
          <cell r="F240" t="str">
            <v xml:space="preserve"> un</v>
          </cell>
          <cell r="G240">
            <v>4127</v>
          </cell>
          <cell r="H240">
            <v>20</v>
          </cell>
        </row>
        <row r="241">
          <cell r="C241" t="str">
            <v>IP05100562</v>
          </cell>
          <cell r="D241">
            <v>237</v>
          </cell>
          <cell r="E241" t="str">
            <v>Poste de aço, reto, de 7m.</v>
          </cell>
          <cell r="F241" t="str">
            <v xml:space="preserve"> un</v>
          </cell>
          <cell r="G241">
            <v>3360</v>
          </cell>
          <cell r="H241">
            <v>40</v>
          </cell>
        </row>
        <row r="242">
          <cell r="C242" t="str">
            <v>IP10300506</v>
          </cell>
          <cell r="D242">
            <v>238</v>
          </cell>
          <cell r="E242" t="str">
            <v>Conector tipo cunha, em liga de cobre estanhado.</v>
          </cell>
          <cell r="F242" t="str">
            <v xml:space="preserve"> un</v>
          </cell>
          <cell r="G242">
            <v>6.55</v>
          </cell>
          <cell r="H242">
            <v>32</v>
          </cell>
        </row>
        <row r="243">
          <cell r="C243" t="str">
            <v>IP15250100</v>
          </cell>
          <cell r="D243">
            <v>239</v>
          </cell>
          <cell r="E243" t="str">
            <v xml:space="preserve">Cabo de cobre nu, seção de 16mm2.  Fornecimento.  </v>
          </cell>
          <cell r="F243" t="str">
            <v>kg</v>
          </cell>
          <cell r="G243">
            <v>11.42</v>
          </cell>
          <cell r="H243">
            <v>140</v>
          </cell>
        </row>
        <row r="244">
          <cell r="C244" t="str">
            <v>IP15250109</v>
          </cell>
          <cell r="D244">
            <v>240</v>
          </cell>
          <cell r="E244" t="str">
            <v xml:space="preserve">Cabo de cobre nu, seção de 25mm2.  Fornecimento. </v>
          </cell>
          <cell r="F244" t="str">
            <v>kg</v>
          </cell>
          <cell r="G244">
            <v>11.42</v>
          </cell>
          <cell r="H244">
            <v>141.69999999999999</v>
          </cell>
        </row>
        <row r="245">
          <cell r="C245" t="str">
            <v>IP15300053</v>
          </cell>
          <cell r="D245">
            <v>241</v>
          </cell>
          <cell r="E245" t="str">
            <v>Cabo de cobre flexível, 750V, seção de 2x1,5mm2.</v>
          </cell>
          <cell r="F245" t="str">
            <v>m</v>
          </cell>
          <cell r="G245">
            <v>0.88</v>
          </cell>
          <cell r="H245">
            <v>2158</v>
          </cell>
        </row>
        <row r="246">
          <cell r="C246" t="str">
            <v>IP15300062</v>
          </cell>
          <cell r="D246">
            <v>242</v>
          </cell>
          <cell r="E246" t="str">
            <v>Cabo de cobre flexível, 750V, seção de 3x1,5mm2.</v>
          </cell>
          <cell r="F246" t="str">
            <v xml:space="preserve"> un</v>
          </cell>
          <cell r="G246">
            <v>4.62</v>
          </cell>
          <cell r="H246">
            <v>2158</v>
          </cell>
        </row>
        <row r="247">
          <cell r="C247" t="str">
            <v>IP15350350</v>
          </cell>
          <cell r="D247">
            <v>243</v>
          </cell>
          <cell r="E247" t="str">
            <v>Cabo de cobre rígido, seção de 10mm2, 1Kv,  XLPE.</v>
          </cell>
          <cell r="F247" t="str">
            <v>m</v>
          </cell>
          <cell r="G247">
            <v>2.2599999999999998</v>
          </cell>
          <cell r="H247">
            <v>5100</v>
          </cell>
        </row>
        <row r="248">
          <cell r="C248" t="str">
            <v>IP15350456</v>
          </cell>
          <cell r="D248">
            <v>244</v>
          </cell>
          <cell r="E248" t="str">
            <v>Cabo de cobre rígido, seção de 25mm2, 1Kv, XLPE.</v>
          </cell>
          <cell r="F248" t="str">
            <v>m</v>
          </cell>
          <cell r="G248">
            <v>4.4400000000000004</v>
          </cell>
          <cell r="H248">
            <v>144</v>
          </cell>
        </row>
        <row r="249">
          <cell r="C249" t="str">
            <v>IP15350556</v>
          </cell>
          <cell r="D249">
            <v>245</v>
          </cell>
          <cell r="E249" t="str">
            <v>Cabo de cobre rígido, seção de 50mm2, 1Kv, XLPE.</v>
          </cell>
          <cell r="F249" t="str">
            <v>m</v>
          </cell>
          <cell r="G249">
            <v>23.38</v>
          </cell>
          <cell r="H249">
            <v>1870</v>
          </cell>
        </row>
        <row r="250">
          <cell r="C250" t="str">
            <v>IP15450106</v>
          </cell>
          <cell r="D250">
            <v>246</v>
          </cell>
          <cell r="E250" t="str">
            <v>Colocação de 3 condutores singelos em linha de dutos.</v>
          </cell>
          <cell r="F250" t="str">
            <v>m</v>
          </cell>
          <cell r="G250">
            <v>1.42</v>
          </cell>
          <cell r="H250">
            <v>940</v>
          </cell>
        </row>
        <row r="251">
          <cell r="C251" t="str">
            <v>IP15450109</v>
          </cell>
          <cell r="D251">
            <v>247</v>
          </cell>
          <cell r="E251" t="str">
            <v>Colocação de 4 condutores singelos em linha de dutos.</v>
          </cell>
          <cell r="F251" t="str">
            <v>m</v>
          </cell>
          <cell r="G251">
            <v>1.96</v>
          </cell>
          <cell r="H251">
            <v>6180</v>
          </cell>
        </row>
        <row r="252">
          <cell r="C252" t="str">
            <v>IP35150050</v>
          </cell>
          <cell r="D252">
            <v>248</v>
          </cell>
          <cell r="E252" t="str">
            <v>Comando em grupo CRJ-04 ou similar, 85A.</v>
          </cell>
          <cell r="F252" t="str">
            <v xml:space="preserve"> un</v>
          </cell>
          <cell r="G252">
            <v>1984.4</v>
          </cell>
          <cell r="H252">
            <v>2</v>
          </cell>
        </row>
        <row r="253">
          <cell r="C253" t="str">
            <v>IP35150400</v>
          </cell>
          <cell r="D253">
            <v>249</v>
          </cell>
          <cell r="E253" t="str">
            <v>Comando para IP, caixa trifásico, capacidade de 45A.</v>
          </cell>
          <cell r="F253" t="str">
            <v xml:space="preserve"> un</v>
          </cell>
          <cell r="G253">
            <v>1238</v>
          </cell>
          <cell r="H253">
            <v>6</v>
          </cell>
        </row>
        <row r="254">
          <cell r="C254" t="str">
            <v>IP40050100</v>
          </cell>
          <cell r="D254">
            <v>250</v>
          </cell>
          <cell r="E254" t="str">
            <v>Chave blindada, bipolar, 60A. Fornecimento.</v>
          </cell>
          <cell r="F254" t="str">
            <v xml:space="preserve"> un</v>
          </cell>
          <cell r="G254">
            <v>127</v>
          </cell>
          <cell r="H254">
            <v>10</v>
          </cell>
        </row>
        <row r="255">
          <cell r="C255" t="str">
            <v>IP50300850</v>
          </cell>
          <cell r="D255">
            <v>251</v>
          </cell>
          <cell r="E255" t="str">
            <v>Reator subterrâneo para lâmpada de VS de 400W.</v>
          </cell>
          <cell r="F255" t="str">
            <v xml:space="preserve"> un</v>
          </cell>
          <cell r="G255">
            <v>79.099999999999994</v>
          </cell>
          <cell r="H255">
            <v>198</v>
          </cell>
        </row>
        <row r="256">
          <cell r="C256" t="str">
            <v>IP10350400</v>
          </cell>
          <cell r="D256">
            <v>252</v>
          </cell>
          <cell r="E256" t="str">
            <v>Caixa de ligação tipo Condulets R-15/LB-22.</v>
          </cell>
          <cell r="F256" t="str">
            <v xml:space="preserve"> un</v>
          </cell>
          <cell r="G256">
            <v>7.62</v>
          </cell>
          <cell r="H256">
            <v>40</v>
          </cell>
        </row>
        <row r="257">
          <cell r="C257" t="str">
            <v>IP20050050</v>
          </cell>
          <cell r="D257">
            <v>253</v>
          </cell>
          <cell r="E257" t="str">
            <v xml:space="preserve">Aterramento de caixa Hand-Hole. </v>
          </cell>
          <cell r="F257" t="str">
            <v xml:space="preserve"> un</v>
          </cell>
          <cell r="G257">
            <v>10.34</v>
          </cell>
          <cell r="H257">
            <v>140</v>
          </cell>
        </row>
        <row r="258">
          <cell r="C258" t="str">
            <v>IP25100153</v>
          </cell>
          <cell r="D258">
            <v>254</v>
          </cell>
          <cell r="E258" t="str">
            <v>Caixa Hand-Hole, (0,60x0,60)m.</v>
          </cell>
          <cell r="F258" t="str">
            <v xml:space="preserve"> un</v>
          </cell>
          <cell r="G258">
            <v>80.78</v>
          </cell>
          <cell r="H258">
            <v>140</v>
          </cell>
        </row>
        <row r="259">
          <cell r="C259" t="str">
            <v>IP25100165</v>
          </cell>
          <cell r="D259">
            <v>255</v>
          </cell>
          <cell r="E259" t="str">
            <v>Caixa Hand-Hole, (0,60x0,90)m.</v>
          </cell>
          <cell r="F259" t="str">
            <v xml:space="preserve"> un</v>
          </cell>
          <cell r="G259">
            <v>111.4</v>
          </cell>
          <cell r="H259">
            <v>20</v>
          </cell>
        </row>
        <row r="260">
          <cell r="C260" t="str">
            <v>IP50100200</v>
          </cell>
          <cell r="D260">
            <v>256</v>
          </cell>
          <cell r="E260" t="str">
            <v>Luminária decorativa LDRJ-06 para lâmpada VS.</v>
          </cell>
          <cell r="F260" t="str">
            <v xml:space="preserve"> un</v>
          </cell>
          <cell r="G260">
            <v>362.07</v>
          </cell>
          <cell r="H260">
            <v>360</v>
          </cell>
        </row>
        <row r="261">
          <cell r="C261" t="str">
            <v>IP50100250</v>
          </cell>
          <cell r="D261">
            <v>257</v>
          </cell>
          <cell r="E261" t="str">
            <v>Luminária decorativa tipo LDRJ-16/2.</v>
          </cell>
          <cell r="F261" t="str">
            <v xml:space="preserve"> un</v>
          </cell>
          <cell r="G261">
            <v>249.69</v>
          </cell>
          <cell r="H261">
            <v>280</v>
          </cell>
        </row>
        <row r="262">
          <cell r="C262" t="str">
            <v>IP50200050</v>
          </cell>
          <cell r="D262">
            <v>258</v>
          </cell>
          <cell r="E262" t="str">
            <v>Base simples para luminária LDRJ-06.</v>
          </cell>
          <cell r="F262" t="str">
            <v xml:space="preserve"> un</v>
          </cell>
          <cell r="G262">
            <v>40</v>
          </cell>
          <cell r="H262">
            <v>280</v>
          </cell>
        </row>
        <row r="263">
          <cell r="C263" t="str">
            <v>IP50250406</v>
          </cell>
          <cell r="D263">
            <v>259</v>
          </cell>
          <cell r="E263" t="str">
            <v>Lâmpada de multivapor metálico (MVM) 70W/220V.</v>
          </cell>
          <cell r="F263" t="str">
            <v xml:space="preserve"> un</v>
          </cell>
          <cell r="G263">
            <v>73.77</v>
          </cell>
          <cell r="H263">
            <v>80</v>
          </cell>
        </row>
        <row r="264">
          <cell r="C264" t="str">
            <v>IP50250412</v>
          </cell>
          <cell r="D264">
            <v>260</v>
          </cell>
          <cell r="E264" t="str">
            <v>Lâmpada de multivapor metálico (MVM) 150W/220V.</v>
          </cell>
          <cell r="F264" t="str">
            <v xml:space="preserve"> un</v>
          </cell>
          <cell r="G264">
            <v>163.22999999999999</v>
          </cell>
          <cell r="H264">
            <v>20</v>
          </cell>
        </row>
        <row r="265">
          <cell r="C265" t="str">
            <v>IP05350100</v>
          </cell>
          <cell r="D265">
            <v>261</v>
          </cell>
          <cell r="E265" t="str">
            <v>Fundação simples de concreto pré-moldado,RIOLUZ.</v>
          </cell>
          <cell r="F265" t="str">
            <v xml:space="preserve"> un</v>
          </cell>
          <cell r="G265">
            <v>55.26</v>
          </cell>
          <cell r="H265">
            <v>70</v>
          </cell>
        </row>
        <row r="266">
          <cell r="C266" t="str">
            <v>IP05350150</v>
          </cell>
          <cell r="D266">
            <v>262</v>
          </cell>
          <cell r="E266" t="str">
            <v>Fundação simples de concreto pré-moldado,RIOLUZ.</v>
          </cell>
          <cell r="F266" t="str">
            <v xml:space="preserve"> un</v>
          </cell>
          <cell r="G266">
            <v>61.7</v>
          </cell>
          <cell r="H266">
            <v>70</v>
          </cell>
        </row>
        <row r="267">
          <cell r="C267" t="str">
            <v>IP05550150</v>
          </cell>
          <cell r="D267">
            <v>263</v>
          </cell>
          <cell r="E267" t="str">
            <v>Braço, padrão RIOLUZ, de 1,5m até 2,50m.</v>
          </cell>
          <cell r="F267" t="str">
            <v xml:space="preserve"> un</v>
          </cell>
          <cell r="G267">
            <v>47.7</v>
          </cell>
          <cell r="H267">
            <v>280</v>
          </cell>
        </row>
        <row r="268">
          <cell r="C268" t="str">
            <v>IP15200050</v>
          </cell>
          <cell r="D268">
            <v>264</v>
          </cell>
          <cell r="E268" t="str">
            <v>Mufla, 12/20Kv, referência terminal modular TM.</v>
          </cell>
          <cell r="F268" t="str">
            <v xml:space="preserve"> un</v>
          </cell>
          <cell r="G268">
            <v>173.71</v>
          </cell>
          <cell r="H268">
            <v>40</v>
          </cell>
        </row>
        <row r="269">
          <cell r="C269" t="str">
            <v>IP15500100</v>
          </cell>
          <cell r="D269">
            <v>265</v>
          </cell>
          <cell r="E269" t="str">
            <v>Anilha de nylon para identificação de condutor XLPE.</v>
          </cell>
          <cell r="F269" t="str">
            <v xml:space="preserve"> un</v>
          </cell>
          <cell r="G269">
            <v>0.02</v>
          </cell>
          <cell r="H269">
            <v>324</v>
          </cell>
        </row>
        <row r="270">
          <cell r="C270" t="str">
            <v>IP15500150</v>
          </cell>
          <cell r="D270">
            <v>266</v>
          </cell>
          <cell r="E270" t="str">
            <v>Anilha de nylon para identificação de condutor XLPE.</v>
          </cell>
          <cell r="F270" t="str">
            <v xml:space="preserve"> un</v>
          </cell>
          <cell r="G270">
            <v>0.03</v>
          </cell>
          <cell r="H270">
            <v>324</v>
          </cell>
        </row>
        <row r="271">
          <cell r="C271" t="str">
            <v>IP20050053</v>
          </cell>
          <cell r="D271">
            <v>267</v>
          </cell>
          <cell r="E271" t="str">
            <v>Aterramento de poste de aço.</v>
          </cell>
          <cell r="F271" t="str">
            <v xml:space="preserve"> un</v>
          </cell>
          <cell r="G271">
            <v>18.57</v>
          </cell>
          <cell r="H271">
            <v>140</v>
          </cell>
        </row>
        <row r="272">
          <cell r="C272" t="str">
            <v>IP20050056</v>
          </cell>
          <cell r="D272">
            <v>268</v>
          </cell>
          <cell r="E272" t="str">
            <v>Aterramento de tampão.</v>
          </cell>
          <cell r="F272" t="str">
            <v xml:space="preserve"> un</v>
          </cell>
          <cell r="G272">
            <v>28.47</v>
          </cell>
          <cell r="H272">
            <v>140</v>
          </cell>
        </row>
        <row r="273">
          <cell r="C273" t="str">
            <v>IP20050153</v>
          </cell>
          <cell r="D273">
            <v>269</v>
          </cell>
          <cell r="E273" t="str">
            <v>Conjunto de aterramento de transformador.</v>
          </cell>
          <cell r="F273" t="str">
            <v xml:space="preserve"> un</v>
          </cell>
          <cell r="G273">
            <v>176.69</v>
          </cell>
          <cell r="H273">
            <v>53</v>
          </cell>
        </row>
        <row r="274">
          <cell r="C274" t="str">
            <v>IP30200509</v>
          </cell>
          <cell r="D274">
            <v>270</v>
          </cell>
          <cell r="E274" t="str">
            <v>Luva para eletroduto de PVC rígido de 50mm.</v>
          </cell>
          <cell r="F274" t="str">
            <v xml:space="preserve"> un</v>
          </cell>
          <cell r="G274">
            <v>3.43</v>
          </cell>
          <cell r="H274">
            <v>40</v>
          </cell>
        </row>
        <row r="275">
          <cell r="C275" t="str">
            <v>IP50300700</v>
          </cell>
          <cell r="D275">
            <v>271</v>
          </cell>
          <cell r="E275" t="str">
            <v>Reator subterrâneo lâmpada vapor de sódio de 70W.</v>
          </cell>
          <cell r="F275" t="str">
            <v xml:space="preserve"> un</v>
          </cell>
          <cell r="G275">
            <v>40.54</v>
          </cell>
          <cell r="H275">
            <v>200</v>
          </cell>
        </row>
        <row r="276">
          <cell r="C276" t="str">
            <v>IP50300750</v>
          </cell>
          <cell r="D276">
            <v>272</v>
          </cell>
          <cell r="E276" t="str">
            <v>Reator subterrâneo lâmpada vapor de sódio de 150W.</v>
          </cell>
          <cell r="F276" t="str">
            <v xml:space="preserve"> un</v>
          </cell>
          <cell r="G276">
            <v>74.319999999999993</v>
          </cell>
          <cell r="H276">
            <v>26</v>
          </cell>
        </row>
        <row r="277">
          <cell r="C277" t="str">
            <v>IP60200200</v>
          </cell>
          <cell r="D277">
            <v>273</v>
          </cell>
          <cell r="E277" t="str">
            <v xml:space="preserve">Retirada de chaves fusíveis e ferragens, linha 13,2Kv.   </v>
          </cell>
          <cell r="F277" t="str">
            <v xml:space="preserve"> un</v>
          </cell>
          <cell r="G277">
            <v>9.76</v>
          </cell>
          <cell r="H277">
            <v>100</v>
          </cell>
        </row>
        <row r="278">
          <cell r="C278" t="str">
            <v>IP60200362</v>
          </cell>
          <cell r="D278">
            <v>274</v>
          </cell>
          <cell r="E278" t="str">
            <v>Retirada de luminária em poste com 13m a 15m.</v>
          </cell>
          <cell r="F278" t="str">
            <v xml:space="preserve"> un</v>
          </cell>
          <cell r="G278">
            <v>9.76</v>
          </cell>
          <cell r="H278">
            <v>118</v>
          </cell>
        </row>
        <row r="279">
          <cell r="C279" t="str">
            <v>IP60200512</v>
          </cell>
          <cell r="D279">
            <v>275</v>
          </cell>
          <cell r="E279" t="str">
            <v xml:space="preserve">Retirada de poste de concreto ou aço de 13m a 15m.   </v>
          </cell>
          <cell r="F279" t="str">
            <v xml:space="preserve"> un</v>
          </cell>
          <cell r="G279">
            <v>97.64</v>
          </cell>
          <cell r="H279">
            <v>108</v>
          </cell>
        </row>
        <row r="280">
          <cell r="C280" t="str">
            <v>IP60200650</v>
          </cell>
          <cell r="D280">
            <v>276</v>
          </cell>
          <cell r="E280" t="str">
            <v xml:space="preserve">Retirada de rede aérea de 13,2Kv (lance).   </v>
          </cell>
          <cell r="F280" t="str">
            <v xml:space="preserve"> un</v>
          </cell>
          <cell r="G280">
            <v>19.53</v>
          </cell>
          <cell r="H280">
            <v>94</v>
          </cell>
        </row>
        <row r="281">
          <cell r="C281" t="str">
            <v>IP60200800</v>
          </cell>
          <cell r="D281">
            <v>277</v>
          </cell>
          <cell r="E281" t="str">
            <v xml:space="preserve">Retirada de transformadores de 5Kva até 112,5Kva.   </v>
          </cell>
          <cell r="F281" t="str">
            <v xml:space="preserve"> un</v>
          </cell>
          <cell r="G281">
            <v>39.06</v>
          </cell>
          <cell r="H281">
            <v>2</v>
          </cell>
        </row>
        <row r="282">
          <cell r="C282" t="str">
            <v>IP99990150</v>
          </cell>
          <cell r="D282">
            <v>278</v>
          </cell>
          <cell r="E282" t="str">
            <v>Capa isolante de silicone para conector tipo cunha.</v>
          </cell>
          <cell r="F282" t="str">
            <v xml:space="preserve"> un</v>
          </cell>
          <cell r="G282">
            <v>3.68</v>
          </cell>
          <cell r="H282">
            <v>1475</v>
          </cell>
        </row>
        <row r="283">
          <cell r="C283" t="str">
            <v>ST05051200</v>
          </cell>
          <cell r="D283">
            <v>279</v>
          </cell>
          <cell r="E283" t="str">
            <v>Sinalização horizontal, aplicada por extursão.</v>
          </cell>
          <cell r="F283" t="str">
            <v>m2</v>
          </cell>
          <cell r="G283">
            <v>37.81</v>
          </cell>
          <cell r="H283">
            <v>1000</v>
          </cell>
        </row>
        <row r="284">
          <cell r="C284" t="str">
            <v>ST10150050</v>
          </cell>
          <cell r="D284">
            <v>280</v>
          </cell>
          <cell r="E284" t="str">
            <v>Bloco semafórico para pedestre.</v>
          </cell>
          <cell r="F284" t="str">
            <v xml:space="preserve"> un</v>
          </cell>
          <cell r="G284">
            <v>224.25</v>
          </cell>
          <cell r="H284">
            <v>60</v>
          </cell>
        </row>
        <row r="285">
          <cell r="C285" t="str">
            <v>ST10150150</v>
          </cell>
          <cell r="D285">
            <v>281</v>
          </cell>
          <cell r="E285" t="str">
            <v>Bloco semafórico principal.</v>
          </cell>
          <cell r="F285" t="str">
            <v xml:space="preserve"> un</v>
          </cell>
          <cell r="G285">
            <v>691.39</v>
          </cell>
          <cell r="H285">
            <v>48</v>
          </cell>
        </row>
        <row r="286">
          <cell r="C286" t="str">
            <v>ST10150200</v>
          </cell>
          <cell r="D286">
            <v>282</v>
          </cell>
          <cell r="E286" t="str">
            <v>Bloco semafórico repetidor.</v>
          </cell>
          <cell r="F286" t="str">
            <v xml:space="preserve"> un</v>
          </cell>
          <cell r="G286">
            <v>423</v>
          </cell>
          <cell r="H286">
            <v>65</v>
          </cell>
        </row>
        <row r="287">
          <cell r="C287" t="str">
            <v>ST10150300</v>
          </cell>
          <cell r="D287">
            <v>283</v>
          </cell>
          <cell r="E287" t="str">
            <v>Conjunto semafórico para pedestre.</v>
          </cell>
          <cell r="F287" t="str">
            <v xml:space="preserve"> un</v>
          </cell>
          <cell r="G287">
            <v>1779.7</v>
          </cell>
          <cell r="H287">
            <v>20</v>
          </cell>
        </row>
        <row r="288">
          <cell r="C288" t="str">
            <v>ST15250100</v>
          </cell>
          <cell r="D288">
            <v>284</v>
          </cell>
          <cell r="E288" t="str">
            <v>Placa de sinalização de alumínio com fundo pintado.</v>
          </cell>
          <cell r="F288" t="str">
            <v>m2</v>
          </cell>
          <cell r="G288">
            <v>239</v>
          </cell>
          <cell r="H288">
            <v>30</v>
          </cell>
        </row>
        <row r="289">
          <cell r="C289" t="str">
            <v>ST15250150</v>
          </cell>
          <cell r="D289">
            <v>285</v>
          </cell>
          <cell r="E289" t="str">
            <v>Placa de sinalização de alumínio em película refletiva.</v>
          </cell>
          <cell r="F289" t="str">
            <v>m2</v>
          </cell>
          <cell r="G289">
            <v>1013.69</v>
          </cell>
          <cell r="H289">
            <v>60</v>
          </cell>
        </row>
        <row r="290">
          <cell r="C290" t="str">
            <v>ST15250200</v>
          </cell>
          <cell r="D290">
            <v>286</v>
          </cell>
          <cell r="E290" t="str">
            <v>Placa de sinalização de alumínio em película refletiva.</v>
          </cell>
          <cell r="F290" t="str">
            <v>m2</v>
          </cell>
          <cell r="G290">
            <v>564.05999999999995</v>
          </cell>
          <cell r="H290">
            <v>400</v>
          </cell>
        </row>
        <row r="291">
          <cell r="C291" t="str">
            <v>ST10100050</v>
          </cell>
          <cell r="D291">
            <v>287</v>
          </cell>
          <cell r="E291" t="str">
            <v>Controlador de área, compatível com CET-RIO/CTA.</v>
          </cell>
          <cell r="F291" t="str">
            <v xml:space="preserve"> un</v>
          </cell>
          <cell r="G291">
            <v>53682.42</v>
          </cell>
          <cell r="H291">
            <v>1</v>
          </cell>
        </row>
        <row r="292">
          <cell r="C292" t="str">
            <v>ST10100450</v>
          </cell>
          <cell r="D292">
            <v>288</v>
          </cell>
          <cell r="E292" t="str">
            <v>Controlador eletrônico de tráfego local, 4 fases.</v>
          </cell>
          <cell r="F292" t="str">
            <v xml:space="preserve"> un</v>
          </cell>
          <cell r="G292">
            <v>8268.98</v>
          </cell>
          <cell r="H292">
            <v>2</v>
          </cell>
        </row>
        <row r="293">
          <cell r="C293" t="str">
            <v>ST10100500</v>
          </cell>
          <cell r="D293">
            <v>289</v>
          </cell>
          <cell r="E293" t="str">
            <v>Controlador eletrônico de tráfego local, 6 fases.</v>
          </cell>
          <cell r="F293" t="str">
            <v xml:space="preserve"> un</v>
          </cell>
          <cell r="G293">
            <v>9048.98</v>
          </cell>
          <cell r="H293">
            <v>1</v>
          </cell>
        </row>
        <row r="294">
          <cell r="C294" t="str">
            <v>ST10100550</v>
          </cell>
          <cell r="D294">
            <v>290</v>
          </cell>
          <cell r="E294" t="str">
            <v>Controlador eletrônico de tráfego local, 8 fases.</v>
          </cell>
          <cell r="F294" t="str">
            <v xml:space="preserve"> un</v>
          </cell>
          <cell r="G294">
            <v>9828.98</v>
          </cell>
          <cell r="H294">
            <v>1</v>
          </cell>
        </row>
        <row r="295">
          <cell r="C295" t="str">
            <v>ST10100600</v>
          </cell>
          <cell r="D295">
            <v>291</v>
          </cell>
          <cell r="E295" t="str">
            <v>Controlador eletrônico de tráfego local, 10 fases.</v>
          </cell>
          <cell r="F295" t="str">
            <v xml:space="preserve"> un</v>
          </cell>
          <cell r="G295">
            <v>15372.94</v>
          </cell>
          <cell r="H295">
            <v>1</v>
          </cell>
        </row>
        <row r="296">
          <cell r="C296" t="str">
            <v>ST10100650</v>
          </cell>
          <cell r="D296">
            <v>292</v>
          </cell>
          <cell r="E296" t="str">
            <v>Controlador eletrônico de tráfego local, 12 fases.</v>
          </cell>
          <cell r="F296" t="str">
            <v xml:space="preserve"> un</v>
          </cell>
          <cell r="G296">
            <v>16152.94</v>
          </cell>
          <cell r="H296">
            <v>2</v>
          </cell>
        </row>
        <row r="297">
          <cell r="C297" t="str">
            <v>ST10150300</v>
          </cell>
          <cell r="D297">
            <v>293</v>
          </cell>
          <cell r="E297" t="str">
            <v>Conjunto semafórico para pedestre.</v>
          </cell>
          <cell r="F297" t="str">
            <v xml:space="preserve"> un</v>
          </cell>
          <cell r="G297">
            <v>1779.7</v>
          </cell>
          <cell r="H297">
            <v>20</v>
          </cell>
        </row>
        <row r="298">
          <cell r="C298" t="str">
            <v>ST25100150</v>
          </cell>
          <cell r="D298">
            <v>294</v>
          </cell>
          <cell r="E298" t="str">
            <v>Fornecimento de cabo comunicação de CTP-APL-50.</v>
          </cell>
          <cell r="F298" t="str">
            <v>m</v>
          </cell>
          <cell r="G298">
            <v>2.64</v>
          </cell>
          <cell r="H298">
            <v>220</v>
          </cell>
        </row>
        <row r="299">
          <cell r="C299" t="str">
            <v>ST25100300</v>
          </cell>
          <cell r="D299">
            <v>295</v>
          </cell>
          <cell r="E299" t="str">
            <v>Fornecimento de cabo comunicação de cobre, 0,65mm2.</v>
          </cell>
          <cell r="F299" t="str">
            <v>m</v>
          </cell>
          <cell r="G299">
            <v>0.97</v>
          </cell>
          <cell r="H299">
            <v>1215</v>
          </cell>
        </row>
        <row r="300">
          <cell r="C300" t="str">
            <v>ST25100400</v>
          </cell>
          <cell r="D300">
            <v>296</v>
          </cell>
          <cell r="E300" t="str">
            <v xml:space="preserve">Fornecimento de fio telefônico FE-100, ø de 1mm2.      </v>
          </cell>
          <cell r="F300" t="str">
            <v>m</v>
          </cell>
          <cell r="G300">
            <v>0.57999999999999996</v>
          </cell>
          <cell r="H300">
            <v>4618</v>
          </cell>
        </row>
        <row r="301">
          <cell r="C301" t="str">
            <v>ST25150050</v>
          </cell>
          <cell r="D301">
            <v>297</v>
          </cell>
          <cell r="E301" t="str">
            <v>Cabo de fibra ótico, monomodo, geleado.</v>
          </cell>
          <cell r="F301" t="str">
            <v>m</v>
          </cell>
          <cell r="G301">
            <v>3.99</v>
          </cell>
          <cell r="H301">
            <v>972</v>
          </cell>
        </row>
        <row r="302">
          <cell r="C302" t="str">
            <v>ST05050150</v>
          </cell>
          <cell r="D302">
            <v>298</v>
          </cell>
          <cell r="E302" t="str">
            <v>Laminado elastoplástico em faixas, colorido.</v>
          </cell>
          <cell r="F302" t="str">
            <v>m2</v>
          </cell>
          <cell r="G302">
            <v>67.95</v>
          </cell>
          <cell r="H302">
            <v>254</v>
          </cell>
        </row>
        <row r="303">
          <cell r="C303" t="str">
            <v>ST05050250</v>
          </cell>
          <cell r="D303">
            <v>299</v>
          </cell>
          <cell r="E303" t="str">
            <v>Laminado elastoplástico em faixas, cor branca.</v>
          </cell>
          <cell r="F303" t="str">
            <v>m2</v>
          </cell>
          <cell r="G303">
            <v>60.65</v>
          </cell>
          <cell r="H303">
            <v>254</v>
          </cell>
        </row>
        <row r="304">
          <cell r="C304" t="str">
            <v>ST10050050A</v>
          </cell>
          <cell r="D304">
            <v>300</v>
          </cell>
          <cell r="E304" t="str">
            <v>Cabo de cobre estanhado, seção de 7x2,5mm2.</v>
          </cell>
          <cell r="F304" t="str">
            <v>m</v>
          </cell>
          <cell r="G304">
            <v>4.8499999999999996</v>
          </cell>
          <cell r="H304">
            <v>1000</v>
          </cell>
        </row>
        <row r="305">
          <cell r="C305" t="str">
            <v>ST10050100A</v>
          </cell>
          <cell r="D305">
            <v>301</v>
          </cell>
          <cell r="E305" t="str">
            <v>Cabo de cobre estanhado, seção de 4x6mm2.</v>
          </cell>
          <cell r="F305" t="str">
            <v>m</v>
          </cell>
          <cell r="G305">
            <v>5.64</v>
          </cell>
          <cell r="H305">
            <v>400</v>
          </cell>
        </row>
        <row r="306">
          <cell r="C306" t="str">
            <v>ST10050150A</v>
          </cell>
          <cell r="D306">
            <v>302</v>
          </cell>
          <cell r="E306" t="str">
            <v>Cabo de cobre estanhado, seção de 4x10mm2.</v>
          </cell>
          <cell r="F306" t="str">
            <v>m</v>
          </cell>
          <cell r="G306">
            <v>8.77</v>
          </cell>
          <cell r="H306">
            <v>240</v>
          </cell>
        </row>
        <row r="307">
          <cell r="C307" t="str">
            <v>ST10050250A</v>
          </cell>
          <cell r="D307">
            <v>303</v>
          </cell>
          <cell r="E307" t="str">
            <v>Caixa com tampa de ferro leve 300L-400mm,CET-RIO.</v>
          </cell>
          <cell r="F307" t="str">
            <v>un</v>
          </cell>
          <cell r="G307">
            <v>72.06</v>
          </cell>
          <cell r="H307">
            <v>48</v>
          </cell>
        </row>
        <row r="308">
          <cell r="C308" t="str">
            <v>ST10200150A</v>
          </cell>
          <cell r="D308">
            <v>304</v>
          </cell>
          <cell r="E308" t="str">
            <v xml:space="preserve">Base de concreto armado para controlador de tráfego.  </v>
          </cell>
          <cell r="F308" t="str">
            <v>un</v>
          </cell>
          <cell r="G308">
            <v>49.39</v>
          </cell>
          <cell r="H308">
            <v>4</v>
          </cell>
        </row>
        <row r="309">
          <cell r="C309" t="str">
            <v>ST10200250A</v>
          </cell>
          <cell r="D309">
            <v>305</v>
          </cell>
          <cell r="E309" t="str">
            <v xml:space="preserve">Instalação, programação de controlador de tráfego.    </v>
          </cell>
          <cell r="F309" t="str">
            <v>un</v>
          </cell>
          <cell r="G309">
            <v>159.88</v>
          </cell>
          <cell r="H309">
            <v>4</v>
          </cell>
        </row>
        <row r="310">
          <cell r="C310" t="str">
            <v>ST10200300</v>
          </cell>
          <cell r="D310">
            <v>306</v>
          </cell>
          <cell r="E310" t="str">
            <v>Serviços de instalação de laços indutivos.</v>
          </cell>
          <cell r="F310" t="str">
            <v>un</v>
          </cell>
          <cell r="G310">
            <v>680</v>
          </cell>
          <cell r="H310">
            <v>7</v>
          </cell>
        </row>
        <row r="311">
          <cell r="C311" t="str">
            <v>ST15100200</v>
          </cell>
          <cell r="D311">
            <v>307</v>
          </cell>
          <cell r="E311" t="str">
            <v>Poste tipo G9, simples, de 2" de diâmetro.</v>
          </cell>
          <cell r="F311" t="str">
            <v>un</v>
          </cell>
          <cell r="G311">
            <v>163.80000000000001</v>
          </cell>
          <cell r="H311">
            <v>70</v>
          </cell>
        </row>
        <row r="312">
          <cell r="C312" t="str">
            <v>ST15100250</v>
          </cell>
          <cell r="D312">
            <v>308</v>
          </cell>
          <cell r="E312" t="str">
            <v>Poste tipo S5, simples, de 4" de diâmetro.</v>
          </cell>
          <cell r="F312" t="str">
            <v>un</v>
          </cell>
          <cell r="G312">
            <v>496.65</v>
          </cell>
          <cell r="H312">
            <v>19</v>
          </cell>
        </row>
        <row r="313">
          <cell r="C313" t="str">
            <v>ST15100350</v>
          </cell>
          <cell r="D313">
            <v>309</v>
          </cell>
          <cell r="E313" t="str">
            <v>Poste tipo G2 ou S2, coluna de 4 1/2" de diâmetro.</v>
          </cell>
          <cell r="F313" t="str">
            <v>un</v>
          </cell>
          <cell r="G313">
            <v>1234.8</v>
          </cell>
          <cell r="H313">
            <v>14</v>
          </cell>
        </row>
        <row r="314">
          <cell r="C314" t="str">
            <v>ST15100400</v>
          </cell>
          <cell r="D314">
            <v>310</v>
          </cell>
          <cell r="E314" t="str">
            <v>Poste tipo G1 ou S1, coluna de 4 1/2" de diâmetro.</v>
          </cell>
          <cell r="F314" t="str">
            <v>un</v>
          </cell>
          <cell r="G314">
            <v>1342.95</v>
          </cell>
          <cell r="H314">
            <v>15</v>
          </cell>
        </row>
        <row r="315">
          <cell r="C315" t="str">
            <v>ST25050300A</v>
          </cell>
          <cell r="D315">
            <v>311</v>
          </cell>
          <cell r="E315" t="str">
            <v>Instalação subterrânea de cabos de comunicação.</v>
          </cell>
          <cell r="F315" t="str">
            <v>m</v>
          </cell>
          <cell r="G315">
            <v>2.12</v>
          </cell>
          <cell r="H315">
            <v>5700</v>
          </cell>
        </row>
        <row r="316">
          <cell r="C316" t="str">
            <v>ST45150050</v>
          </cell>
          <cell r="D316">
            <v>312</v>
          </cell>
          <cell r="E316" t="str">
            <v>Caixa com tampa de ferro,leve 600L-600mmCET-RIO.</v>
          </cell>
          <cell r="F316" t="str">
            <v>un</v>
          </cell>
          <cell r="G316">
            <v>265.45</v>
          </cell>
          <cell r="H316">
            <v>55</v>
          </cell>
        </row>
        <row r="317">
          <cell r="C317" t="str">
            <v>ST45200050</v>
          </cell>
          <cell r="D317">
            <v>313</v>
          </cell>
          <cell r="E317" t="str">
            <v>Cabo de cobre estanhado, comando,XLPE 9x1,5mm2.</v>
          </cell>
          <cell r="F317" t="str">
            <v>m</v>
          </cell>
          <cell r="G317">
            <v>4.34</v>
          </cell>
          <cell r="H317">
            <v>1800</v>
          </cell>
        </row>
        <row r="318">
          <cell r="C318" t="str">
            <v>ST45200200</v>
          </cell>
          <cell r="D318">
            <v>314</v>
          </cell>
          <cell r="E318" t="str">
            <v xml:space="preserve">Instalação e teste de blocos semafóricos.  </v>
          </cell>
          <cell r="F318" t="str">
            <v>un</v>
          </cell>
          <cell r="G318">
            <v>54.85</v>
          </cell>
          <cell r="H318">
            <v>58</v>
          </cell>
        </row>
        <row r="320">
          <cell r="C320" t="str">
            <v>NOVOS</v>
          </cell>
        </row>
        <row r="321">
          <cell r="C321" t="str">
            <v>AD20150050/</v>
          </cell>
          <cell r="D321" t="str">
            <v>FGV</v>
          </cell>
          <cell r="E321" t="str">
            <v>Container para escritorio.</v>
          </cell>
          <cell r="F321" t="str">
            <v>un.mes</v>
          </cell>
          <cell r="G321">
            <v>494.18</v>
          </cell>
        </row>
        <row r="322">
          <cell r="C322" t="str">
            <v>AD20150150/</v>
          </cell>
          <cell r="D322" t="str">
            <v>FGV</v>
          </cell>
          <cell r="E322" t="str">
            <v>Container para WC.</v>
          </cell>
          <cell r="F322" t="str">
            <v>un.mes</v>
          </cell>
          <cell r="G322">
            <v>511.48</v>
          </cell>
        </row>
        <row r="323">
          <cell r="C323" t="str">
            <v>AD25050450/</v>
          </cell>
          <cell r="D323" t="str">
            <v>FGV</v>
          </cell>
          <cell r="E323" t="str">
            <v>Aluguel de rolo de tela plastica na cor laranja.</v>
          </cell>
          <cell r="F323" t="str">
            <v>m.mes</v>
          </cell>
          <cell r="G323">
            <v>1.79</v>
          </cell>
        </row>
        <row r="324">
          <cell r="C324" t="str">
            <v>AD40050050/</v>
          </cell>
          <cell r="D324" t="str">
            <v>FGV</v>
          </cell>
          <cell r="E324" t="str">
            <v>Ajudante (inclusive encargos sociais).</v>
          </cell>
          <cell r="F324" t="str">
            <v>h</v>
          </cell>
          <cell r="G324">
            <v>4.5599999999999996</v>
          </cell>
        </row>
        <row r="325">
          <cell r="C325" t="str">
            <v>AD40050128/</v>
          </cell>
          <cell r="D325" t="str">
            <v>FGV</v>
          </cell>
          <cell r="E325" t="str">
            <v>Engenheiro coordenador geral de projetos.</v>
          </cell>
          <cell r="F325" t="str">
            <v>h</v>
          </cell>
          <cell r="G325">
            <v>43.69</v>
          </cell>
        </row>
        <row r="326">
          <cell r="C326" t="str">
            <v>AD40050152/</v>
          </cell>
          <cell r="D326" t="str">
            <v>FGV</v>
          </cell>
          <cell r="E326" t="str">
            <v>Mestre de obra A (inclusive encargos sociais).</v>
          </cell>
          <cell r="F326" t="str">
            <v>h</v>
          </cell>
          <cell r="G326">
            <v>15.91</v>
          </cell>
        </row>
        <row r="327">
          <cell r="C327" t="str">
            <v>AD40050170/</v>
          </cell>
          <cell r="D327" t="str">
            <v>FGV</v>
          </cell>
          <cell r="E327" t="str">
            <v>Motorista de veiculo leve(inclusive encargos sociais).</v>
          </cell>
          <cell r="F327" t="str">
            <v>h</v>
          </cell>
          <cell r="G327">
            <v>4.99</v>
          </cell>
        </row>
        <row r="328">
          <cell r="C328" t="str">
            <v>AL05250450/</v>
          </cell>
          <cell r="D328" t="str">
            <v>FGV</v>
          </cell>
          <cell r="E328" t="str">
            <v>Alvenaria de blocos de concreto (20x20x40)cm.</v>
          </cell>
          <cell r="F328" t="str">
            <v>m2</v>
          </cell>
          <cell r="G328">
            <v>32.409999999999997</v>
          </cell>
        </row>
        <row r="329">
          <cell r="C329" t="str">
            <v>BP05050350</v>
          </cell>
          <cell r="D329" t="str">
            <v>FGV</v>
          </cell>
          <cell r="E329" t="str">
            <v>Execucao de pavimentacao de saibro arenoso.</v>
          </cell>
          <cell r="F329" t="str">
            <v>m2</v>
          </cell>
          <cell r="G329">
            <v>4.3499999999999996</v>
          </cell>
        </row>
        <row r="330">
          <cell r="C330" t="str">
            <v>BP10050653A</v>
          </cell>
          <cell r="D330" t="str">
            <v>FGV</v>
          </cell>
          <cell r="E330" t="str">
            <v>Revestimento de CBUQ, com 5cm de espessura.</v>
          </cell>
          <cell r="F330" t="str">
            <v>m2</v>
          </cell>
          <cell r="G330">
            <v>12.77</v>
          </cell>
        </row>
        <row r="331">
          <cell r="C331" t="str">
            <v>BP10250303/</v>
          </cell>
          <cell r="D331" t="str">
            <v>FGV</v>
          </cell>
          <cell r="E331" t="str">
            <v>Pavimentacao com paralelepipedos, colchao de pó.</v>
          </cell>
          <cell r="F331" t="str">
            <v>m2</v>
          </cell>
          <cell r="G331">
            <v>34.6</v>
          </cell>
        </row>
        <row r="332">
          <cell r="C332" t="str">
            <v>BP20200053/</v>
          </cell>
          <cell r="D332" t="str">
            <v>FGV</v>
          </cell>
          <cell r="E332" t="str">
            <v>Meio-fio de concreto pre-moldado altura de 0,45m.</v>
          </cell>
          <cell r="F332" t="str">
            <v>m</v>
          </cell>
          <cell r="G332">
            <v>21.71</v>
          </cell>
        </row>
        <row r="333">
          <cell r="C333" t="str">
            <v>CE05050050/</v>
          </cell>
          <cell r="D333" t="str">
            <v>FGV</v>
          </cell>
          <cell r="E333" t="str">
            <v>Prestacao de servicos de engenharia.</v>
          </cell>
          <cell r="F333" t="str">
            <v>hh</v>
          </cell>
          <cell r="G333">
            <v>39.4</v>
          </cell>
        </row>
        <row r="334">
          <cell r="C334" t="str">
            <v>DR30200050/</v>
          </cell>
          <cell r="D334" t="str">
            <v>FGV</v>
          </cell>
          <cell r="E334" t="str">
            <v>Caixa de inspecao de esgoto, 0,70m de profundidade.</v>
          </cell>
          <cell r="F334" t="str">
            <v>un</v>
          </cell>
          <cell r="G334">
            <v>245.86</v>
          </cell>
        </row>
        <row r="335">
          <cell r="C335" t="str">
            <v>DR35050053/</v>
          </cell>
          <cell r="D335" t="str">
            <v>FGV</v>
          </cell>
          <cell r="E335" t="str">
            <v>Tampao de ferro fundido leve ø0,60m padrao RIOLUZ.</v>
          </cell>
          <cell r="F335" t="str">
            <v xml:space="preserve">un  </v>
          </cell>
          <cell r="G335">
            <v>206.59</v>
          </cell>
        </row>
        <row r="336">
          <cell r="C336" t="str">
            <v>DR55050050/</v>
          </cell>
          <cell r="D336" t="str">
            <v>FGV</v>
          </cell>
          <cell r="E336" t="str">
            <v>Camada horizontal de brita.</v>
          </cell>
          <cell r="F336" t="str">
            <v>m3</v>
          </cell>
          <cell r="G336">
            <v>41.32</v>
          </cell>
        </row>
        <row r="337">
          <cell r="C337" t="str">
            <v>EQ45050150/</v>
          </cell>
          <cell r="D337" t="str">
            <v>FGV</v>
          </cell>
          <cell r="E337" t="str">
            <v>Compressor de ar. Aluguel produtivo.</v>
          </cell>
          <cell r="F337" t="str">
            <v>h</v>
          </cell>
          <cell r="G337">
            <v>26.28</v>
          </cell>
        </row>
        <row r="338">
          <cell r="C338" t="str">
            <v>ET05600050/</v>
          </cell>
          <cell r="D338" t="str">
            <v>FGV</v>
          </cell>
          <cell r="E338" t="str">
            <v>Concreto armado de 15MPa.</v>
          </cell>
          <cell r="F338" t="str">
            <v>m3</v>
          </cell>
          <cell r="G338">
            <v>700.29</v>
          </cell>
        </row>
        <row r="339">
          <cell r="C339" t="str">
            <v>ET40050121/</v>
          </cell>
          <cell r="D339" t="str">
            <v>FGV</v>
          </cell>
          <cell r="E339" t="str">
            <v>Tela de aco Telcon com malha de (10x10)cm.</v>
          </cell>
          <cell r="F339" t="str">
            <v>m2</v>
          </cell>
          <cell r="G339">
            <v>24.52</v>
          </cell>
        </row>
        <row r="340">
          <cell r="C340" t="str">
            <v>ET60050053/</v>
          </cell>
          <cell r="D340" t="str">
            <v>FGV</v>
          </cell>
          <cell r="E340" t="str">
            <v>Concreto usinado 11MPa.</v>
          </cell>
          <cell r="F340" t="str">
            <v>m3</v>
          </cell>
          <cell r="G340">
            <v>166.68</v>
          </cell>
        </row>
        <row r="341">
          <cell r="C341" t="str">
            <v>ET60050068/</v>
          </cell>
          <cell r="D341" t="str">
            <v>FGV</v>
          </cell>
          <cell r="E341" t="str">
            <v>Concreto usinado 22,5MPa.</v>
          </cell>
          <cell r="F341" t="str">
            <v>m3</v>
          </cell>
          <cell r="G341">
            <v>209.87</v>
          </cell>
        </row>
        <row r="342">
          <cell r="C342" t="str">
            <v>ET60050100/</v>
          </cell>
          <cell r="D342" t="str">
            <v>FGV</v>
          </cell>
          <cell r="E342" t="str">
            <v>Concreto usinado 40Mpa.</v>
          </cell>
          <cell r="F342" t="str">
            <v>m3</v>
          </cell>
          <cell r="G342">
            <v>274.33999999999997</v>
          </cell>
        </row>
        <row r="343">
          <cell r="C343" t="str">
            <v>IP05100400/</v>
          </cell>
          <cell r="D343" t="str">
            <v>FGV</v>
          </cell>
          <cell r="E343" t="str">
            <v>Poste Multi-Uso de aco, reto, cilindrico de 5,60m.</v>
          </cell>
          <cell r="F343" t="str">
            <v>par</v>
          </cell>
          <cell r="G343">
            <v>1366</v>
          </cell>
        </row>
        <row r="344">
          <cell r="C344" t="str">
            <v>IP05100850/</v>
          </cell>
          <cell r="D344" t="str">
            <v>FGV</v>
          </cell>
          <cell r="E344" t="str">
            <v>Poste Multi-Uso de aco, reto, cilindrico de 9,5m.</v>
          </cell>
          <cell r="F344" t="str">
            <v>un</v>
          </cell>
          <cell r="G344">
            <v>2656.14</v>
          </cell>
        </row>
        <row r="345">
          <cell r="C345" t="str">
            <v>IP05250150/</v>
          </cell>
          <cell r="D345" t="str">
            <v>FGV</v>
          </cell>
          <cell r="E345" t="str">
            <v>Poste de aco, reto, de 4,50m ate 6m. Assentamento.</v>
          </cell>
          <cell r="F345" t="str">
            <v>un</v>
          </cell>
          <cell r="G345">
            <v>53.59</v>
          </cell>
        </row>
        <row r="346">
          <cell r="C346" t="str">
            <v>IP05250200/</v>
          </cell>
          <cell r="D346" t="str">
            <v>FGV</v>
          </cell>
          <cell r="E346" t="str">
            <v>Poste de aco, reto, de 7m ate 12m. Assentamento.</v>
          </cell>
          <cell r="F346" t="str">
            <v>un</v>
          </cell>
          <cell r="G346">
            <v>108.83</v>
          </cell>
        </row>
        <row r="347">
          <cell r="C347" t="str">
            <v>IP05500050/</v>
          </cell>
          <cell r="D347" t="str">
            <v>FGV</v>
          </cell>
          <cell r="E347" t="str">
            <v>Braco para luminaria de 0,39m.</v>
          </cell>
          <cell r="F347" t="str">
            <v>par</v>
          </cell>
          <cell r="G347">
            <v>63</v>
          </cell>
        </row>
        <row r="348">
          <cell r="C348" t="str">
            <v>IP05500250/</v>
          </cell>
          <cell r="D348" t="str">
            <v>FGV</v>
          </cell>
          <cell r="E348" t="str">
            <v>Braco para luminaria de 1,35m.</v>
          </cell>
          <cell r="F348" t="str">
            <v>par</v>
          </cell>
          <cell r="G348">
            <v>115</v>
          </cell>
        </row>
        <row r="349">
          <cell r="C349" t="str">
            <v>IP05550050/</v>
          </cell>
          <cell r="D349" t="str">
            <v>FGV</v>
          </cell>
          <cell r="E349" t="str">
            <v>Braco, padrao RIOLUZ.  Colocacao.</v>
          </cell>
          <cell r="F349" t="str">
            <v>un</v>
          </cell>
          <cell r="G349">
            <v>9.76</v>
          </cell>
        </row>
        <row r="350">
          <cell r="C350" t="str">
            <v>IP05600050/</v>
          </cell>
          <cell r="D350" t="str">
            <v>FGV</v>
          </cell>
          <cell r="E350" t="str">
            <v>Pintura de braco com 2 demaos de tinta Aluminac.</v>
          </cell>
          <cell r="F350" t="str">
            <v>un</v>
          </cell>
          <cell r="G350">
            <v>12.29</v>
          </cell>
        </row>
        <row r="351">
          <cell r="C351" t="str">
            <v>IP05600103/</v>
          </cell>
          <cell r="D351" t="str">
            <v>FGV</v>
          </cell>
          <cell r="E351" t="str">
            <v>Pintura de poste de aco, reto, de 4,5m ate 6m.</v>
          </cell>
          <cell r="F351" t="str">
            <v>un</v>
          </cell>
          <cell r="G351">
            <v>14.73</v>
          </cell>
        </row>
        <row r="352">
          <cell r="C352" t="str">
            <v>IP05600109/</v>
          </cell>
          <cell r="D352" t="str">
            <v>FGV</v>
          </cell>
          <cell r="E352" t="str">
            <v>Pintura de poste de aco reto, de 10m ate 15m.</v>
          </cell>
          <cell r="F352" t="str">
            <v>un</v>
          </cell>
          <cell r="G352">
            <v>54.04</v>
          </cell>
        </row>
        <row r="353">
          <cell r="C353" t="str">
            <v>IP25100025/</v>
          </cell>
          <cell r="D353" t="str">
            <v>FGV</v>
          </cell>
          <cell r="E353" t="str">
            <v>Caixa Hand-Hole, padrao RIOLUZ, (0,30x0,30)m.</v>
          </cell>
          <cell r="F353" t="str">
            <v xml:space="preserve">un  </v>
          </cell>
          <cell r="G353">
            <v>26.29</v>
          </cell>
        </row>
        <row r="354">
          <cell r="C354" t="str">
            <v>IP25200050/</v>
          </cell>
          <cell r="D354" t="str">
            <v>FGV</v>
          </cell>
          <cell r="E354" t="str">
            <v>Tampao de ferro tipo leve padrao RIOLUZ.</v>
          </cell>
          <cell r="F354" t="str">
            <v>un</v>
          </cell>
          <cell r="G354">
            <v>188.93</v>
          </cell>
        </row>
        <row r="355">
          <cell r="C355" t="str">
            <v>IP45050250/</v>
          </cell>
          <cell r="D355" t="str">
            <v>FGV</v>
          </cell>
          <cell r="E355" t="str">
            <v>Rele fotoeletrico, tipo NA, tensao de 127V, 1200VA.</v>
          </cell>
          <cell r="F355" t="str">
            <v>un</v>
          </cell>
          <cell r="G355">
            <v>11.85</v>
          </cell>
        </row>
        <row r="356">
          <cell r="C356" t="str">
            <v>IP50050059/</v>
          </cell>
          <cell r="D356" t="str">
            <v>FGV</v>
          </cell>
          <cell r="E356" t="str">
            <v>Luminaria LRJ-25 para lampada de 70W ovoide.</v>
          </cell>
          <cell r="F356" t="str">
            <v>un</v>
          </cell>
          <cell r="G356">
            <v>305.18</v>
          </cell>
        </row>
        <row r="357">
          <cell r="C357" t="str">
            <v>IP50050250/</v>
          </cell>
          <cell r="D357" t="str">
            <v>FGV</v>
          </cell>
          <cell r="E357" t="str">
            <v>Luminaria LRJ-24 para lampada de 250W tubular.</v>
          </cell>
          <cell r="F357" t="str">
            <v>un</v>
          </cell>
          <cell r="G357">
            <v>361.15</v>
          </cell>
        </row>
        <row r="358">
          <cell r="C358" t="str">
            <v>IP50200106/</v>
          </cell>
          <cell r="D358" t="str">
            <v>FGV</v>
          </cell>
          <cell r="E358" t="str">
            <v>Nucleo simples para luminarias LRJ-09/16/25.</v>
          </cell>
          <cell r="F358" t="str">
            <v>un</v>
          </cell>
          <cell r="G358">
            <v>40</v>
          </cell>
        </row>
        <row r="359">
          <cell r="C359" t="str">
            <v>IP50200150/</v>
          </cell>
          <cell r="D359" t="str">
            <v>FGV</v>
          </cell>
          <cell r="E359" t="str">
            <v>Nucleo duplo para luminarias LRJ-01/17/23/24/30/31.</v>
          </cell>
          <cell r="F359" t="str">
            <v>un</v>
          </cell>
          <cell r="G359">
            <v>67</v>
          </cell>
        </row>
        <row r="360">
          <cell r="C360" t="str">
            <v>IP50250421/</v>
          </cell>
          <cell r="D360" t="str">
            <v>FGV</v>
          </cell>
          <cell r="E360" t="str">
            <v>Lampada de multivapor metalica (MVM) de 250W.</v>
          </cell>
          <cell r="F360" t="str">
            <v>un</v>
          </cell>
          <cell r="G360">
            <v>83.9</v>
          </cell>
        </row>
        <row r="361">
          <cell r="C361" t="str">
            <v>IP50400103/</v>
          </cell>
          <cell r="D361" t="str">
            <v>FGV</v>
          </cell>
          <cell r="E361" t="str">
            <v>Luminaria fechada com lampada de descarga.</v>
          </cell>
          <cell r="F361" t="str">
            <v>un</v>
          </cell>
          <cell r="G361">
            <v>9.76</v>
          </cell>
        </row>
        <row r="362">
          <cell r="C362" t="str">
            <v>IP55150100/</v>
          </cell>
          <cell r="D362" t="str">
            <v>FGV</v>
          </cell>
          <cell r="E362" t="str">
            <v>Chumbador para fixacao de poste de aco.</v>
          </cell>
          <cell r="F362" t="str">
            <v>un</v>
          </cell>
          <cell r="G362">
            <v>27.89</v>
          </cell>
        </row>
        <row r="363">
          <cell r="C363" t="str">
            <v>IT10400050/</v>
          </cell>
          <cell r="D363" t="str">
            <v>FGV</v>
          </cell>
          <cell r="E363" t="str">
            <v>Ligacao domiciliar de agua.</v>
          </cell>
          <cell r="F363" t="str">
            <v>un</v>
          </cell>
          <cell r="G363">
            <v>96.69</v>
          </cell>
        </row>
        <row r="364">
          <cell r="C364" t="str">
            <v>IT25100121/</v>
          </cell>
          <cell r="D364" t="str">
            <v>FGV</v>
          </cell>
          <cell r="E364" t="str">
            <v>Kanalex diametro de 125mm (5" ).</v>
          </cell>
          <cell r="F364" t="str">
            <v>m</v>
          </cell>
          <cell r="G364">
            <v>10.89</v>
          </cell>
        </row>
        <row r="365">
          <cell r="C365" t="str">
            <v>IT15600100/</v>
          </cell>
          <cell r="D365" t="str">
            <v>FGV</v>
          </cell>
          <cell r="E365" t="str">
            <v>Ligacao de esgoto sanitario, em manilha de 100mm.</v>
          </cell>
          <cell r="F365" t="str">
            <v>un</v>
          </cell>
          <cell r="G365">
            <v>344.53</v>
          </cell>
        </row>
        <row r="366">
          <cell r="C366" t="str">
            <v>MT05100100/</v>
          </cell>
          <cell r="D366" t="str">
            <v>FGV</v>
          </cell>
          <cell r="E366" t="str">
            <v>Escavacao manual de vala a frio.</v>
          </cell>
          <cell r="F366" t="str">
            <v>m3</v>
          </cell>
          <cell r="G366">
            <v>22.26</v>
          </cell>
        </row>
        <row r="367">
          <cell r="C367" t="str">
            <v>MT05150050/</v>
          </cell>
          <cell r="D367" t="str">
            <v>FGV</v>
          </cell>
          <cell r="E367" t="str">
            <v>Escavacao manual de vala em lodo, ate 1,50m.</v>
          </cell>
          <cell r="F367" t="str">
            <v>m3</v>
          </cell>
          <cell r="G367">
            <v>24.36</v>
          </cell>
        </row>
        <row r="368">
          <cell r="C368" t="str">
            <v>RV10050215/</v>
          </cell>
          <cell r="D368" t="str">
            <v>FGV</v>
          </cell>
          <cell r="E368" t="str">
            <v>Revestimento externo, de 1 vez.</v>
          </cell>
          <cell r="F368" t="str">
            <v>m2</v>
          </cell>
          <cell r="G368">
            <v>17.29</v>
          </cell>
        </row>
        <row r="369">
          <cell r="C369" t="str">
            <v>RV15950053</v>
          </cell>
          <cell r="D369" t="str">
            <v>FGV</v>
          </cell>
          <cell r="E369" t="str">
            <v>Piso de alerta em placas marmorizadas, cor vermelha.</v>
          </cell>
          <cell r="F369" t="str">
            <v>m2</v>
          </cell>
          <cell r="G369">
            <v>55.17</v>
          </cell>
        </row>
        <row r="370">
          <cell r="C370" t="str">
            <v>SC05100350/</v>
          </cell>
          <cell r="D370" t="str">
            <v>FGV</v>
          </cell>
          <cell r="E370" t="str">
            <v>Demolicao com equipamento concreto asfaltico 5cm.</v>
          </cell>
          <cell r="F370" t="str">
            <v>m2</v>
          </cell>
          <cell r="G370">
            <v>5.0999999999999996</v>
          </cell>
        </row>
        <row r="371">
          <cell r="C371" t="str">
            <v>SC05100400/</v>
          </cell>
          <cell r="D371" t="str">
            <v>FGV</v>
          </cell>
          <cell r="E371" t="str">
            <v>Demolicao com equipamento concreto asfaltico 10cm.</v>
          </cell>
          <cell r="F371" t="str">
            <v>m2</v>
          </cell>
          <cell r="G371">
            <v>7.64</v>
          </cell>
        </row>
        <row r="372">
          <cell r="C372" t="str">
            <v>SC05100450/</v>
          </cell>
          <cell r="D372" t="str">
            <v>FGV</v>
          </cell>
          <cell r="E372" t="str">
            <v>Demolicao equipamento concreto asfaltico 5cm l=1,20m.</v>
          </cell>
          <cell r="F372" t="str">
            <v>m2</v>
          </cell>
          <cell r="G372">
            <v>5.99</v>
          </cell>
        </row>
        <row r="373">
          <cell r="C373" t="str">
            <v>SC10100100/</v>
          </cell>
          <cell r="D373" t="str">
            <v>FGV</v>
          </cell>
          <cell r="E373" t="str">
            <v>Operador de trafego, nivel junior.</v>
          </cell>
          <cell r="F373" t="str">
            <v>h</v>
          </cell>
          <cell r="G373">
            <v>10.1</v>
          </cell>
        </row>
        <row r="374">
          <cell r="C374" t="str">
            <v>SC35050100/</v>
          </cell>
          <cell r="D374" t="str">
            <v>FGV</v>
          </cell>
          <cell r="E374" t="str">
            <v>Levantamento ou rebaixamento de tampao, calçada.</v>
          </cell>
          <cell r="F374" t="str">
            <v>un</v>
          </cell>
          <cell r="G374">
            <v>75.849999999999994</v>
          </cell>
        </row>
        <row r="375">
          <cell r="C375" t="str">
            <v>SE20100253/</v>
          </cell>
          <cell r="D375" t="str">
            <v>FGV</v>
          </cell>
          <cell r="E375" t="str">
            <v>Levantamento topografico planialtimetrico e cadastral.</v>
          </cell>
          <cell r="F375" t="str">
            <v>ha</v>
          </cell>
          <cell r="G375">
            <v>2252.4299999999998</v>
          </cell>
        </row>
        <row r="376">
          <cell r="C376" t="str">
            <v>ST05051050/</v>
          </cell>
          <cell r="D376" t="str">
            <v>FGV</v>
          </cell>
          <cell r="E376" t="str">
            <v>Sinalizacao horizontal aplicada por aspersao.</v>
          </cell>
          <cell r="F376" t="str">
            <v>m2</v>
          </cell>
          <cell r="G376">
            <v>20.149999999999999</v>
          </cell>
        </row>
        <row r="377">
          <cell r="C377" t="str">
            <v>ST10150350/</v>
          </cell>
          <cell r="D377" t="str">
            <v>FGV</v>
          </cell>
          <cell r="E377" t="str">
            <v>Conjunto semaforico principal.</v>
          </cell>
          <cell r="F377" t="str">
            <v>un</v>
          </cell>
          <cell r="G377">
            <v>4662</v>
          </cell>
        </row>
        <row r="378">
          <cell r="C378" t="str">
            <v>ST10150400/</v>
          </cell>
          <cell r="D378" t="str">
            <v>FGV</v>
          </cell>
          <cell r="E378" t="str">
            <v>Conjunto semaforico repetidor.</v>
          </cell>
          <cell r="F378" t="str">
            <v>un</v>
          </cell>
          <cell r="G378">
            <v>2243.85</v>
          </cell>
        </row>
        <row r="379">
          <cell r="C379" t="str">
            <v>ST20100050/</v>
          </cell>
          <cell r="D379" t="str">
            <v>FGV</v>
          </cell>
          <cell r="E379" t="str">
            <v>Aluguel mensal de radio transmissor-receptor.</v>
          </cell>
          <cell r="F379" t="str">
            <v>mes</v>
          </cell>
          <cell r="G379">
            <v>70</v>
          </cell>
        </row>
        <row r="380">
          <cell r="C380" t="str">
            <v>ST45150100/</v>
          </cell>
          <cell r="D380" t="str">
            <v>FGV</v>
          </cell>
          <cell r="E380" t="str">
            <v>Caixa com tampa de ferro leve 600L-900mm,CET-RIO.</v>
          </cell>
          <cell r="F380" t="str">
            <v xml:space="preserve">un  </v>
          </cell>
          <cell r="G380">
            <v>295.7</v>
          </cell>
        </row>
        <row r="381">
          <cell r="C381" t="str">
            <v>ST15050100/</v>
          </cell>
          <cell r="D381" t="str">
            <v>FGV</v>
          </cell>
          <cell r="E381" t="str">
            <v>Portico, coluna tubular, em aco galvanizado.</v>
          </cell>
          <cell r="F381" t="str">
            <v>un</v>
          </cell>
          <cell r="G381">
            <v>35622.78</v>
          </cell>
        </row>
        <row r="382">
          <cell r="C382" t="str">
            <v>TC05100050/</v>
          </cell>
          <cell r="D382" t="str">
            <v>FGV</v>
          </cell>
          <cell r="E382" t="str">
            <v>Transporte horizontal material em carrinho de mao.</v>
          </cell>
          <cell r="F382" t="str">
            <v>t.dam</v>
          </cell>
          <cell r="G382">
            <v>1.19</v>
          </cell>
        </row>
        <row r="383">
          <cell r="C383" t="str">
            <v>TC10050050/</v>
          </cell>
          <cell r="D383" t="str">
            <v>FGV</v>
          </cell>
          <cell r="E383" t="str">
            <v>Carga e descarga manual de material.</v>
          </cell>
          <cell r="F383" t="str">
            <v>t</v>
          </cell>
          <cell r="G383">
            <v>20.36</v>
          </cell>
        </row>
        <row r="384">
          <cell r="C384" t="str">
            <v>TC10050350/</v>
          </cell>
          <cell r="D384" t="str">
            <v>FGV</v>
          </cell>
          <cell r="E384" t="str">
            <v>Carga e descarga mecanica, com Pa-Carregadeira.</v>
          </cell>
          <cell r="F384" t="str">
            <v xml:space="preserve">t </v>
          </cell>
          <cell r="G384">
            <v>0.51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PROJETISTA"/>
      <sheetName val="CRONO FISI FINAN ETA S BRAZ"/>
      <sheetName val="Q.C.I."/>
      <sheetName val="RESUMO"/>
      <sheetName val="CANTEIRO OB(1.0)"/>
      <sheetName val="GALERIA TUB(2.0)"/>
      <sheetName val="CANAL A DECANT (3.0)"/>
      <sheetName val="TB A LAV ASCENCIONAL(4.0)"/>
      <sheetName val="E ELEV LAV SUPERF(05)"/>
      <sheetName val="BARR A LAV SUP(6)"/>
      <sheetName val="Plan1"/>
      <sheetName val="FILTROS(7)"/>
      <sheetName val="CASA QUIM(8)"/>
      <sheetName val="INST ELÉT(9)"/>
      <sheetName val="REFORMA PRÉDIO ETA"/>
      <sheetName val="DECANTADORES MELHO"/>
    </sheetNames>
    <sheetDataSet>
      <sheetData sheetId="0"/>
      <sheetData sheetId="1" refreshError="1"/>
      <sheetData sheetId="2" refreshError="1"/>
      <sheetData sheetId="3" refreshError="1"/>
      <sheetData sheetId="4"/>
      <sheetData sheetId="5"/>
      <sheetData sheetId="6"/>
      <sheetData sheetId="7"/>
      <sheetData sheetId="8"/>
      <sheetData sheetId="9"/>
      <sheetData sheetId="10" refreshError="1"/>
      <sheetData sheetId="11"/>
      <sheetData sheetId="12"/>
      <sheetData sheetId="13"/>
      <sheetData sheetId="14"/>
      <sheetData sheetId="15"/>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PROJETISTA"/>
      <sheetName val="CRONO FISI FINAN ETA S BRAZ"/>
      <sheetName val="Q.C.I."/>
      <sheetName val="RESUMO"/>
      <sheetName val="CANTEIRO OB(1.0)"/>
      <sheetName val="GALERIA TUB(2.0)"/>
      <sheetName val="CANAL A DECANT (3.0)"/>
      <sheetName val="TB A LAV ASCENCIONAL(4.0)"/>
      <sheetName val="E ELEV LAV SUPERF(05)"/>
      <sheetName val="BARR A LAV SUP(6)"/>
      <sheetName val="Plan1"/>
      <sheetName val="FILTROS(7)"/>
      <sheetName val="CASA QUIM(8)"/>
      <sheetName val="INST ELÉT(9)"/>
      <sheetName val="REFORMA PRÉDIO ETA"/>
      <sheetName val="DECANTADORES MELHO"/>
    </sheetNames>
    <sheetDataSet>
      <sheetData sheetId="0"/>
      <sheetData sheetId="1" refreshError="1"/>
      <sheetData sheetId="2" refreshError="1"/>
      <sheetData sheetId="3" refreshError="1"/>
      <sheetData sheetId="4"/>
      <sheetData sheetId="5"/>
      <sheetData sheetId="6"/>
      <sheetData sheetId="7"/>
      <sheetData sheetId="8"/>
      <sheetData sheetId="9"/>
      <sheetData sheetId="10" refreshError="1"/>
      <sheetData sheetId="11"/>
      <sheetData sheetId="12"/>
      <sheetData sheetId="13"/>
      <sheetData sheetId="14"/>
      <sheetData sheetId="15"/>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olições_Volume"/>
      <sheetName val="Demolições_Área-2"/>
      <sheetName val="Acabamentos"/>
      <sheetName val="Meio-fio"/>
      <sheetName val="Ilum. pública"/>
      <sheetName val="Pavimentação"/>
      <sheetName val="Sinalização Trafego"/>
      <sheetName val="Mobiliário urbano"/>
      <sheetName val="Drenagem"/>
      <sheetName val="Redes_Ruas"/>
      <sheetName val="Infra-redes..."/>
      <sheetName val="Qtde FRG"/>
      <sheetName val="Planilha auxiliar por it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6">
          <cell r="D6" t="str">
            <v>SHOPPING</v>
          </cell>
          <cell r="E6" t="str">
            <v>GABINAL</v>
          </cell>
          <cell r="F6" t="str">
            <v>MC DONALD`S</v>
          </cell>
          <cell r="G6" t="str">
            <v>SANGRADOR</v>
          </cell>
          <cell r="H6" t="str">
            <v>SENDAS</v>
          </cell>
          <cell r="I6" t="str">
            <v>GEREMÁRIO DANTAS</v>
          </cell>
          <cell r="J6" t="str">
            <v>ENC 1</v>
          </cell>
          <cell r="K6" t="str">
            <v>TRÊS RIOS</v>
          </cell>
          <cell r="L6" t="str">
            <v>ENC 2</v>
          </cell>
          <cell r="M6" t="str">
            <v>PASSARELA</v>
          </cell>
          <cell r="N6" t="str">
            <v>ENC 3</v>
          </cell>
          <cell r="O6" t="str">
            <v>JACAREPAGUÁ</v>
          </cell>
          <cell r="Q6" t="str">
            <v>TOTAL GERAL</v>
          </cell>
        </row>
        <row r="8">
          <cell r="D8">
            <v>29</v>
          </cell>
          <cell r="E8">
            <v>35</v>
          </cell>
          <cell r="F8">
            <v>45</v>
          </cell>
          <cell r="G8">
            <v>163</v>
          </cell>
          <cell r="I8">
            <v>177</v>
          </cell>
          <cell r="J8">
            <v>101</v>
          </cell>
          <cell r="K8">
            <v>154</v>
          </cell>
          <cell r="L8">
            <v>21</v>
          </cell>
          <cell r="M8">
            <v>87</v>
          </cell>
          <cell r="N8">
            <v>89</v>
          </cell>
          <cell r="O8">
            <v>128</v>
          </cell>
          <cell r="Q8">
            <v>1029</v>
          </cell>
        </row>
        <row r="9">
          <cell r="D9">
            <v>64</v>
          </cell>
          <cell r="E9">
            <v>51</v>
          </cell>
          <cell r="F9">
            <v>94</v>
          </cell>
          <cell r="I9">
            <v>43</v>
          </cell>
          <cell r="J9">
            <v>18</v>
          </cell>
          <cell r="K9">
            <v>50</v>
          </cell>
          <cell r="N9">
            <v>48</v>
          </cell>
          <cell r="Q9">
            <v>368</v>
          </cell>
        </row>
        <row r="10">
          <cell r="D10">
            <v>22</v>
          </cell>
          <cell r="N10">
            <v>25</v>
          </cell>
          <cell r="Q10">
            <v>47</v>
          </cell>
        </row>
        <row r="11">
          <cell r="D11">
            <v>13</v>
          </cell>
          <cell r="E11">
            <v>150</v>
          </cell>
          <cell r="K11">
            <v>144</v>
          </cell>
          <cell r="N11">
            <v>60</v>
          </cell>
          <cell r="Q11">
            <v>367</v>
          </cell>
        </row>
        <row r="12">
          <cell r="N12">
            <v>52</v>
          </cell>
          <cell r="Q12">
            <v>52</v>
          </cell>
        </row>
        <row r="13">
          <cell r="D13">
            <v>142</v>
          </cell>
          <cell r="K13">
            <v>120</v>
          </cell>
          <cell r="M13">
            <v>138</v>
          </cell>
          <cell r="N13">
            <v>48</v>
          </cell>
          <cell r="Q13">
            <v>448</v>
          </cell>
        </row>
        <row r="14">
          <cell r="J14">
            <v>78</v>
          </cell>
          <cell r="K14">
            <v>150</v>
          </cell>
          <cell r="L14">
            <v>69</v>
          </cell>
          <cell r="Q14">
            <v>297</v>
          </cell>
        </row>
        <row r="15">
          <cell r="Q15">
            <v>0</v>
          </cell>
        </row>
        <row r="16">
          <cell r="I16">
            <v>3</v>
          </cell>
          <cell r="O16">
            <v>2</v>
          </cell>
          <cell r="Q16">
            <v>5</v>
          </cell>
          <cell r="R16">
            <v>26</v>
          </cell>
        </row>
        <row r="17">
          <cell r="E17">
            <v>1</v>
          </cell>
          <cell r="I17">
            <v>3</v>
          </cell>
          <cell r="O17">
            <v>1</v>
          </cell>
          <cell r="Q17">
            <v>5</v>
          </cell>
        </row>
        <row r="18">
          <cell r="D18">
            <v>1</v>
          </cell>
          <cell r="N18">
            <v>1</v>
          </cell>
          <cell r="Q18">
            <v>2</v>
          </cell>
        </row>
        <row r="19">
          <cell r="D19">
            <v>1</v>
          </cell>
          <cell r="E19">
            <v>6</v>
          </cell>
          <cell r="K19">
            <v>6</v>
          </cell>
          <cell r="N19">
            <v>1</v>
          </cell>
          <cell r="Q19">
            <v>14</v>
          </cell>
        </row>
        <row r="20">
          <cell r="N20">
            <v>2</v>
          </cell>
          <cell r="Q20">
            <v>2</v>
          </cell>
        </row>
        <row r="21">
          <cell r="D21">
            <v>4</v>
          </cell>
          <cell r="K21">
            <v>4</v>
          </cell>
          <cell r="M21">
            <v>4</v>
          </cell>
          <cell r="N21">
            <v>3</v>
          </cell>
          <cell r="Q21">
            <v>15</v>
          </cell>
        </row>
        <row r="22">
          <cell r="J22">
            <v>4</v>
          </cell>
          <cell r="K22">
            <v>5</v>
          </cell>
          <cell r="L22">
            <v>1</v>
          </cell>
          <cell r="Q22">
            <v>10</v>
          </cell>
        </row>
        <row r="23">
          <cell r="D23">
            <v>33</v>
          </cell>
          <cell r="E23">
            <v>16</v>
          </cell>
          <cell r="F23">
            <v>23</v>
          </cell>
          <cell r="G23">
            <v>9</v>
          </cell>
          <cell r="H23">
            <v>0</v>
          </cell>
          <cell r="I23">
            <v>15</v>
          </cell>
          <cell r="J23">
            <v>15</v>
          </cell>
          <cell r="K23">
            <v>63</v>
          </cell>
          <cell r="L23">
            <v>4</v>
          </cell>
          <cell r="M23">
            <v>12</v>
          </cell>
          <cell r="N23">
            <v>32</v>
          </cell>
          <cell r="O23">
            <v>10</v>
          </cell>
          <cell r="Q23">
            <v>232</v>
          </cell>
        </row>
        <row r="24">
          <cell r="D24">
            <v>6</v>
          </cell>
          <cell r="E24">
            <v>2</v>
          </cell>
          <cell r="F24">
            <v>12</v>
          </cell>
          <cell r="G24">
            <v>9</v>
          </cell>
          <cell r="I24">
            <v>5</v>
          </cell>
          <cell r="J24">
            <v>8</v>
          </cell>
          <cell r="K24">
            <v>7</v>
          </cell>
          <cell r="L24">
            <v>4</v>
          </cell>
          <cell r="M24">
            <v>12</v>
          </cell>
          <cell r="N24">
            <v>16</v>
          </cell>
          <cell r="O24">
            <v>10</v>
          </cell>
          <cell r="Q24">
            <v>91</v>
          </cell>
        </row>
        <row r="25">
          <cell r="E25">
            <v>1</v>
          </cell>
          <cell r="F25">
            <v>1</v>
          </cell>
          <cell r="I25">
            <v>5</v>
          </cell>
          <cell r="J25">
            <v>2</v>
          </cell>
          <cell r="K25">
            <v>13</v>
          </cell>
          <cell r="N25">
            <v>2</v>
          </cell>
          <cell r="Q25">
            <v>24</v>
          </cell>
        </row>
        <row r="26">
          <cell r="D26">
            <v>9</v>
          </cell>
          <cell r="E26">
            <v>4</v>
          </cell>
          <cell r="F26">
            <v>3</v>
          </cell>
          <cell r="J26">
            <v>1</v>
          </cell>
          <cell r="K26">
            <v>10</v>
          </cell>
          <cell r="N26">
            <v>4</v>
          </cell>
          <cell r="Q26">
            <v>31</v>
          </cell>
        </row>
        <row r="27">
          <cell r="F27">
            <v>2</v>
          </cell>
          <cell r="Q27">
            <v>2</v>
          </cell>
        </row>
        <row r="29">
          <cell r="G29">
            <v>270</v>
          </cell>
          <cell r="Q29">
            <v>270</v>
          </cell>
        </row>
        <row r="30">
          <cell r="Q30">
            <v>0</v>
          </cell>
        </row>
      </sheetData>
      <sheetData sheetId="9" refreshError="1"/>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Open Stub Data"/>
      <sheetName val="Personalizar demonstrativo"/>
      <sheetName val="Demonstrativo de despesas"/>
      <sheetName val="Macros"/>
      <sheetName val="ATW"/>
      <sheetName val="Travar"/>
      <sheetName val="Selecionar funcionário"/>
      <sheetName val="Intl Data Table"/>
      <sheetName val="TemplateInformation"/>
    </sheetNames>
    <sheetDataSet>
      <sheetData sheetId="0" refreshError="1"/>
      <sheetData sheetId="1" refreshError="1">
        <row r="21">
          <cell r="F21">
            <v>0.21</v>
          </cell>
          <cell r="G21" t="b">
            <v>0</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sheetName val="CRONOGRAMA"/>
      <sheetName val="BDI"/>
      <sheetName val="Planilhas aux."/>
      <sheetName val="INSUMOS"/>
      <sheetName val="PLANILHA 0S1"/>
      <sheetName val="CRONOFIFINAC OS1 VER 2"/>
      <sheetName val="CRONOFIFINAC OS2 VER 2"/>
      <sheetName val="CRONOFIFINAC OS2 SITIA"/>
      <sheetName val="PLANILHA OS2 "/>
      <sheetName val="CRONO FISICOFINAC OS3 "/>
      <sheetName val="PLANILHA OS3"/>
      <sheetName val="CRONOFIFINAC OS4"/>
      <sheetName val="PLANILHA OS4"/>
      <sheetName val="CRONOFIFINAC OS5 "/>
      <sheetName val="PLANILHA OS5"/>
      <sheetName val="CRONOFIFINAC OS7 "/>
      <sheetName val="PLANILHA OS7"/>
      <sheetName val="EQUIPAM BELEM"/>
      <sheetName val="O.S.12"/>
      <sheetName val="OS2BRANC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sheetName val="CRONOGRAMA"/>
      <sheetName val="BDI"/>
      <sheetName val="Planilhas aux."/>
      <sheetName val="INSUMOS"/>
      <sheetName val="PLANILHA 0S1"/>
      <sheetName val="CRONOFIFINAC OS1 VER 2"/>
      <sheetName val="CRONOFIFINAC OS2 VER 2"/>
      <sheetName val="CRONOFIFINAC OS2 SITIA"/>
      <sheetName val="PLANILHA OS2 "/>
      <sheetName val="CRONO FISICOFINAC OS3 "/>
      <sheetName val="PLANILHA OS3"/>
      <sheetName val="CRONOFIFINAC OS4"/>
      <sheetName val="PLANILHA OS4"/>
      <sheetName val="CRONOFIFINAC OS5 "/>
      <sheetName val="PLANILHA OS5"/>
      <sheetName val="CRONOFIFINAC OS7 "/>
      <sheetName val="PLANILHA OS7"/>
      <sheetName val="EQUIPAM BELEM"/>
      <sheetName val="O.S.12"/>
      <sheetName val="OS2BRANC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01.01"/>
      <sheetName val="01.01.02"/>
      <sheetName val="01.01.03"/>
      <sheetName val="01.01.05"/>
      <sheetName val="01.01.06"/>
      <sheetName val="01.01.09"/>
      <sheetName val="01.01.13"/>
      <sheetName val="01.01.15"/>
      <sheetName val="01.02.01"/>
      <sheetName val="01.02.02"/>
      <sheetName val="01.02.03"/>
      <sheetName val="01.02.04"/>
      <sheetName val="01.02.05"/>
      <sheetName val="01.02.06"/>
      <sheetName val="01.02.07"/>
      <sheetName val="01.02.08"/>
      <sheetName val="01.02.09"/>
      <sheetName val="02.01.01"/>
      <sheetName val="02.01.06"/>
      <sheetName val="02.02.02"/>
      <sheetName val="02.01.02"/>
      <sheetName val="02.01.03"/>
      <sheetName val="04.01.01.01"/>
      <sheetName val="06.02.01.01"/>
      <sheetName val="06.02.02.01"/>
      <sheetName val="06.02.03.01"/>
      <sheetName val="02.01.04"/>
      <sheetName val="02.01.05"/>
      <sheetName val="02.01.07"/>
      <sheetName val="02.01.08"/>
      <sheetName val="06.02.03.02"/>
      <sheetName val="06.02.03.03"/>
      <sheetName val="06.02.04.01"/>
      <sheetName val="06.02.05.01"/>
      <sheetName val="06.02.05.02"/>
      <sheetName val="06.02.05.03"/>
      <sheetName val="08.02"/>
      <sheetName val="08.03"/>
      <sheetName val="08.05"/>
      <sheetName val="08.06"/>
      <sheetName val="08.07"/>
      <sheetName val="09.01"/>
      <sheetName val="09.02"/>
    </sheetNames>
    <sheetDataSet>
      <sheetData sheetId="0" refreshError="1"/>
      <sheetData sheetId="1" refreshError="1">
        <row r="51">
          <cell r="N51">
            <v>388.66666666666663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NOGRAMA - 120 Dias"/>
      <sheetName val="Reforma"/>
      <sheetName val="Ciência da Natureza"/>
      <sheetName val="Informática"/>
      <sheetName val="Biblioteca"/>
    </sheetNames>
    <sheetDataSet>
      <sheetData sheetId="0"/>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01.01"/>
      <sheetName val="01.01.02"/>
      <sheetName val="01.01.03"/>
      <sheetName val="01.01.05"/>
      <sheetName val="01.01.06"/>
      <sheetName val="01.01.09"/>
      <sheetName val="01.01.13"/>
      <sheetName val="01.01.15"/>
      <sheetName val="01.02.01"/>
      <sheetName val="01.02.02"/>
      <sheetName val="01.02.03"/>
      <sheetName val="01.02.04"/>
      <sheetName val="01.02.05"/>
      <sheetName val="01.02.06"/>
      <sheetName val="01.02.07"/>
      <sheetName val="01.02.08"/>
      <sheetName val="01.02.09"/>
      <sheetName val="02.01.01"/>
      <sheetName val="02.01.06"/>
      <sheetName val="02.02.02"/>
      <sheetName val="02.01.02"/>
      <sheetName val="02.01.03"/>
      <sheetName val="04.01.01.01"/>
      <sheetName val="06.02.01.01"/>
      <sheetName val="06.02.02.01"/>
      <sheetName val="06.02.03.01"/>
      <sheetName val="02.01.04"/>
      <sheetName val="02.01.05"/>
      <sheetName val="02.01.07"/>
      <sheetName val="02.01.08"/>
      <sheetName val="06.02.03.02"/>
      <sheetName val="06.02.03.03"/>
      <sheetName val="06.02.04.01"/>
      <sheetName val="06.02.05.01"/>
      <sheetName val="06.02.05.02"/>
      <sheetName val="06.02.05.03"/>
      <sheetName val="08.02"/>
      <sheetName val="08.03"/>
      <sheetName val="08.05"/>
      <sheetName val="08.06"/>
      <sheetName val="08.07"/>
      <sheetName val="09.01"/>
      <sheetName val="09.02"/>
    </sheetNames>
    <sheetDataSet>
      <sheetData sheetId="0" refreshError="1">
        <row r="51">
          <cell r="N51">
            <v>440</v>
          </cell>
        </row>
      </sheetData>
      <sheetData sheetId="1" refreshError="1">
        <row r="51">
          <cell r="N51">
            <v>388.66666666666663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 Local  -RESUMO"/>
      <sheetName val="Adm Local "/>
      <sheetName val="Eng3"/>
      <sheetName val="Eng2"/>
      <sheetName val="Eng1"/>
      <sheetName val="Eng.Assist"/>
      <sheetName val="Chefe de Seção"/>
      <sheetName val="Médico_Trabalho"/>
      <sheetName val="Mestre_Obra"/>
      <sheetName val="Tec_Medio 3"/>
      <sheetName val="Tec_Medio 2"/>
      <sheetName val="Tec_Medio 1"/>
      <sheetName val="Enc_Pessoal"/>
      <sheetName val="Enc_Financeiro"/>
      <sheetName val="Encarregado Serv Gerais"/>
      <sheetName val="Encarregado Geral"/>
      <sheetName val="Téc_Segurança"/>
      <sheetName val="Téc_Enfermagem"/>
      <sheetName val="Auxiliar_Técnico"/>
      <sheetName val="Secretária"/>
      <sheetName val="Recepcionista"/>
      <sheetName val="Topógrafo"/>
      <sheetName val="Almoxarife"/>
      <sheetName val="Apontador"/>
      <sheetName val="Aux_Almoxarife"/>
      <sheetName val="Aux_Pessoal"/>
      <sheetName val="Aux_Topografia"/>
      <sheetName val="Aux_Segurança"/>
      <sheetName val="Aux_Enfermagem"/>
      <sheetName val="MO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çosNoPrint"/>
      <sheetName val="ComparaQuantNoPrint"/>
      <sheetName val="TodasTraf-2011-NoPrint"/>
      <sheetName val="TrafPb008"/>
      <sheetName val="PavPb008"/>
      <sheetName val="TrafPb027"/>
      <sheetName val="PavPb027"/>
      <sheetName val="TrafPb033(1)"/>
      <sheetName val="PavPb033(1)"/>
      <sheetName val="TrafPb033(2)"/>
      <sheetName val="PavPb033(2)"/>
      <sheetName val="TrafPb059(1)"/>
      <sheetName val="PavPb059(1)"/>
      <sheetName val="TrafPb059(2)"/>
      <sheetName val="PavPb059(2)"/>
      <sheetName val="TrafPb061"/>
      <sheetName val="PavPb061"/>
      <sheetName val="TrafPb065"/>
      <sheetName val="PavPb065"/>
      <sheetName val="TodasTraf-2000-NoPrint"/>
      <sheetName val="Br101-NoPrint"/>
      <sheetName val="TrafAnual-NoPrint"/>
      <sheetName val="TrafContExpan-NoPrint"/>
      <sheetName val="PavComplNo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çosNoPrint"/>
      <sheetName val="ComparaQuantNoPrint"/>
      <sheetName val="TodasTraf-2011-NoPrint"/>
      <sheetName val="TrafPb008"/>
      <sheetName val="PavPb008"/>
      <sheetName val="TrafPb027"/>
      <sheetName val="PavPb027"/>
      <sheetName val="TrafPb033(1)"/>
      <sheetName val="PavPb033(1)"/>
      <sheetName val="TrafPb033(2)"/>
      <sheetName val="PavPb033(2)"/>
      <sheetName val="TrafPb059(1)"/>
      <sheetName val="PavPb059(1)"/>
      <sheetName val="TrafPb059(2)"/>
      <sheetName val="PavPb059(2)"/>
      <sheetName val="TrafPb061"/>
      <sheetName val="PavPb061"/>
      <sheetName val="TrafPb065"/>
      <sheetName val="PavPb065"/>
      <sheetName val="TodasTraf-2000-NoPrint"/>
      <sheetName val="Br101-NoPrint"/>
      <sheetName val="TrafAnual-NoPrint"/>
      <sheetName val="TrafContExpan-NoPrint"/>
      <sheetName val="PavComplNo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sheetName val="comp1"/>
      <sheetName val="comp2"/>
      <sheetName val="comp3"/>
      <sheetName val="comp4"/>
      <sheetName val="comp5"/>
      <sheetName val="comp6"/>
      <sheetName val="comp7"/>
      <sheetName val="comp8"/>
      <sheetName val="comp9"/>
      <sheetName val="comp10"/>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NO FISI FINAN GLEBA"/>
      <sheetName val="CRONOGRAMA DE DESEMBOLSO"/>
      <sheetName val="RESUMO"/>
      <sheetName val="ORÇAMENTO GLEBA"/>
      <sheetName val="MEMÓRIA ORÇAMENTO"/>
      <sheetName val="COMPOSIÇÕES PREÇOS"/>
    </sheetNames>
    <sheetDataSet>
      <sheetData sheetId="0"/>
      <sheetData sheetId="1" refreshError="1"/>
      <sheetData sheetId="2"/>
      <sheetData sheetId="3" refreshError="1"/>
      <sheetData sheetId="4" refreshError="1"/>
      <sheetData sheetId="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ço"/>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NU"/>
      <sheetName val="DADOS"/>
      <sheetName val="NOVO"/>
      <sheetName val="BDI"/>
      <sheetName val="ORÇAMENTO"/>
      <sheetName val="CÁLCULO"/>
      <sheetName val="EVENTOS"/>
      <sheetName val="CRONO"/>
      <sheetName val="CRONOPLE"/>
      <sheetName val="PLE"/>
      <sheetName val="QCI"/>
      <sheetName val="BM"/>
      <sheetName val="RRE"/>
      <sheetName val="OFÍCI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RÇAMENTO"/>
      <sheetName val="MC-ROT"/>
      <sheetName val="MC-CAL E DREN"/>
      <sheetName val="MC-PAV"/>
      <sheetName val="MC TUB"/>
      <sheetName val="MC- URB"/>
      <sheetName val="MC-SINALIZAÇÃO"/>
      <sheetName val="CPU - GERAL"/>
      <sheetName val="COTAÇÕES "/>
      <sheetName val="CPU-VII"/>
      <sheetName val="LS"/>
      <sheetName val="BDI"/>
      <sheetName val="CPU-cbuq"/>
      <sheetName val="PV PARA REDE 6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or Out. 2001 - BDI=20% Ajust"/>
      <sheetName val="Biblioteca Out. 2001 - BDI=20%"/>
      <sheetName val=" Salas OUT 2001 COM BDI 20%"/>
      <sheetName val="Lab cienc nat BRASILIA"/>
      <sheetName val="CRONOGRAMA - 120 Dias"/>
      <sheetName val="Refor Out_ 2001 _ BDI_20_ Ajust"/>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Bm 8"/>
      <sheetName val="Bm 8"/>
      <sheetName val="Rede 8"/>
      <sheetName val="ValueList_Helper"/>
    </sheetNames>
    <sheetDataSet>
      <sheetData sheetId="0"/>
      <sheetData sheetId="1"/>
      <sheetData sheetId="2"/>
      <sheetData sheetId="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sheetName val="PLANILHA QUANTITATIVA"/>
    </sheetNames>
    <sheetDataSet>
      <sheetData sheetId="0"/>
      <sheetData sheetId="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I"/>
      <sheetName val="INSUMOS"/>
      <sheetName val="COMPOSIÇÃO"/>
      <sheetName val="12-BELÉM"/>
      <sheetName val="12-HORIZONTE"/>
      <sheetName val="04-CALIFORNIA"/>
      <sheetName val="04-MOJU"/>
      <sheetName val="COMPO"/>
    </sheetNames>
    <sheetDataSet>
      <sheetData sheetId="0"/>
      <sheetData sheetId="1"/>
      <sheetData sheetId="2"/>
      <sheetData sheetId="3"/>
      <sheetData sheetId="4"/>
      <sheetData sheetId="5"/>
      <sheetData sheetId="6"/>
      <sheetData sheetId="7"/>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escrição"/>
      <sheetName val="Total e unitário"/>
      <sheetName val="Materiais diretos"/>
      <sheetName val="Rateio"/>
      <sheetName val="Ponto de Equilíbrio"/>
      <sheetName val="Custo Volume Lucro"/>
      <sheetName val="Padrão"/>
      <sheetName val="Preços"/>
      <sheetName val="Ciclo de Vida"/>
      <sheetName val="Matemática Financeira"/>
      <sheetName val="Autores"/>
      <sheetName val="Regressão"/>
      <sheetName val="Gabarito"/>
    </sheetNames>
    <sheetDataSet>
      <sheetData sheetId="0"/>
      <sheetData sheetId="1"/>
      <sheetData sheetId="2">
        <row r="7">
          <cell r="G7">
            <v>500</v>
          </cell>
        </row>
        <row r="9">
          <cell r="F9">
            <v>15000</v>
          </cell>
        </row>
        <row r="10">
          <cell r="C10" t="str">
            <v>Matéria-prima</v>
          </cell>
          <cell r="F10">
            <v>-2000</v>
          </cell>
        </row>
        <row r="11">
          <cell r="C11" t="str">
            <v>Embalagem</v>
          </cell>
          <cell r="F11">
            <v>-3000</v>
          </cell>
        </row>
        <row r="14">
          <cell r="C14" t="str">
            <v>Aluguel da fábrica</v>
          </cell>
          <cell r="F14">
            <v>-1800</v>
          </cell>
        </row>
        <row r="19">
          <cell r="C19" t="str">
            <v>Fretes de entrega</v>
          </cell>
          <cell r="F19">
            <v>-2200</v>
          </cell>
        </row>
        <row r="23">
          <cell r="C23" t="str">
            <v>Aluguel do escritório</v>
          </cell>
          <cell r="F23">
            <v>-800</v>
          </cell>
        </row>
      </sheetData>
      <sheetData sheetId="3"/>
      <sheetData sheetId="4"/>
      <sheetData sheetId="5">
        <row r="16">
          <cell r="C16">
            <v>500</v>
          </cell>
        </row>
      </sheetData>
      <sheetData sheetId="6"/>
      <sheetData sheetId="7"/>
      <sheetData sheetId="8"/>
      <sheetData sheetId="9"/>
      <sheetData sheetId="10"/>
      <sheetData sheetId="11"/>
      <sheetData sheetId="12"/>
      <sheetData sheetId="13"/>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0"/>
      <sheetName val="80"/>
      <sheetName val="74"/>
      <sheetName val="73"/>
      <sheetName val="72"/>
      <sheetName val="71"/>
      <sheetName val="06"/>
      <sheetName val="05"/>
      <sheetName val="04"/>
      <sheetName val="03"/>
      <sheetName val="02"/>
      <sheetName val="01"/>
      <sheetName val="RES.GERAL"/>
      <sheetName val="BDI"/>
      <sheetName val="ENCARGOS SOCIAIS"/>
      <sheetName val="RESUMO"/>
      <sheetName val="RES.90"/>
      <sheetName val="ORÇ.S.90"/>
      <sheetName val="ORÇ.A.90"/>
      <sheetName val="RES.80"/>
      <sheetName val="ORÇ.S.80"/>
      <sheetName val="ORÇ.A.80"/>
      <sheetName val="RES.74"/>
      <sheetName val="ORÇ.S.74"/>
      <sheetName val="ORÇ.A.74"/>
      <sheetName val="RES.73"/>
      <sheetName val="ORÇ.S.73"/>
      <sheetName val="ORÇ.A.73"/>
      <sheetName val="RES.72"/>
      <sheetName val="ORÇ.S.72"/>
      <sheetName val="ORÇ.A.72"/>
      <sheetName val="RES.71"/>
      <sheetName val="ORÇ.S.71"/>
      <sheetName val="ORÇ.A.71"/>
      <sheetName val="RES.60"/>
      <sheetName val="ORÇ.S.60"/>
      <sheetName val="ORÇ.A.60"/>
      <sheetName val="RES.50"/>
      <sheetName val="ORÇ.S.50"/>
      <sheetName val="ORÇ.A.50"/>
      <sheetName val="RES.40"/>
      <sheetName val="ORÇ.S.40"/>
      <sheetName val="ORÇ.A.40"/>
      <sheetName val="RES.30"/>
      <sheetName val="ORÇ.S.30"/>
      <sheetName val="ORÇ.A.30"/>
      <sheetName val="RES.20"/>
      <sheetName val="ORÇ.S.20"/>
      <sheetName val="ORÇ.A.20"/>
      <sheetName val="RES.10"/>
      <sheetName val="ORÇ.S.10"/>
      <sheetName val="ORÇ.A.10"/>
      <sheetName val="BD"/>
      <sheetName val="MODELO-CPU"/>
      <sheetName val="RES.PJ"/>
      <sheetName val="ORÇ.S.PJ"/>
      <sheetName val="ORÇ.A.PJ"/>
      <sheetName val="RES.ADM"/>
      <sheetName val="ORÇ.S.ADM"/>
      <sheetName val="ORÇ.A.ADM"/>
      <sheetName val="RES.SERV"/>
      <sheetName val="ORÇ.S.SERV"/>
      <sheetName val="ORÇ.A.SERV"/>
      <sheetName val="ADM.LOCAL"/>
      <sheetName val="RES.SALDO"/>
      <sheetName val="ORÇ.S.SALD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row r="1">
          <cell r="B1">
            <v>1.2451000000000001</v>
          </cell>
        </row>
      </sheetData>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PROJETISTA"/>
      <sheetName val="CRONO FISI FINAN ETA S BRAZ"/>
      <sheetName val="Q.C.I."/>
      <sheetName val="RESUMO"/>
      <sheetName val="CANTEIRO OB(1.0)"/>
      <sheetName val="GALERIA TUB(2.0)"/>
      <sheetName val="CANAL A DECANT (3.0)"/>
      <sheetName val="TB A LAV ASCENCIONAL(4.0)"/>
      <sheetName val="E ELEV LAV SUPERF(05)"/>
      <sheetName val="BARR A LAV SUP(6)"/>
      <sheetName val="Plan1"/>
      <sheetName val="FILTROS(7)"/>
      <sheetName val="CASA QUIM(8)"/>
      <sheetName val="INST ELÉT(9)"/>
      <sheetName val="REFORMA PRÉDIO ETA"/>
      <sheetName val="DECANTADORES MELHO"/>
    </sheetNames>
    <sheetDataSet>
      <sheetData sheetId="0"/>
      <sheetData sheetId="1" refreshError="1"/>
      <sheetData sheetId="2" refreshError="1"/>
      <sheetData sheetId="3" refreshError="1"/>
      <sheetData sheetId="4"/>
      <sheetData sheetId="5"/>
      <sheetData sheetId="6"/>
      <sheetData sheetId="7"/>
      <sheetData sheetId="8"/>
      <sheetData sheetId="9"/>
      <sheetData sheetId="10" refreshError="1"/>
      <sheetData sheetId="11"/>
      <sheetData sheetId="12"/>
      <sheetData sheetId="13"/>
      <sheetData sheetId="14"/>
      <sheetData sheetId="15"/>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ço"/>
    </sheetNames>
    <sheetDataSet>
      <sheetData sheetId="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ço"/>
    </sheetNames>
    <sheetDataSet>
      <sheetData sheetId="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RADA DE DADOS"/>
      <sheetName val="Orçamento"/>
      <sheetName val="Cronograma"/>
      <sheetName val="Composição BDI"/>
      <sheetName val="Composição &quot;As Built&quot;"/>
      <sheetName val="Lig. Dom. de ÁGUA"/>
    </sheetNames>
    <sheetDataSet>
      <sheetData sheetId="0"/>
      <sheetData sheetId="1">
        <row r="2">
          <cell r="AS2">
            <v>0</v>
          </cell>
        </row>
        <row r="3">
          <cell r="AS3">
            <v>0</v>
          </cell>
        </row>
        <row r="4">
          <cell r="AS4">
            <v>0</v>
          </cell>
        </row>
      </sheetData>
      <sheetData sheetId="2"/>
      <sheetData sheetId="3"/>
      <sheetData sheetId="4"/>
      <sheetData sheetId="5"/>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Proposta 1"/>
      <sheetName val="Orçamento Proposta 2"/>
    </sheetNames>
    <sheetDataSet>
      <sheetData sheetId="0">
        <row r="1">
          <cell r="AO1">
            <v>1</v>
          </cell>
        </row>
      </sheetData>
      <sheetData sheetId="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RADA DE DADOS"/>
      <sheetName val="ORÇAMENTO COMPLETO"/>
      <sheetName val="ORÇAMENTO - ÁGUA"/>
      <sheetName val="ORÇAMENTO - ESGOTO"/>
      <sheetName val="ORÇAMENTO - ELÉTRICO"/>
    </sheetNames>
    <sheetDataSet>
      <sheetData sheetId="0">
        <row r="5">
          <cell r="E5">
            <v>1</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ExecuçServiços"/>
      <sheetName val="Quadro de Quant"/>
      <sheetName val="ORÇLote28 "/>
      <sheetName val="ResBR101"/>
      <sheetName val="Gráfico2"/>
      <sheetName val="RESUMO Lote28"/>
      <sheetName val="RESUMO Lote36"/>
      <sheetName val="orcID nº1"/>
      <sheetName val="orc ID nº2 "/>
      <sheetName val="orc ID nº3"/>
      <sheetName val="orcID nº4"/>
      <sheetName val="orcID nº5"/>
      <sheetName val="orcID nº6"/>
      <sheetName val="orcID nº7"/>
      <sheetName val="orc ID nº8"/>
      <sheetName val="orc ID nº9"/>
      <sheetName val="orc ID nº10"/>
      <sheetName val="orc ID nº11"/>
      <sheetName val="orc ID nº12"/>
      <sheetName val="orc ID nº13"/>
      <sheetName val="orc ID nº 14"/>
      <sheetName val="orc ID nº 15"/>
      <sheetName val="orc ID nº16"/>
      <sheetName val="orc ID nº17"/>
      <sheetName val="orc ID nº 18"/>
      <sheetName val="orc ID nº19"/>
      <sheetName val="orc ID nº20"/>
      <sheetName val="orc ID Lote 36"/>
      <sheetName val="Orç Compar Viaduto 1"/>
      <sheetName val="Orç Compar Ater Estac1736"/>
      <sheetName val="orçmin nº22 (paralelo aterro)"/>
      <sheetName val="orçmin nº23 (paralelo viaduto)"/>
      <sheetName val="orçmin nº24 (contorno aterro)"/>
      <sheetName val="Resumo Orç22+23+24"/>
      <sheetName val="orçmin nº21 Meio Ambiente"/>
      <sheetName val="orçmin nº21 Meio Ambiente IME"/>
      <sheetName val="orçmin (17)AC VIA SECUND"/>
      <sheetName val="orçmin (18) abrigo de passag"/>
      <sheetName val="quantitativos e custos"/>
      <sheetName val="1CDExecServiços"/>
      <sheetName val="2ProduçMateriais"/>
      <sheetName val="3ConcretoeArgam."/>
      <sheetName val="14ConsiderGerais"/>
      <sheetName val="4Transporte"/>
      <sheetName val="5Equipamentos"/>
      <sheetName val="6Mão-de-obra"/>
      <sheetName val="7Materiais"/>
      <sheetName val="8Formas"/>
      <sheetName val="9Composição C.Unitários"/>
      <sheetName val="10ConsumoMat.Concretos"/>
      <sheetName val="11ConsumoMatServton"/>
      <sheetName val="12ConsMatServPaviment"/>
      <sheetName val="13ConsMatServComplem"/>
      <sheetName val="15Projetos"/>
      <sheetName val="16DMT"/>
      <sheetName val="17Composição(MOD)"/>
      <sheetName val="09.517.01"/>
      <sheetName val="09.517.02"/>
      <sheetName val="09.517.03"/>
      <sheetName val="09.517.04"/>
      <sheetName val="09.517.05"/>
      <sheetName val="09.519.01"/>
      <sheetName val="09.601.00"/>
      <sheetName val="09.601.01"/>
      <sheetName val="09.601.02"/>
      <sheetName val="09.999.01"/>
      <sheetName val="09.601.04"/>
      <sheetName val="02.100.00"/>
      <sheetName val="02.230.00"/>
      <sheetName val="02.300.00"/>
      <sheetName val="02.400.00"/>
      <sheetName val="02.530.00"/>
      <sheetName val="02.540.01"/>
      <sheetName val="P 02.540.01"/>
      <sheetName val="P 02.560.01"/>
      <sheetName val="02.999.03"/>
      <sheetName val="02.999.05"/>
      <sheetName val="02.999.06"/>
      <sheetName val="P 02.999.07"/>
      <sheetName val="P 02.999.08"/>
      <sheetName val="P 02.250.01"/>
      <sheetName val="P 02.250.00"/>
      <sheetName val="DER53130"/>
      <sheetName val="MACHIDRAULICO"/>
      <sheetName val="P 02.530.01"/>
      <sheetName val="03.119.01"/>
      <sheetName val="03.300.01"/>
      <sheetName val="03.310.01"/>
      <sheetName val="03.310.02"/>
      <sheetName val="03.310.03"/>
      <sheetName val="03.310.04"/>
      <sheetName val="03.321.00"/>
      <sheetName val="03.321.01"/>
      <sheetName val="03.322.00"/>
      <sheetName val="03.323.00"/>
      <sheetName val="03.323.01"/>
      <sheetName val="03.324.00"/>
      <sheetName val="03.325.00"/>
      <sheetName val="03.326.00"/>
      <sheetName val="03.327.00"/>
      <sheetName val="P 03.327.01"/>
      <sheetName val="03.328.00"/>
      <sheetName val="03.328.01"/>
      <sheetName val="03.329.01"/>
      <sheetName val="03.329.02"/>
      <sheetName val="03.329.03"/>
      <sheetName val="03.329.04"/>
      <sheetName val="03.330.00"/>
      <sheetName val="03.340.00"/>
      <sheetName val="03.341.00"/>
      <sheetName val="03.353.00"/>
      <sheetName val="03.354.00"/>
      <sheetName val="03.359.01"/>
      <sheetName val="03.370.00"/>
      <sheetName val="03.371.00"/>
      <sheetName val="03.371.01"/>
      <sheetName val="03.371.02"/>
      <sheetName val="04.999.07"/>
      <sheetName val="05.100.00"/>
      <sheetName val="05.102.00"/>
      <sheetName val="05.300.01"/>
      <sheetName val="05.300.02"/>
      <sheetName val="DER 45340"/>
      <sheetName val="05.301.00"/>
      <sheetName val="05.301.01"/>
      <sheetName val="06.210.01"/>
      <sheetName val="06.400.01"/>
      <sheetName val="DER80050"/>
      <sheetName val="06.410.00"/>
      <sheetName val="9000030"/>
      <sheetName val="9000031"/>
      <sheetName val="P02.999.10"/>
      <sheetName val="P 04.100.06"/>
      <sheetName val="P 04.100.07"/>
      <sheetName val="P 04.100.08"/>
      <sheetName val="P 04.100.08a"/>
      <sheetName val="P 04.100.09"/>
      <sheetName val="P 04.100.10"/>
      <sheetName val="P 04.100.11"/>
      <sheetName val="P 04.100.12"/>
      <sheetName val="P 04.100.13"/>
      <sheetName val="P 04.100.19"/>
      <sheetName val="P 04.100.20"/>
      <sheetName val="P 04.100.21"/>
      <sheetName val="P 04.100.22"/>
      <sheetName val="P 04.100.23"/>
      <sheetName val="P 04.100.24"/>
      <sheetName val="P 04.100.40"/>
      <sheetName val="DER92196"/>
      <sheetName val="P 10.000.05"/>
      <sheetName val="P 10.000.06"/>
      <sheetName val="P 10.000.07"/>
      <sheetName val="P 10.000.08"/>
      <sheetName val="03.993.02"/>
      <sheetName val="P 03.993.02a"/>
      <sheetName val="P 03.993.02b"/>
      <sheetName val="03.412.01"/>
      <sheetName val="03.412.02"/>
      <sheetName val="03.412.03"/>
      <sheetName val="DER53460a"/>
      <sheetName val="DER90150"/>
      <sheetName val="DER90160"/>
      <sheetName val="DER90170"/>
      <sheetName val="DER90180"/>
      <sheetName val="DER51225"/>
      <sheetName val="DER51235"/>
      <sheetName val="DER51250"/>
      <sheetName val="DER51260"/>
      <sheetName val="DER51270"/>
      <sheetName val="DER51280"/>
      <sheetName val="DER51290"/>
      <sheetName val="DER51300"/>
      <sheetName val="DER51310"/>
      <sheetName val="DER51320"/>
      <sheetName val="DER51330"/>
      <sheetName val="DER51340"/>
      <sheetName val="DER51350"/>
      <sheetName val="DER51360"/>
      <sheetName val="DER45000"/>
      <sheetName val="DER52020a"/>
      <sheetName val="DER52020b"/>
      <sheetName val="0499901a"/>
      <sheetName val="03.991.02"/>
      <sheetName val="Plan18"/>
    </sheetNames>
    <sheetDataSet>
      <sheetData sheetId="0" refreshError="1"/>
      <sheetData sheetId="1"/>
      <sheetData sheetId="2"/>
      <sheetData sheetId="3"/>
      <sheetData sheetId="4" refreshError="1"/>
      <sheetData sheetId="5"/>
      <sheetData sheetId="6"/>
      <sheetData sheetId="7" refreshError="1"/>
      <sheetData sheetId="8" refreshError="1">
        <row r="14">
          <cell r="A14" t="str">
            <v>01.000.00</v>
          </cell>
          <cell r="B14" t="str">
            <v>Desmatamento,destocamento e limpeza de área com árvore até 0,15m</v>
          </cell>
          <cell r="C14" t="str">
            <v>DNER-ES278/97</v>
          </cell>
          <cell r="D14" t="str">
            <v/>
          </cell>
          <cell r="E14" t="str">
            <v>m2</v>
          </cell>
          <cell r="F14">
            <v>36000</v>
          </cell>
          <cell r="G14">
            <v>7.0000000000000007E-2</v>
          </cell>
        </row>
        <row r="15">
          <cell r="A15" t="str">
            <v>01.010.00</v>
          </cell>
          <cell r="B15" t="str">
            <v>Desmatamento e destocamento árvores de 0,15m a 0,30m</v>
          </cell>
          <cell r="C15" t="str">
            <v>DNER-ES278/97</v>
          </cell>
          <cell r="D15" t="str">
            <v/>
          </cell>
          <cell r="E15" t="str">
            <v>un</v>
          </cell>
          <cell r="F15">
            <v>360</v>
          </cell>
          <cell r="G15">
            <v>8.92</v>
          </cell>
        </row>
        <row r="16">
          <cell r="A16" t="str">
            <v>01.011.00</v>
          </cell>
          <cell r="B16" t="str">
            <v>Desmatamento e destocamento árvores superior a 0,30m</v>
          </cell>
          <cell r="C16" t="str">
            <v>DNER-ES278/97</v>
          </cell>
          <cell r="D16" t="str">
            <v/>
          </cell>
          <cell r="E16" t="str">
            <v>un</v>
          </cell>
          <cell r="F16">
            <v>180</v>
          </cell>
          <cell r="G16">
            <v>26.75</v>
          </cell>
        </row>
        <row r="17">
          <cell r="A17" t="str">
            <v>01.100.01</v>
          </cell>
          <cell r="B17" t="str">
            <v>Escavação,carga e transportes de material de 1a  categoria DMT &lt;= 50m</v>
          </cell>
          <cell r="C17" t="str">
            <v>DNER-ES280/97</v>
          </cell>
          <cell r="D17" t="str">
            <v/>
          </cell>
          <cell r="E17" t="str">
            <v>m3</v>
          </cell>
          <cell r="F17">
            <v>1000</v>
          </cell>
          <cell r="G17">
            <v>0.62</v>
          </cell>
        </row>
        <row r="18">
          <cell r="A18" t="str">
            <v>01.100.12</v>
          </cell>
          <cell r="B18" t="str">
            <v>Escavação,carga e transportes de material de 1a categoria DMT= 600 a 800m</v>
          </cell>
          <cell r="C18" t="str">
            <v>DNER-ES280/97</v>
          </cell>
          <cell r="D18" t="str">
            <v/>
          </cell>
          <cell r="E18" t="str">
            <v>m3</v>
          </cell>
          <cell r="F18">
            <v>325</v>
          </cell>
          <cell r="G18">
            <v>2.19</v>
          </cell>
        </row>
        <row r="19">
          <cell r="A19" t="str">
            <v>01.100.18</v>
          </cell>
          <cell r="B19" t="str">
            <v>Escavação,carga e transportes de material de 1a categoria DMT= 1800 a 2000m</v>
          </cell>
          <cell r="C19" t="str">
            <v>DNER-ES280/97</v>
          </cell>
          <cell r="D19" t="str">
            <v/>
          </cell>
          <cell r="E19" t="str">
            <v>m3</v>
          </cell>
          <cell r="F19">
            <v>2295</v>
          </cell>
          <cell r="G19">
            <v>2.92</v>
          </cell>
        </row>
        <row r="20">
          <cell r="A20" t="str">
            <v>01.100.19</v>
          </cell>
          <cell r="B20" t="str">
            <v>Escavação,carga e transportes de material de 1a categoria DMT= 2000 a 3000m</v>
          </cell>
          <cell r="C20" t="str">
            <v>DNER-ES280/97</v>
          </cell>
          <cell r="D20" t="str">
            <v/>
          </cell>
          <cell r="E20" t="str">
            <v>m3</v>
          </cell>
          <cell r="F20">
            <v>4475</v>
          </cell>
          <cell r="G20">
            <v>3.26</v>
          </cell>
        </row>
        <row r="21">
          <cell r="A21" t="str">
            <v>DER50260</v>
          </cell>
          <cell r="B21" t="str">
            <v>Esc.  Carga e Transp. de mat. 1a cat. c/ CB 5000&lt;DMT&lt;6000m</v>
          </cell>
          <cell r="C21" t="str">
            <v/>
          </cell>
          <cell r="D21" t="str">
            <v/>
          </cell>
          <cell r="E21" t="str">
            <v>m3</v>
          </cell>
          <cell r="F21">
            <v>1223</v>
          </cell>
          <cell r="G21">
            <v>4.29</v>
          </cell>
        </row>
        <row r="22">
          <cell r="A22" t="str">
            <v>DER50290</v>
          </cell>
          <cell r="B22" t="str">
            <v>Esc.  Carga e Transp. de mat. 1a cat. c/ CB 8000&lt;DMT&lt;9000m</v>
          </cell>
          <cell r="C22" t="str">
            <v/>
          </cell>
          <cell r="D22" t="str">
            <v/>
          </cell>
          <cell r="E22" t="str">
            <v>m3</v>
          </cell>
          <cell r="F22">
            <v>2097</v>
          </cell>
          <cell r="G22">
            <v>5.79</v>
          </cell>
        </row>
        <row r="23">
          <cell r="A23" t="str">
            <v>01.101.12</v>
          </cell>
          <cell r="B23" t="str">
            <v>Escavação,carga e transportes de material de 2a categoria,c/CB,  DMT 600 a 800m</v>
          </cell>
          <cell r="C23" t="str">
            <v>DNER-ES280/97</v>
          </cell>
          <cell r="D23" t="str">
            <v/>
          </cell>
          <cell r="E23" t="str">
            <v>m3</v>
          </cell>
          <cell r="F23">
            <v>2276</v>
          </cell>
          <cell r="G23">
            <v>3.23</v>
          </cell>
        </row>
        <row r="24">
          <cell r="A24" t="str">
            <v>01.101.18</v>
          </cell>
          <cell r="B24" t="str">
            <v>Escavação,carga e transportes de material de 2a categoria,c/CB,  DMT 1800 a 2000m</v>
          </cell>
          <cell r="C24" t="str">
            <v>DNER-ES280/97</v>
          </cell>
          <cell r="D24" t="str">
            <v/>
          </cell>
          <cell r="E24" t="str">
            <v>m3</v>
          </cell>
          <cell r="F24">
            <v>2295</v>
          </cell>
          <cell r="G24">
            <v>4.1399999999999997</v>
          </cell>
        </row>
        <row r="25">
          <cell r="A25" t="str">
            <v>01.101.19</v>
          </cell>
          <cell r="B25" t="str">
            <v>Escavação,carga e transportes de material de 2a categoria,c/CB,  DMT 2000 a 3000m</v>
          </cell>
          <cell r="C25" t="str">
            <v>DNER-ES280/97</v>
          </cell>
          <cell r="D25" t="str">
            <v/>
          </cell>
          <cell r="E25" t="str">
            <v>m3</v>
          </cell>
          <cell r="F25">
            <v>5527</v>
          </cell>
          <cell r="G25">
            <v>4.51</v>
          </cell>
        </row>
        <row r="26">
          <cell r="A26" t="str">
            <v>DER51250</v>
          </cell>
          <cell r="B26" t="str">
            <v>Escavação,carga e transportes de material de 2a categoria DMT 5000 a 6000m</v>
          </cell>
          <cell r="C26" t="str">
            <v/>
          </cell>
          <cell r="D26" t="str">
            <v/>
          </cell>
          <cell r="E26" t="str">
            <v>m3</v>
          </cell>
          <cell r="F26">
            <v>1842</v>
          </cell>
          <cell r="G26">
            <v>5.7</v>
          </cell>
        </row>
        <row r="27">
          <cell r="A27" t="str">
            <v>DER51280</v>
          </cell>
          <cell r="B27" t="str">
            <v>Escavação,carga e transportes de material de 2a categoria DMT 8000 a 9000m</v>
          </cell>
          <cell r="C27" t="str">
            <v/>
          </cell>
          <cell r="D27" t="str">
            <v/>
          </cell>
          <cell r="E27" t="str">
            <v>m3</v>
          </cell>
          <cell r="F27">
            <v>2097</v>
          </cell>
          <cell r="G27">
            <v>7.48</v>
          </cell>
        </row>
        <row r="28">
          <cell r="A28" t="str">
            <v>DER51310</v>
          </cell>
          <cell r="B28" t="str">
            <v>Escavação,carga e transportes de material de 2a categoria DMT 12000 a 14000m</v>
          </cell>
          <cell r="C28" t="str">
            <v/>
          </cell>
          <cell r="D28" t="str">
            <v/>
          </cell>
          <cell r="E28" t="str">
            <v>m3</v>
          </cell>
          <cell r="F28">
            <v>4665</v>
          </cell>
          <cell r="G28">
            <v>10.14</v>
          </cell>
        </row>
        <row r="29">
          <cell r="A29" t="str">
            <v>DER51320</v>
          </cell>
          <cell r="B29" t="str">
            <v>Escavação,carga e transportes de material de 2a categoria DMT 14000 a 16000m</v>
          </cell>
          <cell r="C29" t="str">
            <v/>
          </cell>
          <cell r="D29" t="str">
            <v/>
          </cell>
          <cell r="E29" t="str">
            <v>m3</v>
          </cell>
          <cell r="F29">
            <v>8592</v>
          </cell>
          <cell r="G29">
            <v>11.31</v>
          </cell>
        </row>
        <row r="30">
          <cell r="A30" t="str">
            <v>DER51360</v>
          </cell>
          <cell r="B30" t="str">
            <v>Escavação,carga e transportes de material de 2a categoria DMT 22000 a 24000m</v>
          </cell>
          <cell r="C30" t="str">
            <v/>
          </cell>
          <cell r="D30" t="str">
            <v/>
          </cell>
          <cell r="E30" t="str">
            <v>m3</v>
          </cell>
          <cell r="F30">
            <v>1500</v>
          </cell>
          <cell r="G30">
            <v>16.04</v>
          </cell>
        </row>
        <row r="31">
          <cell r="A31" t="str">
            <v>DER52090</v>
          </cell>
          <cell r="B31" t="str">
            <v>Esc. Carga e Transp. de solos moles 600&lt;DMT&lt;=800m</v>
          </cell>
          <cell r="C31" t="str">
            <v/>
          </cell>
          <cell r="D31" t="str">
            <v/>
          </cell>
          <cell r="E31" t="str">
            <v>m3</v>
          </cell>
          <cell r="F31">
            <v>8592</v>
          </cell>
          <cell r="G31">
            <v>4.6399999999999997</v>
          </cell>
        </row>
        <row r="32">
          <cell r="A32" t="str">
            <v>DER52095</v>
          </cell>
          <cell r="B32" t="str">
            <v>Esc. Carga e Transp. de solos moles 800&lt;DMT&lt;=1000m</v>
          </cell>
          <cell r="C32" t="str">
            <v/>
          </cell>
          <cell r="D32" t="str">
            <v/>
          </cell>
          <cell r="E32" t="str">
            <v>m3</v>
          </cell>
          <cell r="F32">
            <v>2097</v>
          </cell>
          <cell r="G32">
            <v>4.7</v>
          </cell>
        </row>
        <row r="33">
          <cell r="A33" t="str">
            <v>DER52105</v>
          </cell>
          <cell r="B33" t="str">
            <v>Esc. Carga e Transp. de solos moles 2000&lt;DMT&lt;=3000m</v>
          </cell>
          <cell r="C33" t="str">
            <v/>
          </cell>
          <cell r="D33" t="str">
            <v/>
          </cell>
          <cell r="E33" t="str">
            <v>m3</v>
          </cell>
          <cell r="F33">
            <v>1010</v>
          </cell>
          <cell r="G33">
            <v>5.77</v>
          </cell>
        </row>
        <row r="34">
          <cell r="A34" t="str">
            <v>DER52106</v>
          </cell>
          <cell r="B34" t="str">
            <v>Esc. Carga e Transp. de solos moles 3000&lt;DMT&lt;=4000m</v>
          </cell>
          <cell r="C34" t="str">
            <v/>
          </cell>
          <cell r="D34" t="str">
            <v/>
          </cell>
          <cell r="E34" t="str">
            <v>m3</v>
          </cell>
          <cell r="F34">
            <v>3665</v>
          </cell>
          <cell r="G34">
            <v>6.37</v>
          </cell>
        </row>
        <row r="35">
          <cell r="A35" t="str">
            <v>01.510.00</v>
          </cell>
          <cell r="B35" t="str">
            <v>Compactação de aterros a 95% Proctor Normal</v>
          </cell>
          <cell r="C35" t="str">
            <v>DNER-ES282/97</v>
          </cell>
          <cell r="D35" t="str">
            <v/>
          </cell>
          <cell r="E35" t="str">
            <v>m3</v>
          </cell>
          <cell r="F35">
            <v>5906</v>
          </cell>
          <cell r="G35">
            <v>0.79</v>
          </cell>
        </row>
        <row r="36">
          <cell r="A36" t="str">
            <v>01.511.00</v>
          </cell>
          <cell r="B36" t="str">
            <v>Compactação de aterros a 100% Proctor Normal</v>
          </cell>
          <cell r="C36" t="str">
            <v>DNER-ES282/97</v>
          </cell>
          <cell r="D36" t="str">
            <v/>
          </cell>
          <cell r="E36" t="str">
            <v>m3</v>
          </cell>
          <cell r="F36">
            <v>3477</v>
          </cell>
          <cell r="G36">
            <v>1.36</v>
          </cell>
        </row>
        <row r="37">
          <cell r="F37" t="str">
            <v>SUB-TOTAL</v>
          </cell>
        </row>
        <row r="39">
          <cell r="B39" t="str">
            <v>PAVIMENTAÇÃO</v>
          </cell>
        </row>
        <row r="40">
          <cell r="A40" t="str">
            <v>02.000.00</v>
          </cell>
          <cell r="B40" t="str">
            <v>Regularização do subleito</v>
          </cell>
          <cell r="C40" t="str">
            <v/>
          </cell>
          <cell r="D40" t="str">
            <v/>
          </cell>
          <cell r="E40" t="str">
            <v>m2</v>
          </cell>
          <cell r="F40">
            <v>11690</v>
          </cell>
          <cell r="G40">
            <v>0.3</v>
          </cell>
        </row>
        <row r="41">
          <cell r="A41" t="str">
            <v>P01.401.00</v>
          </cell>
          <cell r="B41" t="str">
            <v>Revestimento Primário</v>
          </cell>
          <cell r="C41" t="str">
            <v/>
          </cell>
          <cell r="D41" t="str">
            <v/>
          </cell>
          <cell r="E41" t="str">
            <v>m3</v>
          </cell>
          <cell r="F41">
            <v>2245</v>
          </cell>
          <cell r="G41">
            <v>11.75</v>
          </cell>
        </row>
        <row r="42">
          <cell r="F42" t="str">
            <v>SUB-TOTAL</v>
          </cell>
        </row>
        <row r="43">
          <cell r="B43" t="str">
            <v>DRENAGEM</v>
          </cell>
        </row>
        <row r="44">
          <cell r="A44" t="str">
            <v>04.000.00</v>
          </cell>
          <cell r="B44" t="str">
            <v>Escavação manual em material de 1a categoria</v>
          </cell>
          <cell r="C44" t="str">
            <v/>
          </cell>
          <cell r="D44" t="str">
            <v/>
          </cell>
          <cell r="E44" t="str">
            <v>m3</v>
          </cell>
          <cell r="F44">
            <v>52</v>
          </cell>
          <cell r="G44">
            <v>17.57</v>
          </cell>
        </row>
        <row r="45">
          <cell r="A45" t="str">
            <v>04.001.00</v>
          </cell>
          <cell r="B45" t="str">
            <v>Escavação mecânica em material de 1a categoria</v>
          </cell>
          <cell r="C45" t="str">
            <v/>
          </cell>
          <cell r="D45" t="str">
            <v/>
          </cell>
          <cell r="E45" t="str">
            <v>m3</v>
          </cell>
          <cell r="F45">
            <v>1344</v>
          </cell>
          <cell r="G45">
            <v>2.09</v>
          </cell>
        </row>
        <row r="46">
          <cell r="A46" t="str">
            <v>04.001.01</v>
          </cell>
          <cell r="B46" t="str">
            <v>Escavação mecânica,reaterro e compactação (material de 1a categoria)</v>
          </cell>
          <cell r="C46" t="str">
            <v/>
          </cell>
          <cell r="D46" t="str">
            <v/>
          </cell>
          <cell r="E46" t="str">
            <v>m3</v>
          </cell>
          <cell r="F46">
            <v>255</v>
          </cell>
          <cell r="G46">
            <v>3.03</v>
          </cell>
        </row>
        <row r="47">
          <cell r="A47" t="str">
            <v>04.401.02</v>
          </cell>
          <cell r="B47" t="str">
            <v>Valeta de prot. de aterro c/ revest. vegetal VPA 02</v>
          </cell>
          <cell r="C47" t="str">
            <v/>
          </cell>
          <cell r="D47" t="str">
            <v/>
          </cell>
          <cell r="E47" t="str">
            <v>m</v>
          </cell>
          <cell r="F47">
            <v>517</v>
          </cell>
          <cell r="G47">
            <v>24.32</v>
          </cell>
        </row>
        <row r="48">
          <cell r="A48" t="str">
            <v>04.900.21</v>
          </cell>
          <cell r="B48" t="str">
            <v>Sarjeta de cant. central de concreto-SCC 01</v>
          </cell>
          <cell r="C48" t="str">
            <v>DNER-ES288/97</v>
          </cell>
          <cell r="D48" t="str">
            <v/>
          </cell>
          <cell r="E48" t="str">
            <v>m</v>
          </cell>
          <cell r="F48">
            <v>627</v>
          </cell>
          <cell r="G48">
            <v>13.85</v>
          </cell>
        </row>
        <row r="49">
          <cell r="A49" t="str">
            <v>04.900.22</v>
          </cell>
          <cell r="B49" t="str">
            <v>Sarjeta de cant. central de concreto-SCC 02</v>
          </cell>
          <cell r="C49" t="str">
            <v>DNER-ES288/97</v>
          </cell>
          <cell r="D49" t="str">
            <v/>
          </cell>
          <cell r="E49" t="str">
            <v>m</v>
          </cell>
          <cell r="F49">
            <v>110</v>
          </cell>
          <cell r="G49">
            <v>19.170000000000002</v>
          </cell>
        </row>
        <row r="50">
          <cell r="A50" t="str">
            <v>04.900.33</v>
          </cell>
          <cell r="B50" t="str">
            <v>Sarjeta triangular de grama-STG 03</v>
          </cell>
          <cell r="C50" t="str">
            <v/>
          </cell>
          <cell r="D50" t="str">
            <v/>
          </cell>
          <cell r="E50" t="str">
            <v>m</v>
          </cell>
          <cell r="F50">
            <v>451</v>
          </cell>
          <cell r="G50">
            <v>10.61</v>
          </cell>
        </row>
        <row r="51">
          <cell r="A51" t="str">
            <v>04.900.34</v>
          </cell>
          <cell r="B51" t="str">
            <v>Sarjeta triangular de grama-STG 04</v>
          </cell>
          <cell r="C51" t="str">
            <v/>
          </cell>
          <cell r="D51" t="str">
            <v/>
          </cell>
          <cell r="E51" t="str">
            <v>m</v>
          </cell>
          <cell r="F51">
            <v>715</v>
          </cell>
          <cell r="G51">
            <v>8.4700000000000006</v>
          </cell>
        </row>
        <row r="52">
          <cell r="F52" t="str">
            <v>SUB-TOTAL</v>
          </cell>
        </row>
        <row r="54">
          <cell r="B54" t="str">
            <v>OBRAS DE ARTE CORRENTES</v>
          </cell>
        </row>
        <row r="55">
          <cell r="A55" t="str">
            <v>04.001.00</v>
          </cell>
          <cell r="B55" t="str">
            <v>Escavação mecânica em material de 1a categoria</v>
          </cell>
          <cell r="C55" t="str">
            <v/>
          </cell>
          <cell r="D55" t="str">
            <v/>
          </cell>
          <cell r="E55" t="str">
            <v>m3</v>
          </cell>
          <cell r="F55">
            <v>1075.2</v>
          </cell>
          <cell r="G55">
            <v>2.09</v>
          </cell>
        </row>
        <row r="56">
          <cell r="A56" t="str">
            <v>04.001.01</v>
          </cell>
          <cell r="B56" t="str">
            <v>Escavação mecânica,reaterro e compactação (material de 1a categoria)</v>
          </cell>
          <cell r="C56" t="str">
            <v/>
          </cell>
          <cell r="D56" t="str">
            <v/>
          </cell>
          <cell r="E56" t="str">
            <v>m3</v>
          </cell>
          <cell r="F56">
            <v>1020</v>
          </cell>
          <cell r="G56">
            <v>3.03</v>
          </cell>
        </row>
        <row r="57">
          <cell r="A57" t="str">
            <v>04.100.02</v>
          </cell>
          <cell r="B57" t="str">
            <v>Corpo de BSTC D=0.80m</v>
          </cell>
          <cell r="C57" t="str">
            <v>DNER-ES284/97</v>
          </cell>
          <cell r="D57" t="str">
            <v/>
          </cell>
          <cell r="E57" t="str">
            <v xml:space="preserve">m </v>
          </cell>
          <cell r="F57">
            <v>65</v>
          </cell>
          <cell r="G57">
            <v>201.98</v>
          </cell>
        </row>
        <row r="58">
          <cell r="A58" t="str">
            <v>04.101.02</v>
          </cell>
          <cell r="B58" t="str">
            <v>Boca de BSTC D=0.80m-normal</v>
          </cell>
          <cell r="C58" t="str">
            <v/>
          </cell>
          <cell r="D58" t="str">
            <v/>
          </cell>
          <cell r="E58" t="str">
            <v>un</v>
          </cell>
          <cell r="F58">
            <v>4</v>
          </cell>
          <cell r="G58">
            <v>494.05</v>
          </cell>
        </row>
        <row r="59">
          <cell r="A59" t="str">
            <v>DER72950</v>
          </cell>
          <cell r="B59" t="str">
            <v>Boca de BSTC D=2,00m-normal</v>
          </cell>
          <cell r="C59" t="str">
            <v/>
          </cell>
          <cell r="D59" t="str">
            <v/>
          </cell>
          <cell r="E59" t="str">
            <v>un</v>
          </cell>
          <cell r="F59">
            <v>2</v>
          </cell>
          <cell r="G59">
            <v>1469.87</v>
          </cell>
        </row>
        <row r="60">
          <cell r="A60" t="str">
            <v>P04.110.00</v>
          </cell>
          <cell r="B60" t="str">
            <v>Corpo de BDTC D=0.80m c/ laje de concreto</v>
          </cell>
          <cell r="C60" t="str">
            <v/>
          </cell>
          <cell r="D60" t="str">
            <v/>
          </cell>
          <cell r="E60" t="str">
            <v>m</v>
          </cell>
          <cell r="F60">
            <v>92</v>
          </cell>
          <cell r="G60">
            <v>335.3</v>
          </cell>
        </row>
        <row r="61">
          <cell r="A61" t="str">
            <v>P04.111.01</v>
          </cell>
          <cell r="B61" t="str">
            <v>Boca de BDTC D=0.80m</v>
          </cell>
          <cell r="C61" t="str">
            <v/>
          </cell>
          <cell r="D61" t="str">
            <v/>
          </cell>
          <cell r="E61" t="str">
            <v>un</v>
          </cell>
          <cell r="F61">
            <v>4</v>
          </cell>
          <cell r="G61">
            <v>560.76</v>
          </cell>
        </row>
        <row r="62">
          <cell r="A62" t="str">
            <v>04.200.02</v>
          </cell>
          <cell r="B62" t="str">
            <v>Corpo de BSCC 2.00x2.00m-H=0 a 1.00m</v>
          </cell>
          <cell r="C62" t="str">
            <v>DNER-ES286/97</v>
          </cell>
          <cell r="D62" t="str">
            <v/>
          </cell>
          <cell r="E62" t="str">
            <v>m</v>
          </cell>
          <cell r="F62">
            <v>21</v>
          </cell>
          <cell r="G62">
            <v>737.8</v>
          </cell>
        </row>
        <row r="63">
          <cell r="A63" t="str">
            <v>04.201.02</v>
          </cell>
          <cell r="B63" t="str">
            <v>Boca de BSCC 2.00x2.00m - normal</v>
          </cell>
          <cell r="C63" t="str">
            <v/>
          </cell>
          <cell r="D63" t="str">
            <v/>
          </cell>
          <cell r="E63" t="str">
            <v>un</v>
          </cell>
          <cell r="F63">
            <v>2</v>
          </cell>
          <cell r="G63">
            <v>4874.24</v>
          </cell>
        </row>
        <row r="64">
          <cell r="A64" t="str">
            <v>P 04.100.21</v>
          </cell>
          <cell r="B64" t="str">
            <v>Tunnel liner plate, c/Epoxy-bonded, D=2,00m, E=2,70mm</v>
          </cell>
          <cell r="C64" t="str">
            <v/>
          </cell>
          <cell r="D64" t="str">
            <v/>
          </cell>
          <cell r="E64" t="str">
            <v>m</v>
          </cell>
          <cell r="F64">
            <v>44.5</v>
          </cell>
          <cell r="G64">
            <v>1370.71</v>
          </cell>
        </row>
        <row r="65">
          <cell r="A65" t="str">
            <v>04.999.02</v>
          </cell>
          <cell r="B65" t="str">
            <v>Demolição de dispositivos de concreto</v>
          </cell>
          <cell r="C65" t="str">
            <v>DNER-ES296/97</v>
          </cell>
          <cell r="D65" t="str">
            <v/>
          </cell>
          <cell r="E65" t="str">
            <v>m3</v>
          </cell>
          <cell r="F65">
            <v>25</v>
          </cell>
          <cell r="G65">
            <v>12.58</v>
          </cell>
        </row>
        <row r="66">
          <cell r="F66" t="str">
            <v>SUB-TOTAL</v>
          </cell>
        </row>
        <row r="67">
          <cell r="B67" t="str">
            <v>OBRAS COMPLEMENTARES</v>
          </cell>
        </row>
        <row r="68">
          <cell r="A68" t="str">
            <v>05.100.00</v>
          </cell>
          <cell r="B68" t="str">
            <v>Enleivamento</v>
          </cell>
          <cell r="C68" t="str">
            <v>DNER-ES341/97</v>
          </cell>
          <cell r="D68" t="str">
            <v/>
          </cell>
          <cell r="E68" t="str">
            <v>m2</v>
          </cell>
          <cell r="F68">
            <v>8136</v>
          </cell>
          <cell r="G68">
            <v>2.06</v>
          </cell>
        </row>
        <row r="69">
          <cell r="A69" t="str">
            <v>05.102.00</v>
          </cell>
          <cell r="B69" t="str">
            <v>Hidrossemeadura</v>
          </cell>
          <cell r="C69" t="str">
            <v>DNER-ES341/97</v>
          </cell>
          <cell r="D69" t="str">
            <v/>
          </cell>
          <cell r="E69" t="str">
            <v>m2</v>
          </cell>
          <cell r="F69">
            <v>420</v>
          </cell>
          <cell r="G69">
            <v>0.49</v>
          </cell>
        </row>
        <row r="70">
          <cell r="A70" t="str">
            <v>P 05.100.02</v>
          </cell>
          <cell r="B70" t="str">
            <v>Fornecimento e plantio de árvore selecionada</v>
          </cell>
          <cell r="C70" t="str">
            <v/>
          </cell>
          <cell r="D70" t="str">
            <v/>
          </cell>
          <cell r="E70" t="str">
            <v>un</v>
          </cell>
          <cell r="F70">
            <v>95</v>
          </cell>
          <cell r="G70">
            <v>6.02</v>
          </cell>
        </row>
      </sheetData>
      <sheetData sheetId="9" refreshError="1">
        <row r="14">
          <cell r="A14" t="str">
            <v>01.000.00</v>
          </cell>
          <cell r="B14" t="str">
            <v>Desmatamento,destocamento e limpeza de área com árvore até 0,15m</v>
          </cell>
          <cell r="C14" t="str">
            <v>DNER-ES278/97</v>
          </cell>
          <cell r="D14" t="str">
            <v/>
          </cell>
          <cell r="E14" t="str">
            <v>m2</v>
          </cell>
          <cell r="F14">
            <v>154200</v>
          </cell>
          <cell r="G14">
            <v>7.0000000000000007E-2</v>
          </cell>
        </row>
        <row r="15">
          <cell r="A15" t="str">
            <v>01.010.00</v>
          </cell>
          <cell r="B15" t="str">
            <v>Desmatamento e destocamento árvores de 0,15m a 0,30m</v>
          </cell>
          <cell r="C15" t="str">
            <v>DNER-ES278/97</v>
          </cell>
          <cell r="D15" t="str">
            <v/>
          </cell>
          <cell r="E15" t="str">
            <v>un</v>
          </cell>
          <cell r="F15">
            <v>1542</v>
          </cell>
          <cell r="G15">
            <v>8.92</v>
          </cell>
        </row>
        <row r="16">
          <cell r="A16" t="str">
            <v>01.011.00</v>
          </cell>
          <cell r="B16" t="str">
            <v>Desmatamento e destocamento árvores superior a 0,30m</v>
          </cell>
          <cell r="C16" t="str">
            <v>DNER-ES278/97</v>
          </cell>
          <cell r="D16" t="str">
            <v/>
          </cell>
          <cell r="E16" t="str">
            <v>un</v>
          </cell>
          <cell r="F16">
            <v>771</v>
          </cell>
          <cell r="G16">
            <v>26.75</v>
          </cell>
        </row>
        <row r="17">
          <cell r="A17" t="str">
            <v>01.100.01</v>
          </cell>
          <cell r="B17" t="str">
            <v>Escavação,carga e transportes de material de 1a  categoria DMT &lt;= 50m</v>
          </cell>
          <cell r="C17" t="str">
            <v>DNER-ES280/97</v>
          </cell>
          <cell r="D17" t="str">
            <v/>
          </cell>
          <cell r="E17" t="str">
            <v>m3</v>
          </cell>
          <cell r="F17">
            <v>1000</v>
          </cell>
          <cell r="G17">
            <v>0.62</v>
          </cell>
        </row>
        <row r="18">
          <cell r="A18" t="str">
            <v>01.100.09</v>
          </cell>
          <cell r="B18" t="str">
            <v>Escavação,carga e transportes de material de 1a categoria DMT= 50 a 200m</v>
          </cell>
          <cell r="C18" t="str">
            <v>DNER-ES280/97</v>
          </cell>
          <cell r="D18" t="str">
            <v/>
          </cell>
          <cell r="E18" t="str">
            <v>m3</v>
          </cell>
          <cell r="F18">
            <v>3580</v>
          </cell>
          <cell r="G18">
            <v>1.89</v>
          </cell>
        </row>
        <row r="19">
          <cell r="A19" t="str">
            <v>01.100.10</v>
          </cell>
          <cell r="B19" t="str">
            <v>Escavação,carga e transportes de material de 1a categoria DMT= 200 a 400m</v>
          </cell>
          <cell r="C19" t="str">
            <v>DNER-ES280/97</v>
          </cell>
          <cell r="D19" t="str">
            <v/>
          </cell>
          <cell r="E19" t="str">
            <v>m3</v>
          </cell>
          <cell r="F19">
            <v>389</v>
          </cell>
          <cell r="G19">
            <v>1.98</v>
          </cell>
        </row>
        <row r="20">
          <cell r="A20" t="str">
            <v>01.100.11</v>
          </cell>
          <cell r="B20" t="str">
            <v>Escavação,carga e transportes de material de 1a categoria DMT= 400 a 600m</v>
          </cell>
          <cell r="C20" t="str">
            <v>DNER-ES280/97</v>
          </cell>
          <cell r="D20" t="str">
            <v/>
          </cell>
          <cell r="E20" t="str">
            <v>m3</v>
          </cell>
          <cell r="F20">
            <v>1207</v>
          </cell>
          <cell r="G20">
            <v>2.12</v>
          </cell>
        </row>
        <row r="21">
          <cell r="A21" t="str">
            <v>01.100.12</v>
          </cell>
          <cell r="B21" t="str">
            <v>Escavação,carga e transportes de material de 1a categoria DMT= 600 a 800m</v>
          </cell>
          <cell r="C21" t="str">
            <v>DNER-ES280/97</v>
          </cell>
          <cell r="D21" t="str">
            <v/>
          </cell>
          <cell r="E21" t="str">
            <v>m3</v>
          </cell>
          <cell r="F21">
            <v>2411</v>
          </cell>
          <cell r="G21">
            <v>2.19</v>
          </cell>
        </row>
        <row r="22">
          <cell r="A22" t="str">
            <v>01.100.13</v>
          </cell>
          <cell r="B22" t="str">
            <v>Escavação,carga e transportes de material de 1a categoria DMT= 800 a 1000m</v>
          </cell>
          <cell r="C22" t="str">
            <v>DNER-ES280/97</v>
          </cell>
          <cell r="D22" t="str">
            <v/>
          </cell>
          <cell r="E22" t="str">
            <v>m3</v>
          </cell>
          <cell r="F22">
            <v>5249</v>
          </cell>
          <cell r="G22">
            <v>2.36</v>
          </cell>
        </row>
        <row r="23">
          <cell r="A23" t="str">
            <v>01.100.14</v>
          </cell>
          <cell r="B23" t="str">
            <v>Escavação,carga e transportes de material de 1a categoria DMT= 1000 a 1200m</v>
          </cell>
          <cell r="C23" t="str">
            <v>DNER-ES280/97</v>
          </cell>
          <cell r="D23" t="str">
            <v/>
          </cell>
          <cell r="E23" t="str">
            <v>m3</v>
          </cell>
          <cell r="F23">
            <v>18027</v>
          </cell>
          <cell r="G23">
            <v>2.4</v>
          </cell>
        </row>
        <row r="24">
          <cell r="A24" t="str">
            <v>01.100.15</v>
          </cell>
          <cell r="B24" t="str">
            <v>Escavação,carga e transportes de material de 1a categoria DMT= 1200 a 1400m</v>
          </cell>
          <cell r="C24" t="str">
            <v>DNER-ES280/97</v>
          </cell>
          <cell r="D24" t="str">
            <v/>
          </cell>
          <cell r="E24" t="str">
            <v>m3</v>
          </cell>
          <cell r="F24">
            <v>5127</v>
          </cell>
          <cell r="G24">
            <v>2.62</v>
          </cell>
        </row>
        <row r="25">
          <cell r="A25" t="str">
            <v>01.100.16</v>
          </cell>
          <cell r="B25" t="str">
            <v>Escavação,carga e transportes de material de 1a  categoria DMT 1400 a 1600m</v>
          </cell>
          <cell r="C25" t="str">
            <v>DNER-ES280/97</v>
          </cell>
          <cell r="D25" t="str">
            <v/>
          </cell>
          <cell r="E25" t="str">
            <v>m3</v>
          </cell>
          <cell r="F25">
            <v>2145</v>
          </cell>
          <cell r="G25">
            <v>2.73</v>
          </cell>
        </row>
        <row r="26">
          <cell r="A26" t="str">
            <v>01.100.17</v>
          </cell>
          <cell r="B26" t="str">
            <v>Escavação,carga e transportes de material de 1a categoria DMT= 1600 a 1800m</v>
          </cell>
          <cell r="C26" t="str">
            <v>DNER-ES280/97</v>
          </cell>
          <cell r="D26" t="str">
            <v/>
          </cell>
          <cell r="E26" t="str">
            <v>m3</v>
          </cell>
          <cell r="F26">
            <v>1313</v>
          </cell>
          <cell r="G26">
            <v>2.84</v>
          </cell>
        </row>
        <row r="27">
          <cell r="A27" t="str">
            <v>01.100.18</v>
          </cell>
          <cell r="B27" t="str">
            <v>Escavação,carga e transportes de material de 1a categoria DMT= 1800 a 2000m</v>
          </cell>
          <cell r="C27" t="str">
            <v>DNER-ES280/97</v>
          </cell>
          <cell r="D27" t="str">
            <v/>
          </cell>
          <cell r="E27" t="str">
            <v>m3</v>
          </cell>
          <cell r="F27">
            <v>1078</v>
          </cell>
          <cell r="G27">
            <v>2.92</v>
          </cell>
        </row>
        <row r="28">
          <cell r="A28" t="str">
            <v>01.100.19</v>
          </cell>
          <cell r="B28" t="str">
            <v>Escavação,carga e transportes de material de 1a categoria DMT= 2000 a 3000m</v>
          </cell>
          <cell r="C28" t="str">
            <v>DNER-ES280/97</v>
          </cell>
          <cell r="D28" t="str">
            <v/>
          </cell>
          <cell r="E28" t="str">
            <v>m3</v>
          </cell>
          <cell r="F28">
            <v>16291</v>
          </cell>
          <cell r="G28">
            <v>3.26</v>
          </cell>
        </row>
        <row r="29">
          <cell r="A29" t="str">
            <v>DER50260</v>
          </cell>
          <cell r="B29" t="str">
            <v>Esc.  Carga e Transp. de mat. 1a cat. c/ CB 5000&lt;DMT&lt;6000m</v>
          </cell>
          <cell r="C29" t="str">
            <v/>
          </cell>
          <cell r="D29" t="str">
            <v/>
          </cell>
          <cell r="E29" t="str">
            <v>m3</v>
          </cell>
          <cell r="F29">
            <v>808</v>
          </cell>
          <cell r="G29">
            <v>4.29</v>
          </cell>
        </row>
        <row r="30">
          <cell r="A30" t="str">
            <v>DER50270</v>
          </cell>
          <cell r="B30" t="str">
            <v>Esc.  Carga e Transp. de mat. 1a cat. c/ CB 6000&lt;DMT&lt;7000m</v>
          </cell>
          <cell r="C30" t="str">
            <v/>
          </cell>
          <cell r="D30" t="str">
            <v/>
          </cell>
          <cell r="E30" t="str">
            <v>m3</v>
          </cell>
          <cell r="F30">
            <v>6239</v>
          </cell>
          <cell r="G30">
            <v>4.79</v>
          </cell>
        </row>
        <row r="31">
          <cell r="A31" t="str">
            <v>DER50315</v>
          </cell>
          <cell r="B31" t="str">
            <v>Esc.  Carga e Transp. de mat. 1a cat. c/ CB 12000&lt;DMT&lt;14000m</v>
          </cell>
          <cell r="C31" t="str">
            <v/>
          </cell>
          <cell r="D31" t="str">
            <v/>
          </cell>
          <cell r="E31" t="str">
            <v>m3</v>
          </cell>
          <cell r="F31">
            <v>16257</v>
          </cell>
          <cell r="G31">
            <v>8.0299999999999994</v>
          </cell>
        </row>
        <row r="32">
          <cell r="A32" t="str">
            <v>01.101.09</v>
          </cell>
          <cell r="B32" t="str">
            <v>Escavação,carga e transportes de material de 2a categoria,c/CB, DMT 50 a 200m</v>
          </cell>
          <cell r="C32" t="str">
            <v>DNER-ES280/97</v>
          </cell>
          <cell r="D32" t="str">
            <v/>
          </cell>
          <cell r="E32" t="str">
            <v>m3</v>
          </cell>
          <cell r="F32">
            <v>100</v>
          </cell>
          <cell r="G32">
            <v>2.85</v>
          </cell>
        </row>
        <row r="33">
          <cell r="A33" t="str">
            <v>01.101.10</v>
          </cell>
          <cell r="B33" t="str">
            <v>Escavação,carga e transportes de material de 2a categoria,c/CB,  DMT 200 a 400m</v>
          </cell>
          <cell r="C33" t="str">
            <v>DNER-ES280/97</v>
          </cell>
          <cell r="D33" t="str">
            <v/>
          </cell>
          <cell r="E33" t="str">
            <v>m3</v>
          </cell>
          <cell r="F33">
            <v>100</v>
          </cell>
          <cell r="G33">
            <v>2.97</v>
          </cell>
        </row>
        <row r="34">
          <cell r="A34" t="str">
            <v>01.101.11</v>
          </cell>
          <cell r="B34" t="str">
            <v>Escavação,carga e transportes de material de 2a categoria,c/CB,  DMT 400 a 600m</v>
          </cell>
          <cell r="C34" t="str">
            <v>DNER-ES280/97</v>
          </cell>
          <cell r="D34" t="str">
            <v/>
          </cell>
          <cell r="E34" t="str">
            <v>m3</v>
          </cell>
          <cell r="F34">
            <v>100</v>
          </cell>
          <cell r="G34">
            <v>3.15</v>
          </cell>
        </row>
        <row r="35">
          <cell r="A35" t="str">
            <v>01.101.12</v>
          </cell>
          <cell r="B35" t="str">
            <v>Escavação,carga e transportes de material de 2a categoria,c/CB,  DMT 600 a 800m</v>
          </cell>
          <cell r="C35" t="str">
            <v>DNER-ES280/97</v>
          </cell>
          <cell r="D35" t="str">
            <v/>
          </cell>
          <cell r="E35" t="str">
            <v>m3</v>
          </cell>
          <cell r="F35">
            <v>4759</v>
          </cell>
          <cell r="G35">
            <v>3.23</v>
          </cell>
        </row>
        <row r="36">
          <cell r="A36" t="str">
            <v>01.101.13</v>
          </cell>
          <cell r="B36" t="str">
            <v>Escavação,carga e transportes de material de 2a categoria,c/CB,  DMT 800 a 1 000m</v>
          </cell>
          <cell r="C36" t="str">
            <v>DNER-ES280/97</v>
          </cell>
          <cell r="D36" t="str">
            <v/>
          </cell>
          <cell r="E36" t="str">
            <v>m3</v>
          </cell>
          <cell r="F36">
            <v>100</v>
          </cell>
          <cell r="G36">
            <v>3.42</v>
          </cell>
        </row>
        <row r="37">
          <cell r="A37" t="str">
            <v>01.101.14</v>
          </cell>
          <cell r="B37" t="str">
            <v>Escavação,carga e transportes de material de 2a categoria,c/CB,  DMT 1000 a 1200m</v>
          </cell>
          <cell r="C37" t="str">
            <v>DNER-ES280/97</v>
          </cell>
          <cell r="D37" t="str">
            <v/>
          </cell>
          <cell r="E37" t="str">
            <v>m3</v>
          </cell>
          <cell r="F37">
            <v>12018</v>
          </cell>
          <cell r="G37">
            <v>3.49</v>
          </cell>
        </row>
        <row r="38">
          <cell r="A38" t="str">
            <v>01.101.15</v>
          </cell>
          <cell r="B38" t="str">
            <v>Escavação,carga e transportes de material de 2a categoria,c/CB,  DMT 1200 a 1400m</v>
          </cell>
          <cell r="C38" t="str">
            <v>DNER-ES280/97</v>
          </cell>
          <cell r="D38" t="str">
            <v/>
          </cell>
          <cell r="E38" t="str">
            <v>m3</v>
          </cell>
          <cell r="F38">
            <v>570</v>
          </cell>
          <cell r="G38">
            <v>3.73</v>
          </cell>
        </row>
        <row r="39">
          <cell r="A39" t="str">
            <v>01.101.16</v>
          </cell>
          <cell r="B39" t="str">
            <v>Escavação,carga e transportes de material de 2a categoria,c/CB,  DMT 1400 a 1600m</v>
          </cell>
          <cell r="C39" t="str">
            <v>DNER-ES280/97</v>
          </cell>
          <cell r="D39" t="str">
            <v/>
          </cell>
          <cell r="E39" t="str">
            <v>m3</v>
          </cell>
          <cell r="F39">
            <v>238</v>
          </cell>
          <cell r="G39">
            <v>3.87</v>
          </cell>
        </row>
        <row r="40">
          <cell r="A40" t="str">
            <v>01.101.17</v>
          </cell>
          <cell r="B40" t="str">
            <v>Escavação,carga e transportes de material de 2a categoria,c/CB,  DMT 1600 a 1800m</v>
          </cell>
          <cell r="C40" t="str">
            <v>DNER-ES280/97</v>
          </cell>
          <cell r="D40" t="str">
            <v/>
          </cell>
          <cell r="E40" t="str">
            <v>m3</v>
          </cell>
          <cell r="F40">
            <v>100</v>
          </cell>
          <cell r="G40">
            <v>3.99</v>
          </cell>
        </row>
        <row r="41">
          <cell r="A41" t="str">
            <v>01.101.18</v>
          </cell>
          <cell r="B41" t="str">
            <v>Escavação,carga e transportes de material de 2a categoria,c/CB,  DMT 1800 a 2000m</v>
          </cell>
          <cell r="C41" t="str">
            <v>DNER-ES280/97</v>
          </cell>
          <cell r="D41" t="str">
            <v/>
          </cell>
          <cell r="E41" t="str">
            <v>m3</v>
          </cell>
          <cell r="F41">
            <v>235</v>
          </cell>
          <cell r="G41">
            <v>4.1399999999999997</v>
          </cell>
        </row>
        <row r="42">
          <cell r="A42" t="str">
            <v>01.101.19</v>
          </cell>
          <cell r="B42" t="str">
            <v>Escavação,carga e transportes de material de 2a categoria,c/CB,  DMT 2000 a 3000m</v>
          </cell>
          <cell r="C42" t="str">
            <v>DNER-ES280/97</v>
          </cell>
          <cell r="D42" t="str">
            <v/>
          </cell>
          <cell r="E42" t="str">
            <v>m3</v>
          </cell>
          <cell r="F42">
            <v>557</v>
          </cell>
          <cell r="G42">
            <v>4.51</v>
          </cell>
        </row>
        <row r="43">
          <cell r="A43" t="str">
            <v>DER51250</v>
          </cell>
          <cell r="B43" t="str">
            <v>Escavação,carga e transportes de material de 2a categoria DMT 5000 a 6000m</v>
          </cell>
          <cell r="C43" t="str">
            <v/>
          </cell>
          <cell r="D43" t="str">
            <v/>
          </cell>
          <cell r="E43" t="str">
            <v>m3</v>
          </cell>
          <cell r="F43">
            <v>1802</v>
          </cell>
          <cell r="G43">
            <v>5.7</v>
          </cell>
        </row>
        <row r="44">
          <cell r="A44" t="str">
            <v>DER51260</v>
          </cell>
          <cell r="B44" t="str">
            <v>Escavação,carga e transportes de material de 2a categoria DMT 6000 a 7000m</v>
          </cell>
          <cell r="C44" t="str">
            <v/>
          </cell>
          <cell r="D44" t="str">
            <v/>
          </cell>
          <cell r="E44" t="str">
            <v>m3</v>
          </cell>
          <cell r="F44">
            <v>1248</v>
          </cell>
          <cell r="G44">
            <v>6.34</v>
          </cell>
        </row>
        <row r="45">
          <cell r="A45" t="str">
            <v>DER51310</v>
          </cell>
          <cell r="B45" t="str">
            <v>Escavação,carga e transportes de material de 2a categoria DMT 12000 a 14000m</v>
          </cell>
          <cell r="C45" t="str">
            <v/>
          </cell>
          <cell r="D45" t="str">
            <v/>
          </cell>
          <cell r="E45" t="str">
            <v>m3</v>
          </cell>
          <cell r="F45">
            <v>100</v>
          </cell>
          <cell r="G45">
            <v>10.14</v>
          </cell>
        </row>
        <row r="46">
          <cell r="A46" t="str">
            <v>DER52095</v>
          </cell>
          <cell r="B46" t="str">
            <v>Esc. Carga e Transp. de solos moles 800&lt;DMT&lt;=1000m</v>
          </cell>
          <cell r="C46" t="str">
            <v/>
          </cell>
          <cell r="D46" t="str">
            <v/>
          </cell>
          <cell r="E46" t="str">
            <v>m3</v>
          </cell>
          <cell r="F46">
            <v>808</v>
          </cell>
          <cell r="G46">
            <v>4.7</v>
          </cell>
        </row>
        <row r="47">
          <cell r="A47" t="str">
            <v>DER52101</v>
          </cell>
          <cell r="B47" t="str">
            <v>Esc. Carga e Transp. de solos moles 1200&lt;DMT&lt;=1400m</v>
          </cell>
          <cell r="C47" t="str">
            <v/>
          </cell>
          <cell r="D47" t="str">
            <v/>
          </cell>
          <cell r="E47" t="str">
            <v>m3</v>
          </cell>
          <cell r="F47">
            <v>1500</v>
          </cell>
          <cell r="G47">
            <v>4.74</v>
          </cell>
        </row>
        <row r="48">
          <cell r="A48" t="str">
            <v>DER52105</v>
          </cell>
          <cell r="B48" t="str">
            <v>Esc. Carga e Transp. de solos moles 2000&lt;DMT&lt;=3000m</v>
          </cell>
          <cell r="C48" t="str">
            <v/>
          </cell>
          <cell r="D48" t="str">
            <v/>
          </cell>
          <cell r="E48" t="str">
            <v>m3</v>
          </cell>
          <cell r="F48">
            <v>1222</v>
          </cell>
          <cell r="G48">
            <v>5.77</v>
          </cell>
        </row>
        <row r="49">
          <cell r="A49" t="str">
            <v>DER52106</v>
          </cell>
          <cell r="B49" t="str">
            <v>Esc. Carga e Transp. de solos moles 3000&lt;DMT&lt;=4000m</v>
          </cell>
          <cell r="C49" t="str">
            <v/>
          </cell>
          <cell r="D49" t="str">
            <v/>
          </cell>
          <cell r="E49" t="str">
            <v>m3</v>
          </cell>
          <cell r="F49">
            <v>3135</v>
          </cell>
          <cell r="G49">
            <v>6.37</v>
          </cell>
        </row>
        <row r="50">
          <cell r="A50" t="str">
            <v>01.510.00</v>
          </cell>
          <cell r="B50" t="str">
            <v>Compactação de aterros a 95% Proctor Normal</v>
          </cell>
          <cell r="C50" t="str">
            <v>DNER-ES282/97</v>
          </cell>
          <cell r="D50" t="str">
            <v/>
          </cell>
          <cell r="E50" t="str">
            <v>m3</v>
          </cell>
          <cell r="F50">
            <v>48343</v>
          </cell>
          <cell r="G50">
            <v>0.79</v>
          </cell>
        </row>
        <row r="51">
          <cell r="A51" t="str">
            <v>01.511.00</v>
          </cell>
          <cell r="B51" t="str">
            <v>Compactação de aterros a 100% Proctor Normal</v>
          </cell>
          <cell r="C51" t="str">
            <v>DNER-ES282/97</v>
          </cell>
          <cell r="D51" t="str">
            <v/>
          </cell>
          <cell r="E51" t="str">
            <v>m3</v>
          </cell>
          <cell r="F51">
            <v>22313</v>
          </cell>
          <cell r="G51">
            <v>1.36</v>
          </cell>
        </row>
        <row r="52">
          <cell r="F52" t="str">
            <v>SUB-TOTAL</v>
          </cell>
        </row>
        <row r="54">
          <cell r="B54" t="str">
            <v>PAVIMENTAÇÃO</v>
          </cell>
        </row>
        <row r="55">
          <cell r="A55" t="str">
            <v>02.000.00</v>
          </cell>
          <cell r="B55" t="str">
            <v>Regularização do subleito</v>
          </cell>
          <cell r="C55" t="str">
            <v/>
          </cell>
          <cell r="D55" t="str">
            <v/>
          </cell>
          <cell r="E55" t="str">
            <v>m2</v>
          </cell>
          <cell r="F55">
            <v>104259</v>
          </cell>
          <cell r="G55">
            <v>0.3</v>
          </cell>
        </row>
        <row r="56">
          <cell r="A56" t="str">
            <v>DER53130</v>
          </cell>
          <cell r="B56" t="str">
            <v>Camada de macadame seco</v>
          </cell>
          <cell r="C56" t="str">
            <v/>
          </cell>
          <cell r="D56" t="str">
            <v/>
          </cell>
          <cell r="E56" t="str">
            <v>m3</v>
          </cell>
          <cell r="F56">
            <v>17459</v>
          </cell>
          <cell r="G56">
            <v>21.86</v>
          </cell>
        </row>
        <row r="57">
          <cell r="A57" t="str">
            <v>02.230.00</v>
          </cell>
          <cell r="B57" t="str">
            <v>Base brita graduada</v>
          </cell>
          <cell r="C57" t="str">
            <v>DNER-ES303/97</v>
          </cell>
          <cell r="D57" t="str">
            <v/>
          </cell>
          <cell r="E57" t="str">
            <v>m3</v>
          </cell>
          <cell r="F57">
            <v>13838</v>
          </cell>
          <cell r="G57">
            <v>28.06</v>
          </cell>
        </row>
        <row r="58">
          <cell r="A58" t="str">
            <v>02.300.00</v>
          </cell>
          <cell r="B58" t="str">
            <v>Imprimação - Fornecimento, transporte e execução</v>
          </cell>
          <cell r="C58" t="str">
            <v>DNER-ES306/97</v>
          </cell>
          <cell r="D58" t="str">
            <v/>
          </cell>
          <cell r="E58" t="str">
            <v>m2</v>
          </cell>
          <cell r="F58">
            <v>92533</v>
          </cell>
          <cell r="G58">
            <v>1.1100000000000001</v>
          </cell>
        </row>
        <row r="59">
          <cell r="A59" t="str">
            <v>02.400.00</v>
          </cell>
          <cell r="B59" t="str">
            <v>Pintura de ligação - Fornec., transporte e execução</v>
          </cell>
          <cell r="C59" t="str">
            <v>DNER-ES307/97</v>
          </cell>
          <cell r="D59" t="str">
            <v/>
          </cell>
          <cell r="E59" t="str">
            <v>m2</v>
          </cell>
          <cell r="F59">
            <v>170839</v>
          </cell>
          <cell r="G59">
            <v>0.41</v>
          </cell>
        </row>
        <row r="60">
          <cell r="A60" t="str">
            <v>02.540.01</v>
          </cell>
          <cell r="B60" t="str">
            <v>Concreto betuminoso usinado a quente - usina 100/140 t/h</v>
          </cell>
          <cell r="C60" t="str">
            <v>DNER-ES313/97</v>
          </cell>
          <cell r="D60" t="str">
            <v/>
          </cell>
          <cell r="E60" t="str">
            <v>t</v>
          </cell>
          <cell r="F60">
            <v>19054</v>
          </cell>
          <cell r="G60">
            <v>67.64</v>
          </cell>
        </row>
        <row r="61">
          <cell r="A61" t="str">
            <v>DER82200</v>
          </cell>
          <cell r="B61" t="str">
            <v>Remoção de revestimento de CBUQ</v>
          </cell>
          <cell r="C61" t="str">
            <v/>
          </cell>
          <cell r="D61" t="str">
            <v/>
          </cell>
          <cell r="E61" t="str">
            <v>m3</v>
          </cell>
          <cell r="F61">
            <v>1526</v>
          </cell>
          <cell r="G61">
            <v>5.73</v>
          </cell>
        </row>
        <row r="62">
          <cell r="A62" t="str">
            <v>DER82200a</v>
          </cell>
          <cell r="B62" t="str">
            <v>Remoção de camada granular</v>
          </cell>
          <cell r="C62" t="str">
            <v/>
          </cell>
          <cell r="D62" t="str">
            <v/>
          </cell>
          <cell r="E62" t="str">
            <v>m3</v>
          </cell>
          <cell r="F62">
            <v>1526</v>
          </cell>
          <cell r="G62">
            <v>4.67</v>
          </cell>
        </row>
        <row r="63">
          <cell r="A63" t="str">
            <v>DER82150</v>
          </cell>
          <cell r="B63" t="str">
            <v>Remoção de pavimento a paralelelpípedo</v>
          </cell>
          <cell r="C63" t="str">
            <v/>
          </cell>
          <cell r="D63" t="str">
            <v/>
          </cell>
          <cell r="E63" t="str">
            <v>m2</v>
          </cell>
          <cell r="F63">
            <v>2238</v>
          </cell>
          <cell r="G63">
            <v>0.62</v>
          </cell>
        </row>
        <row r="64">
          <cell r="F64" t="str">
            <v>SUB-TOTAL</v>
          </cell>
        </row>
        <row r="65">
          <cell r="B65" t="str">
            <v>DRENAGEM</v>
          </cell>
        </row>
        <row r="66">
          <cell r="A66" t="str">
            <v>04.000.00</v>
          </cell>
          <cell r="B66" t="str">
            <v>Escavação manual em material de 1a categoria</v>
          </cell>
          <cell r="C66" t="str">
            <v/>
          </cell>
          <cell r="D66" t="str">
            <v/>
          </cell>
          <cell r="E66" t="str">
            <v>m3</v>
          </cell>
          <cell r="F66">
            <v>142</v>
          </cell>
          <cell r="G66">
            <v>17.57</v>
          </cell>
        </row>
        <row r="67">
          <cell r="A67" t="str">
            <v>04.001.00</v>
          </cell>
          <cell r="B67" t="str">
            <v>Escavação mecânica em material de 1a categoria</v>
          </cell>
          <cell r="C67" t="str">
            <v/>
          </cell>
          <cell r="D67" t="str">
            <v/>
          </cell>
          <cell r="E67" t="str">
            <v>m3</v>
          </cell>
          <cell r="F67">
            <v>2950</v>
          </cell>
          <cell r="G67">
            <v>2.09</v>
          </cell>
        </row>
        <row r="68">
          <cell r="A68" t="str">
            <v>04.001.01</v>
          </cell>
          <cell r="B68" t="str">
            <v>Escavação mecânica,reaterro e compactação (material de 1a categoria)</v>
          </cell>
          <cell r="C68" t="str">
            <v/>
          </cell>
          <cell r="D68" t="str">
            <v/>
          </cell>
          <cell r="E68" t="str">
            <v>m3</v>
          </cell>
          <cell r="F68">
            <v>928.4</v>
          </cell>
          <cell r="G68">
            <v>3.03</v>
          </cell>
        </row>
        <row r="69">
          <cell r="A69" t="str">
            <v>04.401.01</v>
          </cell>
          <cell r="B69" t="str">
            <v>Valeta de prot. de aterro c/ revest. vegetal VPA 01</v>
          </cell>
          <cell r="C69" t="str">
            <v/>
          </cell>
          <cell r="D69" t="str">
            <v/>
          </cell>
          <cell r="E69" t="str">
            <v>m</v>
          </cell>
          <cell r="F69">
            <v>1908</v>
          </cell>
          <cell r="G69">
            <v>31.98</v>
          </cell>
        </row>
        <row r="70">
          <cell r="A70" t="str">
            <v>04.401.02</v>
          </cell>
          <cell r="B70" t="str">
            <v>Valeta de prot. de aterro c/ revest. vegetal VPA 02</v>
          </cell>
          <cell r="C70" t="str">
            <v/>
          </cell>
          <cell r="D70" t="str">
            <v/>
          </cell>
          <cell r="E70" t="str">
            <v>m</v>
          </cell>
          <cell r="F70">
            <v>836</v>
          </cell>
          <cell r="G70">
            <v>24.32</v>
          </cell>
        </row>
        <row r="71">
          <cell r="A71" t="str">
            <v>04.500.06</v>
          </cell>
          <cell r="B71" t="str">
            <v>Dreno longit. profundo p/cortes em solo- DPS 06</v>
          </cell>
          <cell r="C71" t="str">
            <v>DNER-ES292/97</v>
          </cell>
          <cell r="D71" t="str">
            <v/>
          </cell>
          <cell r="E71" t="str">
            <v>m</v>
          </cell>
          <cell r="F71">
            <v>1243</v>
          </cell>
          <cell r="G71">
            <v>34.94</v>
          </cell>
        </row>
        <row r="72">
          <cell r="A72" t="str">
            <v>04.502.02</v>
          </cell>
          <cell r="B72" t="str">
            <v>Boca de saída p/ dreno longit. profundo- BSD 02</v>
          </cell>
          <cell r="C72" t="str">
            <v/>
          </cell>
          <cell r="D72" t="str">
            <v/>
          </cell>
          <cell r="E72" t="str">
            <v>un</v>
          </cell>
          <cell r="F72">
            <v>2</v>
          </cell>
          <cell r="G72">
            <v>49.08</v>
          </cell>
        </row>
        <row r="73">
          <cell r="A73" t="str">
            <v>04.510.03</v>
          </cell>
          <cell r="B73" t="str">
            <v>Dreno sub- superficial- DSS 03</v>
          </cell>
          <cell r="C73" t="str">
            <v>DNER-ES294/97</v>
          </cell>
          <cell r="D73" t="str">
            <v/>
          </cell>
          <cell r="E73" t="str">
            <v>m</v>
          </cell>
          <cell r="F73">
            <v>3497</v>
          </cell>
          <cell r="G73">
            <v>3.71</v>
          </cell>
        </row>
        <row r="74">
          <cell r="A74" t="str">
            <v>04.511.01</v>
          </cell>
          <cell r="B74" t="str">
            <v>Boca de saída p/ dreno sub-superficial-BSD 03</v>
          </cell>
          <cell r="C74" t="str">
            <v/>
          </cell>
          <cell r="D74" t="str">
            <v/>
          </cell>
          <cell r="E74" t="str">
            <v>un</v>
          </cell>
          <cell r="F74">
            <v>5</v>
          </cell>
          <cell r="G74">
            <v>20.86</v>
          </cell>
        </row>
        <row r="75">
          <cell r="A75" t="str">
            <v>04.900.21</v>
          </cell>
          <cell r="B75" t="str">
            <v>Sarjeta de cant. central de concreto-SCC 01</v>
          </cell>
          <cell r="C75" t="str">
            <v>DNER-ES288/97</v>
          </cell>
          <cell r="D75" t="str">
            <v/>
          </cell>
          <cell r="E75" t="str">
            <v>m</v>
          </cell>
          <cell r="F75">
            <v>3036</v>
          </cell>
          <cell r="G75">
            <v>13.85</v>
          </cell>
        </row>
        <row r="76">
          <cell r="A76" t="str">
            <v>04.900.22</v>
          </cell>
          <cell r="B76" t="str">
            <v>Sarjeta de cant. central de concreto-SCC 02</v>
          </cell>
          <cell r="C76" t="str">
            <v>DNER-ES288/97</v>
          </cell>
          <cell r="D76" t="str">
            <v/>
          </cell>
          <cell r="E76" t="str">
            <v>m</v>
          </cell>
          <cell r="F76">
            <v>638</v>
          </cell>
          <cell r="G76">
            <v>19.170000000000002</v>
          </cell>
        </row>
        <row r="77">
          <cell r="A77" t="str">
            <v>04.900.03</v>
          </cell>
          <cell r="B77" t="str">
            <v>Sarjeta triangular de concreto-STC 03</v>
          </cell>
          <cell r="C77" t="str">
            <v>DNER-ES288/97</v>
          </cell>
          <cell r="D77" t="str">
            <v/>
          </cell>
          <cell r="E77" t="str">
            <v>m</v>
          </cell>
          <cell r="F77">
            <v>55</v>
          </cell>
          <cell r="G77">
            <v>16.02</v>
          </cell>
        </row>
        <row r="78">
          <cell r="A78" t="str">
            <v>04.910.05</v>
          </cell>
          <cell r="B78" t="str">
            <v>Meio-fio de concreto-MFC 05</v>
          </cell>
          <cell r="C78" t="str">
            <v>DNER-ES290/97</v>
          </cell>
          <cell r="D78" t="str">
            <v/>
          </cell>
          <cell r="E78" t="str">
            <v>m</v>
          </cell>
          <cell r="F78">
            <v>21252</v>
          </cell>
          <cell r="G78">
            <v>10.54</v>
          </cell>
        </row>
        <row r="79">
          <cell r="A79" t="str">
            <v>DER78150b</v>
          </cell>
          <cell r="B79" t="str">
            <v>Caixa coletora de sarjeta - CCS, D=40cm E H=1,00m</v>
          </cell>
          <cell r="C79" t="str">
            <v/>
          </cell>
          <cell r="D79" t="str">
            <v/>
          </cell>
          <cell r="E79" t="str">
            <v>un</v>
          </cell>
          <cell r="F79">
            <v>4</v>
          </cell>
          <cell r="G79">
            <v>382.07</v>
          </cell>
        </row>
        <row r="80">
          <cell r="A80" t="str">
            <v>DER78150c</v>
          </cell>
          <cell r="B80" t="str">
            <v>Caixa coletora de sarjeta - CCS, D=40cm E H=1,50m</v>
          </cell>
          <cell r="C80" t="str">
            <v/>
          </cell>
          <cell r="D80" t="str">
            <v/>
          </cell>
          <cell r="E80" t="str">
            <v>un</v>
          </cell>
          <cell r="F80">
            <v>2</v>
          </cell>
          <cell r="G80">
            <v>503.68</v>
          </cell>
        </row>
        <row r="81">
          <cell r="A81" t="str">
            <v>DER78150a</v>
          </cell>
          <cell r="B81" t="str">
            <v>Caixa coletora de sarjeta - CCS, D=60cm E H=1,5m</v>
          </cell>
          <cell r="C81" t="str">
            <v/>
          </cell>
          <cell r="D81" t="str">
            <v/>
          </cell>
          <cell r="E81" t="str">
            <v>un</v>
          </cell>
          <cell r="F81">
            <v>1</v>
          </cell>
          <cell r="G81">
            <v>500.45</v>
          </cell>
        </row>
        <row r="82">
          <cell r="A82" t="str">
            <v>04.930.01</v>
          </cell>
          <cell r="B82" t="str">
            <v>Caixa coletora de sarjeta-CCS 01</v>
          </cell>
          <cell r="C82" t="str">
            <v>DNER-ES287/97</v>
          </cell>
          <cell r="D82" t="str">
            <v/>
          </cell>
          <cell r="E82" t="str">
            <v>un</v>
          </cell>
          <cell r="F82">
            <v>1</v>
          </cell>
          <cell r="G82">
            <v>568.85</v>
          </cell>
        </row>
        <row r="83">
          <cell r="A83" t="str">
            <v>04.931.03</v>
          </cell>
          <cell r="B83" t="str">
            <v>Caixa coletora de talvegue-CCT 03</v>
          </cell>
          <cell r="C83" t="str">
            <v>DNER-ES287/97</v>
          </cell>
          <cell r="D83" t="str">
            <v/>
          </cell>
          <cell r="E83" t="str">
            <v>un</v>
          </cell>
          <cell r="F83">
            <v>2</v>
          </cell>
          <cell r="G83">
            <v>551.65</v>
          </cell>
        </row>
        <row r="84">
          <cell r="A84" t="str">
            <v>04.931.02</v>
          </cell>
          <cell r="B84" t="str">
            <v>Caixa coletora de talvegue-CCT 02</v>
          </cell>
          <cell r="C84" t="str">
            <v>DNER-ES287/97</v>
          </cell>
          <cell r="D84" t="str">
            <v/>
          </cell>
          <cell r="E84" t="str">
            <v>un</v>
          </cell>
          <cell r="F84">
            <v>1</v>
          </cell>
          <cell r="G84">
            <v>564.34</v>
          </cell>
        </row>
        <row r="85">
          <cell r="A85" t="str">
            <v>04.960.01</v>
          </cell>
          <cell r="B85" t="str">
            <v>Boca de lobo simples c/ grelha de concreto-BLS 01</v>
          </cell>
          <cell r="C85" t="str">
            <v/>
          </cell>
          <cell r="D85" t="str">
            <v/>
          </cell>
          <cell r="E85" t="str">
            <v>un</v>
          </cell>
          <cell r="F85">
            <v>12</v>
          </cell>
          <cell r="G85">
            <v>203.51</v>
          </cell>
        </row>
        <row r="86">
          <cell r="A86" t="str">
            <v>04.960.02</v>
          </cell>
          <cell r="B86" t="str">
            <v>Boca de lobo simples c/ grelha de concreto-BLS 02</v>
          </cell>
          <cell r="C86" t="str">
            <v/>
          </cell>
          <cell r="D86" t="str">
            <v/>
          </cell>
          <cell r="E86" t="str">
            <v>un</v>
          </cell>
          <cell r="F86">
            <v>13</v>
          </cell>
          <cell r="G86">
            <v>257.83999999999997</v>
          </cell>
        </row>
        <row r="87">
          <cell r="A87" t="str">
            <v>04.960.03</v>
          </cell>
          <cell r="B87" t="str">
            <v>Boca de lobo simples c/ grelha de concreto-BLS 03</v>
          </cell>
          <cell r="C87" t="str">
            <v/>
          </cell>
          <cell r="D87" t="str">
            <v/>
          </cell>
          <cell r="E87" t="str">
            <v>un</v>
          </cell>
          <cell r="F87">
            <v>7</v>
          </cell>
          <cell r="G87">
            <v>312.23</v>
          </cell>
        </row>
        <row r="88">
          <cell r="A88" t="str">
            <v>04.961.02</v>
          </cell>
          <cell r="B88" t="str">
            <v>Boca de lobo dupla c/ grelha de concreto-BLD 02</v>
          </cell>
          <cell r="C88" t="str">
            <v/>
          </cell>
          <cell r="D88" t="str">
            <v/>
          </cell>
          <cell r="E88" t="str">
            <v>un</v>
          </cell>
          <cell r="F88">
            <v>3</v>
          </cell>
          <cell r="G88">
            <v>476.56</v>
          </cell>
        </row>
        <row r="89">
          <cell r="A89" t="str">
            <v>04.999.01</v>
          </cell>
          <cell r="B89" t="str">
            <v>Remoção de bueiros existentes</v>
          </cell>
          <cell r="C89" t="str">
            <v/>
          </cell>
          <cell r="D89" t="str">
            <v/>
          </cell>
          <cell r="E89" t="str">
            <v>m</v>
          </cell>
          <cell r="F89">
            <v>65</v>
          </cell>
          <cell r="G89">
            <v>13.06</v>
          </cell>
        </row>
        <row r="90">
          <cell r="A90" t="str">
            <v>04.999.02</v>
          </cell>
          <cell r="B90" t="str">
            <v>Demolição de dispositivos de concreto</v>
          </cell>
          <cell r="C90" t="str">
            <v>DNER-ES296/97</v>
          </cell>
          <cell r="D90" t="str">
            <v/>
          </cell>
          <cell r="E90" t="str">
            <v>m3</v>
          </cell>
          <cell r="F90">
            <v>69.599999999999994</v>
          </cell>
          <cell r="G90">
            <v>12.58</v>
          </cell>
        </row>
        <row r="91">
          <cell r="A91" t="str">
            <v>P 04.100.07</v>
          </cell>
          <cell r="B91" t="str">
            <v>Execução de galerias D=0,40 c/ lastro de brita</v>
          </cell>
          <cell r="C91" t="str">
            <v/>
          </cell>
          <cell r="D91" t="str">
            <v/>
          </cell>
          <cell r="E91" t="str">
            <v>m</v>
          </cell>
          <cell r="F91">
            <v>2037</v>
          </cell>
          <cell r="G91">
            <v>41.68</v>
          </cell>
        </row>
        <row r="92">
          <cell r="A92" t="str">
            <v>P 04.100.09</v>
          </cell>
          <cell r="B92" t="str">
            <v>Execução de galerias D=0,60 c/ lastro de brita</v>
          </cell>
          <cell r="C92" t="str">
            <v/>
          </cell>
          <cell r="D92" t="str">
            <v/>
          </cell>
          <cell r="E92" t="str">
            <v>m</v>
          </cell>
          <cell r="F92">
            <v>529</v>
          </cell>
          <cell r="G92">
            <v>100.67</v>
          </cell>
        </row>
        <row r="93">
          <cell r="A93" t="str">
            <v>P 04.100.08</v>
          </cell>
          <cell r="B93" t="str">
            <v>Execução de galerias D=0,40 c/ lastro de concreto</v>
          </cell>
          <cell r="C93" t="str">
            <v/>
          </cell>
          <cell r="D93" t="str">
            <v/>
          </cell>
          <cell r="E93" t="str">
            <v>m</v>
          </cell>
          <cell r="F93">
            <v>287</v>
          </cell>
          <cell r="G93">
            <v>58.65</v>
          </cell>
        </row>
        <row r="94">
          <cell r="A94" t="str">
            <v>P 04.100.10</v>
          </cell>
          <cell r="B94" t="str">
            <v>Execução de galerias D=0,60 c/ lastro de concreto</v>
          </cell>
          <cell r="C94" t="str">
            <v/>
          </cell>
          <cell r="D94" t="str">
            <v/>
          </cell>
          <cell r="E94" t="str">
            <v>m</v>
          </cell>
          <cell r="F94">
            <v>111</v>
          </cell>
          <cell r="G94">
            <v>131.66</v>
          </cell>
        </row>
        <row r="95">
          <cell r="A95" t="str">
            <v>DER72350b</v>
          </cell>
          <cell r="B95" t="str">
            <v>Boca para BSTC D=40cm - Normal</v>
          </cell>
          <cell r="C95" t="str">
            <v/>
          </cell>
          <cell r="D95" t="str">
            <v/>
          </cell>
          <cell r="E95" t="str">
            <v>un</v>
          </cell>
          <cell r="F95">
            <v>4</v>
          </cell>
          <cell r="G95">
            <v>147.57</v>
          </cell>
        </row>
        <row r="96">
          <cell r="A96" t="str">
            <v>04.101.01</v>
          </cell>
          <cell r="B96" t="str">
            <v>Boca de BSTC D=0.60m-normal</v>
          </cell>
          <cell r="C96" t="str">
            <v>DNER-ES284/97</v>
          </cell>
          <cell r="D96" t="str">
            <v/>
          </cell>
          <cell r="E96" t="str">
            <v>un</v>
          </cell>
          <cell r="F96">
            <v>6</v>
          </cell>
          <cell r="G96">
            <v>299.62</v>
          </cell>
        </row>
        <row r="97">
          <cell r="A97" t="str">
            <v>P 04.100.06</v>
          </cell>
          <cell r="B97" t="str">
            <v>Galeria D=0,40m envelopada</v>
          </cell>
          <cell r="C97" t="str">
            <v/>
          </cell>
          <cell r="D97" t="str">
            <v/>
          </cell>
          <cell r="E97" t="str">
            <v>m</v>
          </cell>
          <cell r="F97">
            <v>36</v>
          </cell>
          <cell r="G97">
            <v>103.37</v>
          </cell>
        </row>
        <row r="98">
          <cell r="A98" t="str">
            <v>P 04.100.12</v>
          </cell>
          <cell r="B98" t="str">
            <v>Galeria D=0,60m envelopada</v>
          </cell>
          <cell r="C98" t="str">
            <v/>
          </cell>
          <cell r="D98" t="str">
            <v/>
          </cell>
          <cell r="E98" t="str">
            <v>m</v>
          </cell>
          <cell r="F98">
            <v>23</v>
          </cell>
          <cell r="G98">
            <v>191.7</v>
          </cell>
        </row>
        <row r="99">
          <cell r="A99" t="str">
            <v>P.04.100.14</v>
          </cell>
          <cell r="B99" t="str">
            <v>Caixa de ligação e passagem BSTC, D=80cm, H=1,00m</v>
          </cell>
          <cell r="C99" t="str">
            <v/>
          </cell>
          <cell r="D99" t="str">
            <v/>
          </cell>
          <cell r="E99" t="str">
            <v>un</v>
          </cell>
          <cell r="F99">
            <v>1</v>
          </cell>
          <cell r="G99">
            <v>451.1</v>
          </cell>
        </row>
        <row r="100">
          <cell r="A100" t="str">
            <v>P.04.100.15</v>
          </cell>
          <cell r="B100" t="str">
            <v>Caixa de ligação e passagem BSTC,  D=1,00m, H=1,50m</v>
          </cell>
          <cell r="C100" t="str">
            <v/>
          </cell>
          <cell r="D100" t="str">
            <v/>
          </cell>
          <cell r="E100" t="str">
            <v>un</v>
          </cell>
          <cell r="F100">
            <v>1</v>
          </cell>
          <cell r="G100">
            <v>741.5</v>
          </cell>
        </row>
        <row r="101">
          <cell r="A101" t="str">
            <v>P.04.100.16</v>
          </cell>
          <cell r="B101" t="str">
            <v>Caixa de ligação e passagem BDTC,  D=1,00m, H=1,50m</v>
          </cell>
          <cell r="C101" t="str">
            <v/>
          </cell>
          <cell r="D101" t="str">
            <v/>
          </cell>
          <cell r="E101" t="str">
            <v>un</v>
          </cell>
          <cell r="F101">
            <v>1</v>
          </cell>
          <cell r="G101">
            <v>1174.79</v>
          </cell>
        </row>
        <row r="102">
          <cell r="A102" t="str">
            <v>04.962.01</v>
          </cell>
          <cell r="B102" t="str">
            <v>Caixa de ligação e passagem- CLP 01</v>
          </cell>
          <cell r="C102" t="str">
            <v>DNER-ES287/97</v>
          </cell>
          <cell r="D102" t="str">
            <v/>
          </cell>
          <cell r="E102" t="str">
            <v>un</v>
          </cell>
          <cell r="F102">
            <v>5</v>
          </cell>
          <cell r="G102">
            <v>371.03</v>
          </cell>
        </row>
        <row r="103">
          <cell r="A103" t="str">
            <v>04.962.02</v>
          </cell>
          <cell r="B103" t="str">
            <v>Caixa de ligação e passagem- CLP 02</v>
          </cell>
          <cell r="C103" t="str">
            <v>DNER-ES287/97</v>
          </cell>
          <cell r="D103" t="str">
            <v/>
          </cell>
          <cell r="E103" t="str">
            <v>un</v>
          </cell>
          <cell r="F103">
            <v>3</v>
          </cell>
          <cell r="G103">
            <v>359.92</v>
          </cell>
        </row>
        <row r="104">
          <cell r="A104" t="str">
            <v>04.962.07</v>
          </cell>
          <cell r="B104" t="str">
            <v>Caixa de ligação e passagem- CLP 07</v>
          </cell>
          <cell r="C104" t="str">
            <v>DNER-ES287/97</v>
          </cell>
          <cell r="D104" t="str">
            <v/>
          </cell>
          <cell r="E104" t="str">
            <v>un</v>
          </cell>
          <cell r="F104">
            <v>1</v>
          </cell>
          <cell r="G104">
            <v>443.2</v>
          </cell>
        </row>
        <row r="105">
          <cell r="A105" t="str">
            <v>04.962.08</v>
          </cell>
          <cell r="B105" t="str">
            <v>Caixa de ligação e passagem- CLP 08</v>
          </cell>
          <cell r="C105" t="str">
            <v>DNER-ES287/97</v>
          </cell>
          <cell r="D105" t="str">
            <v/>
          </cell>
          <cell r="E105" t="str">
            <v>un</v>
          </cell>
          <cell r="F105">
            <v>1</v>
          </cell>
          <cell r="G105">
            <v>431.6</v>
          </cell>
        </row>
        <row r="106">
          <cell r="A106" t="str">
            <v>04.963.01</v>
          </cell>
          <cell r="B106" t="str">
            <v>Poço de visita- PVI 01</v>
          </cell>
          <cell r="C106" t="str">
            <v/>
          </cell>
          <cell r="D106" t="str">
            <v/>
          </cell>
          <cell r="E106" t="str">
            <v>un</v>
          </cell>
          <cell r="F106">
            <v>1</v>
          </cell>
          <cell r="G106">
            <v>493.1</v>
          </cell>
        </row>
        <row r="107">
          <cell r="A107" t="str">
            <v>04.963.02</v>
          </cell>
          <cell r="B107" t="str">
            <v>Poço de visita- PVI 02</v>
          </cell>
          <cell r="C107" t="str">
            <v/>
          </cell>
          <cell r="D107" t="str">
            <v/>
          </cell>
          <cell r="E107" t="str">
            <v>un</v>
          </cell>
          <cell r="F107">
            <v>1</v>
          </cell>
          <cell r="G107">
            <v>481.49</v>
          </cell>
        </row>
        <row r="108">
          <cell r="A108" t="str">
            <v>04.963.31</v>
          </cell>
          <cell r="B108" t="str">
            <v>Chaminé dos poços de visita- CPV 01</v>
          </cell>
          <cell r="C108" t="str">
            <v/>
          </cell>
          <cell r="D108" t="str">
            <v/>
          </cell>
          <cell r="E108" t="str">
            <v>un</v>
          </cell>
          <cell r="F108">
            <v>1</v>
          </cell>
          <cell r="G108">
            <v>368.29</v>
          </cell>
        </row>
        <row r="109">
          <cell r="F109" t="str">
            <v>SUB-TOTAL</v>
          </cell>
        </row>
        <row r="111">
          <cell r="B111" t="str">
            <v>OBRAS DE ARTE CORRENTES</v>
          </cell>
        </row>
        <row r="112">
          <cell r="A112" t="str">
            <v>04.001.01</v>
          </cell>
          <cell r="B112" t="str">
            <v>Escavação mecânica,reaterro e compactação (material de 1a categoria)</v>
          </cell>
          <cell r="C112" t="str">
            <v/>
          </cell>
          <cell r="D112" t="str">
            <v/>
          </cell>
          <cell r="E112" t="str">
            <v>m3</v>
          </cell>
          <cell r="F112">
            <v>3714</v>
          </cell>
          <cell r="G112">
            <v>3.03</v>
          </cell>
        </row>
        <row r="113">
          <cell r="A113" t="str">
            <v>DER66050</v>
          </cell>
          <cell r="B113" t="str">
            <v>Corpo de BSTC D=50cm c/ lastro de brita</v>
          </cell>
          <cell r="C113" t="str">
            <v/>
          </cell>
          <cell r="D113" t="str">
            <v/>
          </cell>
          <cell r="E113" t="str">
            <v>m</v>
          </cell>
          <cell r="F113">
            <v>18</v>
          </cell>
          <cell r="G113">
            <v>54.42</v>
          </cell>
        </row>
        <row r="114">
          <cell r="A114" t="str">
            <v>DER72350a</v>
          </cell>
          <cell r="B114" t="str">
            <v>Boca para BSTC D=50cm - Normal</v>
          </cell>
          <cell r="C114" t="str">
            <v/>
          </cell>
          <cell r="D114" t="str">
            <v/>
          </cell>
          <cell r="E114" t="str">
            <v>un</v>
          </cell>
          <cell r="F114">
            <v>1</v>
          </cell>
          <cell r="G114">
            <v>157.56</v>
          </cell>
        </row>
        <row r="115">
          <cell r="A115" t="str">
            <v>04.100.02</v>
          </cell>
          <cell r="B115" t="str">
            <v>Corpo de BSTC D=0.80m</v>
          </cell>
          <cell r="C115" t="str">
            <v>DNER-ES284/97</v>
          </cell>
          <cell r="D115" t="str">
            <v/>
          </cell>
          <cell r="E115" t="str">
            <v xml:space="preserve">m </v>
          </cell>
          <cell r="F115">
            <v>99</v>
          </cell>
          <cell r="G115">
            <v>201.98</v>
          </cell>
        </row>
        <row r="116">
          <cell r="A116" t="str">
            <v>04.100.03</v>
          </cell>
          <cell r="B116" t="str">
            <v>Corpo de BSTC D=1.00m</v>
          </cell>
          <cell r="C116" t="str">
            <v>DNER-ES284/97</v>
          </cell>
          <cell r="D116" t="str">
            <v/>
          </cell>
          <cell r="E116" t="str">
            <v xml:space="preserve">m </v>
          </cell>
          <cell r="F116">
            <v>200</v>
          </cell>
          <cell r="G116">
            <v>280.33</v>
          </cell>
        </row>
        <row r="117">
          <cell r="A117" t="str">
            <v>04.101.02</v>
          </cell>
          <cell r="B117" t="str">
            <v>Boca de BSTC D=0.80m-normal</v>
          </cell>
          <cell r="C117" t="str">
            <v>DNER-ES284/97</v>
          </cell>
          <cell r="D117" t="str">
            <v/>
          </cell>
          <cell r="E117" t="str">
            <v>un</v>
          </cell>
          <cell r="F117">
            <v>4</v>
          </cell>
          <cell r="G117">
            <v>494.05</v>
          </cell>
        </row>
        <row r="118">
          <cell r="A118" t="str">
            <v>04.101.03</v>
          </cell>
          <cell r="B118" t="str">
            <v>Boca de BSTC D=1.00m-normal</v>
          </cell>
          <cell r="C118" t="str">
            <v>DNER-ES284/97</v>
          </cell>
          <cell r="D118" t="str">
            <v/>
          </cell>
          <cell r="E118" t="str">
            <v>un</v>
          </cell>
          <cell r="F118">
            <v>3</v>
          </cell>
          <cell r="G118">
            <v>757.56</v>
          </cell>
        </row>
        <row r="119">
          <cell r="A119" t="str">
            <v>04.101.05</v>
          </cell>
          <cell r="B119" t="str">
            <v>Boca de BSTC D=1.50m-normal</v>
          </cell>
          <cell r="C119" t="str">
            <v>DNER-ES284/97</v>
          </cell>
          <cell r="D119" t="str">
            <v/>
          </cell>
          <cell r="E119" t="str">
            <v>un</v>
          </cell>
          <cell r="F119">
            <v>3</v>
          </cell>
          <cell r="G119">
            <v>1942.12</v>
          </cell>
        </row>
        <row r="120">
          <cell r="A120" t="str">
            <v>04.110.01</v>
          </cell>
          <cell r="B120" t="str">
            <v>Corpo de BDTC D=1.00m</v>
          </cell>
          <cell r="C120" t="str">
            <v>DNER-ES284/97</v>
          </cell>
          <cell r="D120" t="str">
            <v/>
          </cell>
          <cell r="E120" t="str">
            <v>m</v>
          </cell>
          <cell r="F120">
            <v>142</v>
          </cell>
          <cell r="G120">
            <v>572.14</v>
          </cell>
        </row>
        <row r="121">
          <cell r="A121" t="str">
            <v>04.110.02</v>
          </cell>
          <cell r="B121" t="str">
            <v>Corpo de BDTC D=1.20m</v>
          </cell>
          <cell r="C121" t="str">
            <v>DNER-ES284/97</v>
          </cell>
          <cell r="D121" t="str">
            <v/>
          </cell>
          <cell r="E121" t="str">
            <v>m</v>
          </cell>
          <cell r="F121">
            <v>78</v>
          </cell>
          <cell r="G121">
            <v>745.38</v>
          </cell>
        </row>
        <row r="122">
          <cell r="A122" t="str">
            <v>04.111.01</v>
          </cell>
          <cell r="B122" t="str">
            <v>Boca de BDTC D=1.00m-normal</v>
          </cell>
          <cell r="C122" t="str">
            <v>DNER-ES284/97</v>
          </cell>
          <cell r="D122" t="str">
            <v/>
          </cell>
          <cell r="E122" t="str">
            <v>un</v>
          </cell>
          <cell r="F122">
            <v>5</v>
          </cell>
          <cell r="G122">
            <v>1056.6199999999999</v>
          </cell>
        </row>
        <row r="123">
          <cell r="A123" t="str">
            <v>04.111.02</v>
          </cell>
          <cell r="B123" t="str">
            <v>Boca de BDTC D=1.20m-normal</v>
          </cell>
          <cell r="C123" t="str">
            <v>DNER-ES284/97</v>
          </cell>
          <cell r="D123" t="str">
            <v/>
          </cell>
          <cell r="E123" t="str">
            <v>un</v>
          </cell>
          <cell r="F123">
            <v>2</v>
          </cell>
          <cell r="G123">
            <v>1521.54</v>
          </cell>
        </row>
        <row r="124">
          <cell r="A124" t="str">
            <v>DER67700</v>
          </cell>
          <cell r="B124" t="str">
            <v>Corpo de BTTC D=0.80m c/enrocamento e laje</v>
          </cell>
          <cell r="C124" t="str">
            <v/>
          </cell>
          <cell r="D124" t="str">
            <v/>
          </cell>
          <cell r="E124" t="str">
            <v>m</v>
          </cell>
          <cell r="F124">
            <v>31</v>
          </cell>
          <cell r="G124">
            <v>599.96</v>
          </cell>
        </row>
        <row r="125">
          <cell r="A125" t="str">
            <v>DER73550</v>
          </cell>
          <cell r="B125" t="str">
            <v>Boca de BTTC D=0,80m-normal</v>
          </cell>
          <cell r="C125" t="str">
            <v/>
          </cell>
          <cell r="D125" t="str">
            <v/>
          </cell>
          <cell r="E125" t="str">
            <v>un</v>
          </cell>
          <cell r="F125">
            <v>2</v>
          </cell>
          <cell r="G125">
            <v>685.42</v>
          </cell>
        </row>
        <row r="126">
          <cell r="A126" t="str">
            <v>P 04.100.23</v>
          </cell>
          <cell r="B126" t="str">
            <v>Bueiro Met.Corrug.circular, T.Armco,  c/Epoxy-bonded, MP-100, D=1,50 m, E=2,0mm</v>
          </cell>
          <cell r="C126" t="str">
            <v/>
          </cell>
          <cell r="D126" t="str">
            <v/>
          </cell>
          <cell r="E126" t="str">
            <v>m</v>
          </cell>
          <cell r="F126">
            <v>54</v>
          </cell>
          <cell r="G126">
            <v>510.8</v>
          </cell>
        </row>
        <row r="127">
          <cell r="F127" t="str">
            <v>SUB-TOTAL</v>
          </cell>
        </row>
        <row r="128">
          <cell r="B128" t="str">
            <v>OBRAS COMPLEMENTARES</v>
          </cell>
        </row>
        <row r="129">
          <cell r="A129" t="str">
            <v>05.100.00</v>
          </cell>
          <cell r="B129" t="str">
            <v>Enleivamento</v>
          </cell>
          <cell r="C129" t="str">
            <v>DNER-ES341/97</v>
          </cell>
          <cell r="D129" t="str">
            <v/>
          </cell>
          <cell r="E129" t="str">
            <v>m2</v>
          </cell>
          <cell r="F129">
            <v>77733</v>
          </cell>
          <cell r="G129">
            <v>2.06</v>
          </cell>
        </row>
        <row r="130">
          <cell r="A130" t="str">
            <v>P 05.100.02</v>
          </cell>
          <cell r="B130" t="str">
            <v>Fornecimento e plantio de árvore selecionada</v>
          </cell>
          <cell r="C130" t="str">
            <v/>
          </cell>
          <cell r="D130" t="str">
            <v/>
          </cell>
          <cell r="E130" t="str">
            <v>un</v>
          </cell>
          <cell r="F130">
            <v>251</v>
          </cell>
          <cell r="G130">
            <v>6.02</v>
          </cell>
        </row>
        <row r="131">
          <cell r="A131" t="str">
            <v>05.102.00</v>
          </cell>
          <cell r="B131" t="str">
            <v>Hidrossemeadura</v>
          </cell>
          <cell r="C131" t="str">
            <v>DNER-ES341/97</v>
          </cell>
          <cell r="D131" t="str">
            <v/>
          </cell>
          <cell r="E131" t="str">
            <v>m2</v>
          </cell>
          <cell r="F131">
            <v>241</v>
          </cell>
          <cell r="G131">
            <v>0.49</v>
          </cell>
        </row>
        <row r="132">
          <cell r="A132" t="str">
            <v>DER81950</v>
          </cell>
          <cell r="B132" t="str">
            <v>Calçada em lastro de brita c/revestimento em concreto</v>
          </cell>
          <cell r="C132" t="str">
            <v/>
          </cell>
          <cell r="D132" t="str">
            <v/>
          </cell>
          <cell r="E132" t="str">
            <v>m2</v>
          </cell>
          <cell r="F132">
            <v>13620</v>
          </cell>
          <cell r="G132">
            <v>8.94</v>
          </cell>
        </row>
        <row r="133">
          <cell r="A133" t="str">
            <v>05.301.01</v>
          </cell>
          <cell r="B133" t="str">
            <v>Alvenaria tijolos</v>
          </cell>
          <cell r="C133" t="str">
            <v/>
          </cell>
          <cell r="D133" t="str">
            <v/>
          </cell>
          <cell r="E133" t="str">
            <v>m2</v>
          </cell>
          <cell r="F133">
            <v>200</v>
          </cell>
          <cell r="G133">
            <v>24.32</v>
          </cell>
        </row>
        <row r="134">
          <cell r="A134" t="str">
            <v>P 05.300.00</v>
          </cell>
          <cell r="B134" t="str">
            <v>Abrigos para passageiros</v>
          </cell>
          <cell r="C134" t="str">
            <v/>
          </cell>
          <cell r="D134" t="str">
            <v/>
          </cell>
          <cell r="E134" t="str">
            <v>un</v>
          </cell>
          <cell r="F134">
            <v>8</v>
          </cell>
          <cell r="G134">
            <v>832.7</v>
          </cell>
        </row>
      </sheetData>
      <sheetData sheetId="10" refreshError="1">
        <row r="14">
          <cell r="A14" t="str">
            <v>01.000.00</v>
          </cell>
          <cell r="B14" t="str">
            <v>Desmatamento,destocamento e limpeza de área com árvore até 0,15m</v>
          </cell>
          <cell r="C14" t="str">
            <v>DNER-ES278/97</v>
          </cell>
          <cell r="D14" t="str">
            <v/>
          </cell>
          <cell r="E14" t="str">
            <v>m2</v>
          </cell>
          <cell r="F14">
            <v>50000</v>
          </cell>
          <cell r="G14">
            <v>7.0000000000000007E-2</v>
          </cell>
        </row>
        <row r="15">
          <cell r="A15" t="str">
            <v>01.010.00</v>
          </cell>
          <cell r="B15" t="str">
            <v>Desmatamento e destocamento árvores de 0,15m a 0,30m</v>
          </cell>
          <cell r="C15" t="str">
            <v>DNER-ES278/97</v>
          </cell>
          <cell r="D15" t="str">
            <v/>
          </cell>
          <cell r="E15" t="str">
            <v>un</v>
          </cell>
          <cell r="F15">
            <v>200</v>
          </cell>
          <cell r="G15">
            <v>8.92</v>
          </cell>
        </row>
        <row r="16">
          <cell r="A16" t="str">
            <v>01.011.00</v>
          </cell>
          <cell r="B16" t="str">
            <v>Desmatamento e destocamento árvores superior a 0,30m</v>
          </cell>
          <cell r="C16" t="str">
            <v>DNER-ES278/97</v>
          </cell>
          <cell r="D16" t="str">
            <v/>
          </cell>
          <cell r="E16" t="str">
            <v>un</v>
          </cell>
          <cell r="F16">
            <v>100</v>
          </cell>
          <cell r="G16">
            <v>26.75</v>
          </cell>
        </row>
        <row r="17">
          <cell r="A17" t="str">
            <v>01.100.12</v>
          </cell>
          <cell r="B17" t="str">
            <v>Escavação,carga e transportes de material de 1a categoria DMT= 600 a 800m</v>
          </cell>
          <cell r="C17" t="str">
            <v>DNER-ES280/97</v>
          </cell>
          <cell r="D17" t="str">
            <v/>
          </cell>
          <cell r="E17" t="str">
            <v>m3</v>
          </cell>
          <cell r="F17">
            <v>113272</v>
          </cell>
          <cell r="G17">
            <v>2.19</v>
          </cell>
        </row>
        <row r="18">
          <cell r="A18" t="str">
            <v>01.100.19</v>
          </cell>
          <cell r="B18" t="str">
            <v>Escavação,carga e transportes de material de 1a categoria DMT= 2000 a 3000m</v>
          </cell>
          <cell r="C18" t="str">
            <v>DNER-ES280/97</v>
          </cell>
          <cell r="D18" t="str">
            <v/>
          </cell>
          <cell r="E18" t="str">
            <v>m3</v>
          </cell>
          <cell r="F18">
            <v>14085</v>
          </cell>
          <cell r="G18">
            <v>3.26</v>
          </cell>
        </row>
        <row r="19">
          <cell r="A19" t="str">
            <v>DER50385</v>
          </cell>
          <cell r="B19" t="str">
            <v>Esc.  Carga e Transp. de mat. 1a cat. c/ CB 26000&lt;DMT&lt;28000m</v>
          </cell>
          <cell r="C19" t="str">
            <v/>
          </cell>
          <cell r="D19" t="str">
            <v/>
          </cell>
          <cell r="E19" t="str">
            <v>m3</v>
          </cell>
          <cell r="F19">
            <v>17676</v>
          </cell>
          <cell r="G19">
            <v>15.02</v>
          </cell>
        </row>
        <row r="20">
          <cell r="A20" t="str">
            <v>01.101.12</v>
          </cell>
          <cell r="B20" t="str">
            <v>Escavação,carga e transportes de material de 2a categoria,c/CB,  DMT 600 a 800m</v>
          </cell>
          <cell r="C20" t="str">
            <v>DNER-ES280/97</v>
          </cell>
          <cell r="D20" t="str">
            <v/>
          </cell>
          <cell r="E20" t="str">
            <v>m3</v>
          </cell>
          <cell r="F20">
            <v>75515</v>
          </cell>
          <cell r="G20">
            <v>3.23</v>
          </cell>
        </row>
        <row r="21">
          <cell r="A21" t="str">
            <v>01.101.19</v>
          </cell>
          <cell r="B21" t="str">
            <v>Escavação,carga e transportes de material de 2a categoria,c/CB,  DMT 2000 a 3000m</v>
          </cell>
          <cell r="C21" t="str">
            <v>DNER-ES280/97</v>
          </cell>
          <cell r="D21" t="str">
            <v/>
          </cell>
          <cell r="E21" t="str">
            <v>m3</v>
          </cell>
          <cell r="F21">
            <v>12149</v>
          </cell>
          <cell r="G21">
            <v>4.51</v>
          </cell>
        </row>
        <row r="22">
          <cell r="A22" t="str">
            <v>DER52101</v>
          </cell>
          <cell r="B22" t="str">
            <v>Esc. Carga e Transp. de solos moles 1200&lt;DMT&lt;=1400m</v>
          </cell>
          <cell r="C22" t="str">
            <v/>
          </cell>
          <cell r="D22" t="str">
            <v/>
          </cell>
          <cell r="E22" t="str">
            <v>m3</v>
          </cell>
          <cell r="F22">
            <v>13597</v>
          </cell>
          <cell r="G22">
            <v>4.74</v>
          </cell>
        </row>
        <row r="23">
          <cell r="A23" t="str">
            <v>01.510.00</v>
          </cell>
          <cell r="B23" t="str">
            <v>Compactação de aterros a 95% Proctor Normal</v>
          </cell>
          <cell r="C23" t="str">
            <v>DNER-ES282/97</v>
          </cell>
          <cell r="D23" t="str">
            <v/>
          </cell>
          <cell r="E23" t="str">
            <v>m3</v>
          </cell>
          <cell r="F23">
            <v>168653</v>
          </cell>
          <cell r="G23">
            <v>0.79</v>
          </cell>
        </row>
        <row r="24">
          <cell r="A24" t="str">
            <v>01.511.00</v>
          </cell>
          <cell r="B24" t="str">
            <v>Compactação de aterros a 100% Proctor Normal</v>
          </cell>
          <cell r="C24" t="str">
            <v>DNER-ES282/97</v>
          </cell>
          <cell r="D24" t="str">
            <v/>
          </cell>
          <cell r="E24" t="str">
            <v>m3</v>
          </cell>
          <cell r="F24">
            <v>21862</v>
          </cell>
          <cell r="G24">
            <v>1.36</v>
          </cell>
        </row>
        <row r="25">
          <cell r="F25" t="str">
            <v>SUB-TOTAL</v>
          </cell>
        </row>
        <row r="27">
          <cell r="B27" t="str">
            <v>PAVIMENTAÇÃO</v>
          </cell>
        </row>
        <row r="28">
          <cell r="A28" t="str">
            <v>02.000.00</v>
          </cell>
          <cell r="B28" t="str">
            <v>Regularização do subleito</v>
          </cell>
          <cell r="C28" t="str">
            <v/>
          </cell>
          <cell r="D28" t="str">
            <v/>
          </cell>
          <cell r="E28" t="str">
            <v>m2</v>
          </cell>
          <cell r="F28">
            <v>54585</v>
          </cell>
          <cell r="G28">
            <v>0.3</v>
          </cell>
        </row>
        <row r="29">
          <cell r="A29" t="str">
            <v>DER53130</v>
          </cell>
          <cell r="B29" t="str">
            <v>Camada de macadame seco</v>
          </cell>
          <cell r="C29" t="str">
            <v/>
          </cell>
          <cell r="D29" t="str">
            <v/>
          </cell>
          <cell r="E29" t="str">
            <v>m3</v>
          </cell>
          <cell r="F29">
            <v>9402</v>
          </cell>
          <cell r="G29">
            <v>21.86</v>
          </cell>
        </row>
        <row r="30">
          <cell r="A30" t="str">
            <v>02.230.00</v>
          </cell>
          <cell r="B30" t="str">
            <v>Base brita graduada</v>
          </cell>
          <cell r="C30" t="str">
            <v>DNER-ES303/97</v>
          </cell>
          <cell r="D30" t="str">
            <v/>
          </cell>
          <cell r="E30" t="str">
            <v>m3</v>
          </cell>
          <cell r="F30">
            <v>7485</v>
          </cell>
          <cell r="G30">
            <v>28.06</v>
          </cell>
        </row>
        <row r="31">
          <cell r="A31" t="str">
            <v>02.300.00</v>
          </cell>
          <cell r="B31" t="str">
            <v>Imprimação - Fornecimento, transporte e execução</v>
          </cell>
          <cell r="C31" t="str">
            <v>DNER-ES306/97</v>
          </cell>
          <cell r="D31" t="str">
            <v/>
          </cell>
          <cell r="E31" t="str">
            <v>m2</v>
          </cell>
          <cell r="F31">
            <v>49751</v>
          </cell>
          <cell r="G31">
            <v>1.1100000000000001</v>
          </cell>
        </row>
        <row r="32">
          <cell r="A32" t="str">
            <v>02.400.00</v>
          </cell>
          <cell r="B32" t="str">
            <v>Pintura de ligação - Fornec., transporte e execução</v>
          </cell>
          <cell r="C32" t="str">
            <v>DNER-ES307/97</v>
          </cell>
          <cell r="D32" t="str">
            <v/>
          </cell>
          <cell r="E32" t="str">
            <v>m2</v>
          </cell>
          <cell r="F32">
            <v>113720</v>
          </cell>
          <cell r="G32">
            <v>0.41</v>
          </cell>
        </row>
        <row r="33">
          <cell r="A33" t="str">
            <v>02.540.01</v>
          </cell>
          <cell r="B33" t="str">
            <v>Concreto betuminoso usinado a quente - usina 100/140 t/h</v>
          </cell>
          <cell r="C33" t="str">
            <v>DNER-ES313/97</v>
          </cell>
          <cell r="D33" t="str">
            <v/>
          </cell>
          <cell r="E33" t="str">
            <v>t</v>
          </cell>
          <cell r="F33">
            <v>13239</v>
          </cell>
          <cell r="G33">
            <v>67.64</v>
          </cell>
        </row>
        <row r="34">
          <cell r="A34" t="str">
            <v>DER82200a</v>
          </cell>
          <cell r="B34" t="str">
            <v>Remoção de camada granular</v>
          </cell>
          <cell r="C34" t="str">
            <v/>
          </cell>
          <cell r="D34" t="str">
            <v/>
          </cell>
          <cell r="E34" t="str">
            <v>m3</v>
          </cell>
          <cell r="F34">
            <v>1626</v>
          </cell>
          <cell r="G34">
            <v>4.67</v>
          </cell>
        </row>
        <row r="35">
          <cell r="A35" t="str">
            <v>DER82200</v>
          </cell>
          <cell r="B35" t="str">
            <v>Remoção de revestimento de CBUQ</v>
          </cell>
          <cell r="C35" t="str">
            <v/>
          </cell>
          <cell r="D35" t="str">
            <v/>
          </cell>
          <cell r="E35" t="str">
            <v>m3</v>
          </cell>
          <cell r="F35">
            <v>1626</v>
          </cell>
          <cell r="G35">
            <v>5.73</v>
          </cell>
        </row>
        <row r="36">
          <cell r="F36" t="str">
            <v>SUB-TOTAL</v>
          </cell>
        </row>
        <row r="38">
          <cell r="B38" t="str">
            <v>DRENAGEM</v>
          </cell>
        </row>
        <row r="39">
          <cell r="A39" t="str">
            <v>04.000.00</v>
          </cell>
          <cell r="B39" t="str">
            <v>Escavação manual em material de 1a categoria</v>
          </cell>
          <cell r="C39" t="str">
            <v/>
          </cell>
          <cell r="D39" t="str">
            <v/>
          </cell>
          <cell r="E39" t="str">
            <v>m3</v>
          </cell>
          <cell r="F39">
            <v>157</v>
          </cell>
          <cell r="G39">
            <v>17.57</v>
          </cell>
        </row>
        <row r="40">
          <cell r="A40" t="str">
            <v>04.001.00</v>
          </cell>
          <cell r="B40" t="str">
            <v>Escavação mecânica em material de 1a categoria</v>
          </cell>
          <cell r="C40" t="str">
            <v/>
          </cell>
          <cell r="D40" t="str">
            <v/>
          </cell>
          <cell r="E40" t="str">
            <v>m3</v>
          </cell>
          <cell r="F40">
            <v>1085</v>
          </cell>
          <cell r="G40">
            <v>2.09</v>
          </cell>
        </row>
        <row r="41">
          <cell r="A41" t="str">
            <v>04.001.01</v>
          </cell>
          <cell r="B41" t="str">
            <v>Escavação mecânica,reaterro e compactação (material de 1a categoria)</v>
          </cell>
          <cell r="C41" t="str">
            <v/>
          </cell>
          <cell r="D41" t="str">
            <v/>
          </cell>
          <cell r="E41" t="str">
            <v>m3</v>
          </cell>
          <cell r="F41">
            <v>1888</v>
          </cell>
          <cell r="G41">
            <v>3.03</v>
          </cell>
        </row>
        <row r="42">
          <cell r="A42" t="str">
            <v>04.401.02</v>
          </cell>
          <cell r="B42" t="str">
            <v>Valeta de prot. de aterro c/ revest. vegetal VPA 02</v>
          </cell>
          <cell r="C42" t="str">
            <v/>
          </cell>
          <cell r="D42" t="str">
            <v/>
          </cell>
          <cell r="E42" t="str">
            <v>m</v>
          </cell>
          <cell r="F42">
            <v>805</v>
          </cell>
          <cell r="G42">
            <v>24.32</v>
          </cell>
        </row>
        <row r="43">
          <cell r="A43" t="str">
            <v>04.500.06</v>
          </cell>
          <cell r="B43" t="str">
            <v>Dreno longit. profundo p/cortes em solo- DPS 06</v>
          </cell>
          <cell r="C43" t="str">
            <v>DNER-ES292/97</v>
          </cell>
          <cell r="D43" t="str">
            <v/>
          </cell>
          <cell r="E43" t="str">
            <v>m</v>
          </cell>
          <cell r="F43">
            <v>1023</v>
          </cell>
          <cell r="G43">
            <v>34.94</v>
          </cell>
        </row>
        <row r="44">
          <cell r="A44" t="str">
            <v>04.502.02</v>
          </cell>
          <cell r="B44" t="str">
            <v>Boca de saída p/ dreno longit. profundo- BSD 02</v>
          </cell>
          <cell r="C44" t="str">
            <v/>
          </cell>
          <cell r="D44" t="str">
            <v/>
          </cell>
          <cell r="E44" t="str">
            <v>un</v>
          </cell>
          <cell r="F44">
            <v>4</v>
          </cell>
          <cell r="G44">
            <v>49.08</v>
          </cell>
        </row>
        <row r="45">
          <cell r="A45" t="str">
            <v>04.510.03</v>
          </cell>
          <cell r="B45" t="str">
            <v>Dreno sub- superficial- DSS 03</v>
          </cell>
          <cell r="C45" t="str">
            <v>DNER-ES294/97</v>
          </cell>
          <cell r="D45" t="str">
            <v/>
          </cell>
          <cell r="E45" t="str">
            <v>m</v>
          </cell>
          <cell r="F45">
            <v>1095</v>
          </cell>
          <cell r="G45">
            <v>3.71</v>
          </cell>
        </row>
        <row r="46">
          <cell r="A46" t="str">
            <v>04.511.01</v>
          </cell>
          <cell r="B46" t="str">
            <v>Boca de saída p/ dreno sub-superficial-BSD 03</v>
          </cell>
          <cell r="C46" t="str">
            <v/>
          </cell>
          <cell r="D46" t="str">
            <v/>
          </cell>
          <cell r="E46" t="str">
            <v>un</v>
          </cell>
          <cell r="F46">
            <v>6</v>
          </cell>
          <cell r="G46">
            <v>20.86</v>
          </cell>
        </row>
        <row r="47">
          <cell r="A47" t="str">
            <v>04.900.04</v>
          </cell>
          <cell r="B47" t="str">
            <v>Sarjeta triangular de concreto-STC 04</v>
          </cell>
          <cell r="C47" t="str">
            <v>DNER-ES288/97</v>
          </cell>
          <cell r="D47" t="str">
            <v/>
          </cell>
          <cell r="E47" t="str">
            <v>m</v>
          </cell>
          <cell r="F47">
            <v>264</v>
          </cell>
          <cell r="G47">
            <v>12.93</v>
          </cell>
        </row>
        <row r="48">
          <cell r="A48" t="str">
            <v>04.900.21</v>
          </cell>
          <cell r="B48" t="str">
            <v>Sarjeta de cant. central de concreto-SCC 01</v>
          </cell>
          <cell r="C48" t="str">
            <v>DNER-ES288/97</v>
          </cell>
          <cell r="D48" t="str">
            <v/>
          </cell>
          <cell r="E48" t="str">
            <v>m</v>
          </cell>
          <cell r="F48">
            <v>678</v>
          </cell>
          <cell r="G48">
            <v>13.85</v>
          </cell>
        </row>
        <row r="49">
          <cell r="A49" t="str">
            <v>04.900.22</v>
          </cell>
          <cell r="B49" t="str">
            <v>Sarjeta de cant. central de concreto-SCC 02</v>
          </cell>
          <cell r="C49" t="str">
            <v>DNER-ES288/97</v>
          </cell>
          <cell r="D49" t="str">
            <v/>
          </cell>
          <cell r="E49" t="str">
            <v>m</v>
          </cell>
          <cell r="F49">
            <v>572</v>
          </cell>
          <cell r="G49">
            <v>19.170000000000002</v>
          </cell>
        </row>
        <row r="50">
          <cell r="A50" t="str">
            <v>04.910.05</v>
          </cell>
          <cell r="B50" t="str">
            <v>Meio-fio de concreto-MFC 05</v>
          </cell>
          <cell r="C50" t="str">
            <v>DNER-ES290/97</v>
          </cell>
          <cell r="D50" t="str">
            <v/>
          </cell>
          <cell r="E50" t="str">
            <v>m</v>
          </cell>
          <cell r="F50">
            <v>2286</v>
          </cell>
          <cell r="G50">
            <v>10.54</v>
          </cell>
        </row>
        <row r="51">
          <cell r="A51" t="str">
            <v>DER78150a</v>
          </cell>
          <cell r="B51" t="str">
            <v>Caixa coletora de sarjeta - CCS, D=60cm E H=1,5m</v>
          </cell>
          <cell r="C51" t="str">
            <v/>
          </cell>
          <cell r="D51" t="str">
            <v/>
          </cell>
          <cell r="E51" t="str">
            <v>un</v>
          </cell>
          <cell r="F51">
            <v>2</v>
          </cell>
          <cell r="G51">
            <v>500.45</v>
          </cell>
        </row>
        <row r="52">
          <cell r="A52" t="str">
            <v>04.930.01</v>
          </cell>
          <cell r="B52" t="str">
            <v>Caixa coletora de sarjeta-CCS 01</v>
          </cell>
          <cell r="C52" t="str">
            <v>DNER-ES287/97</v>
          </cell>
          <cell r="D52" t="str">
            <v/>
          </cell>
          <cell r="E52" t="str">
            <v>un</v>
          </cell>
          <cell r="F52">
            <v>2</v>
          </cell>
          <cell r="G52">
            <v>568.85</v>
          </cell>
        </row>
        <row r="53">
          <cell r="A53" t="str">
            <v>04.941.03</v>
          </cell>
          <cell r="B53" t="str">
            <v>Descida d'água de aterros em degraus-DAD 03</v>
          </cell>
          <cell r="C53" t="str">
            <v>DNER-ES291/97</v>
          </cell>
          <cell r="D53" t="str">
            <v/>
          </cell>
          <cell r="E53" t="str">
            <v>m</v>
          </cell>
          <cell r="F53">
            <v>3</v>
          </cell>
          <cell r="G53">
            <v>79.97</v>
          </cell>
        </row>
        <row r="54">
          <cell r="A54" t="str">
            <v>04.950.01</v>
          </cell>
          <cell r="B54" t="str">
            <v>Dissipador de energia- DES 01</v>
          </cell>
          <cell r="C54" t="str">
            <v>DNER-ES283/97</v>
          </cell>
          <cell r="D54" t="str">
            <v/>
          </cell>
          <cell r="E54" t="str">
            <v>un</v>
          </cell>
          <cell r="F54">
            <v>3</v>
          </cell>
          <cell r="G54">
            <v>93</v>
          </cell>
        </row>
        <row r="55">
          <cell r="A55" t="str">
            <v>04.960.01</v>
          </cell>
          <cell r="B55" t="str">
            <v>Boca de lobo simples c/ grelha de concreto-BLS 01</v>
          </cell>
          <cell r="C55" t="str">
            <v/>
          </cell>
          <cell r="D55" t="str">
            <v/>
          </cell>
          <cell r="E55" t="str">
            <v>un</v>
          </cell>
          <cell r="F55">
            <v>4</v>
          </cell>
          <cell r="G55">
            <v>203.51</v>
          </cell>
        </row>
        <row r="56">
          <cell r="A56" t="str">
            <v>04.960.02</v>
          </cell>
          <cell r="B56" t="str">
            <v>Boca de lobo simples c/ grelha de concreto-BLS 02</v>
          </cell>
          <cell r="C56" t="str">
            <v/>
          </cell>
          <cell r="D56" t="str">
            <v/>
          </cell>
          <cell r="E56" t="str">
            <v>un</v>
          </cell>
          <cell r="F56">
            <v>4</v>
          </cell>
          <cell r="G56">
            <v>257.83999999999997</v>
          </cell>
        </row>
        <row r="57">
          <cell r="A57" t="str">
            <v>04.962.01</v>
          </cell>
          <cell r="B57" t="str">
            <v>Caixa de ligação e passagem- CLP 01</v>
          </cell>
          <cell r="C57" t="str">
            <v>DNER-ES287/97</v>
          </cell>
          <cell r="D57" t="str">
            <v/>
          </cell>
          <cell r="E57" t="str">
            <v>un</v>
          </cell>
          <cell r="F57">
            <v>1</v>
          </cell>
          <cell r="G57">
            <v>371.03</v>
          </cell>
        </row>
        <row r="58">
          <cell r="A58" t="str">
            <v>04.962.15</v>
          </cell>
          <cell r="B58" t="str">
            <v>Caixa de ligação e passagem- CLP 15</v>
          </cell>
          <cell r="C58" t="str">
            <v>DNER-ES287/97</v>
          </cell>
          <cell r="D58" t="str">
            <v/>
          </cell>
          <cell r="E58" t="str">
            <v>un</v>
          </cell>
          <cell r="F58">
            <v>1</v>
          </cell>
          <cell r="G58">
            <v>683.07</v>
          </cell>
        </row>
        <row r="59">
          <cell r="A59" t="str">
            <v>P 04.100.07</v>
          </cell>
          <cell r="B59" t="str">
            <v>Execução de galerias D=0,40 c/ lastro de brita</v>
          </cell>
          <cell r="C59" t="str">
            <v/>
          </cell>
          <cell r="D59" t="str">
            <v/>
          </cell>
          <cell r="E59" t="str">
            <v>m</v>
          </cell>
          <cell r="F59">
            <v>317</v>
          </cell>
          <cell r="G59">
            <v>41.68</v>
          </cell>
        </row>
        <row r="60">
          <cell r="A60" t="str">
            <v>P 04.100.09</v>
          </cell>
          <cell r="B60" t="str">
            <v>Execução de galerias D=0,60 c/ lastro de brita</v>
          </cell>
          <cell r="C60" t="str">
            <v/>
          </cell>
          <cell r="D60" t="str">
            <v/>
          </cell>
          <cell r="E60" t="str">
            <v>m</v>
          </cell>
          <cell r="F60">
            <v>40</v>
          </cell>
          <cell r="G60">
            <v>100.67</v>
          </cell>
        </row>
        <row r="61">
          <cell r="A61" t="str">
            <v>P 04.100.08</v>
          </cell>
          <cell r="B61" t="str">
            <v>Execução de galerias D=0,40 c/ lastro de concreto</v>
          </cell>
          <cell r="C61" t="str">
            <v/>
          </cell>
          <cell r="D61" t="str">
            <v/>
          </cell>
          <cell r="E61" t="str">
            <v>m</v>
          </cell>
          <cell r="F61">
            <v>86</v>
          </cell>
          <cell r="G61">
            <v>58.65</v>
          </cell>
        </row>
        <row r="62">
          <cell r="A62" t="str">
            <v>P 04.100.10</v>
          </cell>
          <cell r="B62" t="str">
            <v>Execução de galerias D=0,60 c/ lastro de concreto</v>
          </cell>
          <cell r="C62" t="str">
            <v/>
          </cell>
          <cell r="D62" t="str">
            <v/>
          </cell>
          <cell r="E62" t="str">
            <v>m</v>
          </cell>
          <cell r="F62">
            <v>198</v>
          </cell>
          <cell r="G62">
            <v>131.66</v>
          </cell>
        </row>
        <row r="63">
          <cell r="A63" t="str">
            <v>DER72350b</v>
          </cell>
          <cell r="B63" t="str">
            <v>Boca para BSTC D=40cm - Normal</v>
          </cell>
          <cell r="C63" t="str">
            <v/>
          </cell>
          <cell r="D63" t="str">
            <v/>
          </cell>
          <cell r="E63" t="str">
            <v>un</v>
          </cell>
          <cell r="F63">
            <v>4</v>
          </cell>
          <cell r="G63">
            <v>147.57</v>
          </cell>
        </row>
        <row r="64">
          <cell r="A64" t="str">
            <v>04.101.01</v>
          </cell>
          <cell r="B64" t="str">
            <v>Boca de BSTC D=0.60m-normal</v>
          </cell>
          <cell r="C64" t="str">
            <v>DNER-ES284/97</v>
          </cell>
          <cell r="D64" t="str">
            <v/>
          </cell>
          <cell r="E64" t="str">
            <v>un</v>
          </cell>
          <cell r="F64">
            <v>5</v>
          </cell>
          <cell r="G64">
            <v>299.62</v>
          </cell>
        </row>
        <row r="65">
          <cell r="A65" t="str">
            <v>04.963.03</v>
          </cell>
          <cell r="B65" t="str">
            <v>Poço de visita- PVI 03</v>
          </cell>
          <cell r="C65" t="str">
            <v/>
          </cell>
          <cell r="D65" t="str">
            <v/>
          </cell>
          <cell r="E65" t="str">
            <v>un</v>
          </cell>
          <cell r="F65">
            <v>1</v>
          </cell>
          <cell r="G65">
            <v>569.29</v>
          </cell>
        </row>
        <row r="66">
          <cell r="A66" t="str">
            <v>04.991.01</v>
          </cell>
          <cell r="B66" t="str">
            <v>Tampa de concreto p/ caixa coletora(4 nervuras)-TCC 01</v>
          </cell>
          <cell r="C66" t="str">
            <v/>
          </cell>
          <cell r="D66" t="str">
            <v/>
          </cell>
          <cell r="E66" t="str">
            <v>un</v>
          </cell>
          <cell r="F66">
            <v>1</v>
          </cell>
          <cell r="G66">
            <v>48.34</v>
          </cell>
        </row>
        <row r="67">
          <cell r="F67" t="str">
            <v>SUB-TOTAL</v>
          </cell>
        </row>
        <row r="69">
          <cell r="B69" t="str">
            <v>OBRAS DE ARTE ESPECIAIS</v>
          </cell>
        </row>
        <row r="70">
          <cell r="B70" t="str">
            <v>Infra e Mesoestrutura</v>
          </cell>
        </row>
        <row r="71">
          <cell r="A71" t="str">
            <v>DER90150</v>
          </cell>
          <cell r="B71" t="str">
            <v>Escavação em tubulão a céu aberto em material de 1ªcateg.</v>
          </cell>
          <cell r="C71" t="str">
            <v/>
          </cell>
          <cell r="D71" t="str">
            <v/>
          </cell>
          <cell r="E71" t="str">
            <v>m3</v>
          </cell>
          <cell r="F71">
            <v>90</v>
          </cell>
          <cell r="G71">
            <v>184.89</v>
          </cell>
        </row>
        <row r="72">
          <cell r="A72" t="str">
            <v>DER90160</v>
          </cell>
          <cell r="B72" t="str">
            <v>Escavação em tubulão a céu aberto em material de 3ªcateg.</v>
          </cell>
          <cell r="C72" t="str">
            <v/>
          </cell>
          <cell r="D72" t="str">
            <v/>
          </cell>
          <cell r="E72" t="str">
            <v>m3</v>
          </cell>
          <cell r="F72">
            <v>1</v>
          </cell>
          <cell r="G72">
            <v>640.85</v>
          </cell>
        </row>
        <row r="73">
          <cell r="A73" t="str">
            <v>DER90170</v>
          </cell>
          <cell r="B73" t="str">
            <v>Escavação em tubulão sob ar comprimido em material de 1ªcateg.</v>
          </cell>
          <cell r="C73" t="str">
            <v/>
          </cell>
          <cell r="D73" t="str">
            <v/>
          </cell>
          <cell r="E73" t="str">
            <v>m3</v>
          </cell>
          <cell r="F73">
            <v>1</v>
          </cell>
          <cell r="G73">
            <v>742.04</v>
          </cell>
        </row>
        <row r="74">
          <cell r="A74" t="str">
            <v>DER90180</v>
          </cell>
          <cell r="B74" t="str">
            <v>Escavação em tubulão sob ar comprimido em material de 3ªcateg.</v>
          </cell>
          <cell r="C74" t="str">
            <v/>
          </cell>
          <cell r="D74" t="str">
            <v/>
          </cell>
          <cell r="E74" t="str">
            <v>m3</v>
          </cell>
          <cell r="F74">
            <v>110</v>
          </cell>
          <cell r="G74">
            <v>1154.25</v>
          </cell>
        </row>
        <row r="75">
          <cell r="A75" t="str">
            <v>03.371.00</v>
          </cell>
          <cell r="B75" t="str">
            <v>Formas de madeira compensada</v>
          </cell>
          <cell r="C75" t="str">
            <v/>
          </cell>
          <cell r="D75" t="str">
            <v/>
          </cell>
          <cell r="E75" t="str">
            <v>m2</v>
          </cell>
          <cell r="F75">
            <v>331</v>
          </cell>
          <cell r="G75">
            <v>21.86</v>
          </cell>
        </row>
        <row r="76">
          <cell r="A76" t="str">
            <v>03.371.02</v>
          </cell>
          <cell r="B76" t="str">
            <v>Formas de placa compensada plastificada</v>
          </cell>
          <cell r="C76" t="str">
            <v/>
          </cell>
          <cell r="D76" t="str">
            <v/>
          </cell>
          <cell r="E76" t="str">
            <v>m2</v>
          </cell>
          <cell r="F76">
            <v>210</v>
          </cell>
          <cell r="G76">
            <v>30.76</v>
          </cell>
        </row>
        <row r="77">
          <cell r="A77" t="str">
            <v>03.353.00</v>
          </cell>
          <cell r="B77" t="str">
            <v>Forn., preparo e colocação nas formas, de aço CA-50</v>
          </cell>
          <cell r="C77" t="str">
            <v/>
          </cell>
          <cell r="D77" t="str">
            <v/>
          </cell>
          <cell r="E77" t="str">
            <v>kg</v>
          </cell>
          <cell r="F77">
            <v>11325</v>
          </cell>
          <cell r="G77">
            <v>2.59</v>
          </cell>
        </row>
        <row r="78">
          <cell r="A78" t="str">
            <v>P 03.327.01</v>
          </cell>
          <cell r="B78" t="str">
            <v xml:space="preserve">Concreto fck= 25 MPa-contr. raz. uso ger. </v>
          </cell>
          <cell r="C78" t="str">
            <v/>
          </cell>
          <cell r="D78" t="str">
            <v/>
          </cell>
          <cell r="E78" t="str">
            <v>m3</v>
          </cell>
          <cell r="F78">
            <v>252</v>
          </cell>
          <cell r="G78">
            <v>163.22</v>
          </cell>
        </row>
        <row r="79">
          <cell r="B79" t="str">
            <v>Superestrutura</v>
          </cell>
        </row>
        <row r="80">
          <cell r="A80" t="str">
            <v>OAE6</v>
          </cell>
          <cell r="B80" t="str">
            <v>Escoramento metálico comum (cimbramento)</v>
          </cell>
          <cell r="C80" t="str">
            <v/>
          </cell>
          <cell r="D80" t="str">
            <v/>
          </cell>
          <cell r="E80" t="str">
            <v>m3</v>
          </cell>
          <cell r="F80">
            <v>9500</v>
          </cell>
          <cell r="G80">
            <v>27.58</v>
          </cell>
        </row>
        <row r="81">
          <cell r="A81" t="str">
            <v>03.371.02</v>
          </cell>
          <cell r="B81" t="str">
            <v>Formas de placa compensada plastificada</v>
          </cell>
          <cell r="C81" t="str">
            <v/>
          </cell>
          <cell r="D81" t="str">
            <v/>
          </cell>
          <cell r="E81" t="str">
            <v>m2</v>
          </cell>
          <cell r="F81">
            <v>2606</v>
          </cell>
          <cell r="G81">
            <v>30.76</v>
          </cell>
        </row>
        <row r="82">
          <cell r="A82" t="str">
            <v>03.371.00</v>
          </cell>
          <cell r="B82" t="str">
            <v>Formas de madeira compensada</v>
          </cell>
          <cell r="C82" t="str">
            <v/>
          </cell>
          <cell r="D82" t="str">
            <v/>
          </cell>
          <cell r="E82" t="str">
            <v>m2</v>
          </cell>
          <cell r="F82">
            <v>928</v>
          </cell>
          <cell r="G82">
            <v>21.86</v>
          </cell>
        </row>
        <row r="83">
          <cell r="A83" t="str">
            <v>03.353.00</v>
          </cell>
          <cell r="B83" t="str">
            <v>Forn., preparo e colocação nas formas, de aço CA-50</v>
          </cell>
          <cell r="C83" t="str">
            <v/>
          </cell>
          <cell r="D83" t="str">
            <v/>
          </cell>
          <cell r="E83" t="str">
            <v>kg</v>
          </cell>
          <cell r="F83">
            <v>119265</v>
          </cell>
          <cell r="G83">
            <v>2.59</v>
          </cell>
        </row>
        <row r="84">
          <cell r="A84" t="str">
            <v>OAE4</v>
          </cell>
          <cell r="B84" t="str">
            <v>Armadura de protensão, fornecimento, bainhas, ancoragens, operações de protensão</v>
          </cell>
          <cell r="C84" t="str">
            <v/>
          </cell>
          <cell r="D84" t="str">
            <v/>
          </cell>
          <cell r="E84" t="str">
            <v>kg</v>
          </cell>
          <cell r="F84">
            <v>45662</v>
          </cell>
          <cell r="G84">
            <v>19.28</v>
          </cell>
        </row>
        <row r="85">
          <cell r="A85" t="str">
            <v>OAE19</v>
          </cell>
          <cell r="B85" t="str">
            <v>Injeção de nata (cabos 12 varas 1/2")</v>
          </cell>
          <cell r="C85" t="str">
            <v/>
          </cell>
          <cell r="D85" t="str">
            <v/>
          </cell>
          <cell r="E85" t="str">
            <v>m</v>
          </cell>
          <cell r="F85">
            <v>1841.2</v>
          </cell>
          <cell r="G85">
            <v>3.65</v>
          </cell>
        </row>
        <row r="86">
          <cell r="A86" t="str">
            <v>OAE1</v>
          </cell>
          <cell r="B86" t="str">
            <v>Ancoragem ativa - Fornecimento, instalação e protensão</v>
          </cell>
          <cell r="C86" t="str">
            <v/>
          </cell>
          <cell r="D86" t="str">
            <v/>
          </cell>
          <cell r="E86" t="str">
            <v>un</v>
          </cell>
          <cell r="F86">
            <v>48</v>
          </cell>
          <cell r="G86">
            <v>682.29</v>
          </cell>
        </row>
        <row r="87">
          <cell r="A87" t="str">
            <v>03.330.00</v>
          </cell>
          <cell r="B87" t="str">
            <v>Concreto fck= 35 MPa-contr. raz. uso ger.</v>
          </cell>
          <cell r="C87" t="str">
            <v/>
          </cell>
          <cell r="D87" t="str">
            <v/>
          </cell>
          <cell r="E87" t="str">
            <v>m3</v>
          </cell>
          <cell r="F87">
            <v>1403</v>
          </cell>
          <cell r="G87">
            <v>166.78</v>
          </cell>
        </row>
        <row r="88">
          <cell r="B88" t="str">
            <v>Diversos</v>
          </cell>
        </row>
        <row r="89">
          <cell r="A89" t="str">
            <v>03.510.00</v>
          </cell>
          <cell r="B89" t="str">
            <v>Aparelho de apoio em neoprene</v>
          </cell>
          <cell r="C89" t="str">
            <v/>
          </cell>
          <cell r="D89" t="str">
            <v/>
          </cell>
          <cell r="E89" t="str">
            <v>kg</v>
          </cell>
          <cell r="F89">
            <v>665</v>
          </cell>
          <cell r="G89">
            <v>86.94</v>
          </cell>
        </row>
        <row r="90">
          <cell r="A90" t="str">
            <v>03.700.01</v>
          </cell>
          <cell r="B90" t="str">
            <v>Guarda corpo em concreto Fck = 18 MPa</v>
          </cell>
          <cell r="C90" t="str">
            <v/>
          </cell>
          <cell r="D90" t="str">
            <v/>
          </cell>
          <cell r="E90" t="str">
            <v>m</v>
          </cell>
          <cell r="F90">
            <v>148</v>
          </cell>
          <cell r="G90">
            <v>80.150000000000006</v>
          </cell>
        </row>
        <row r="91">
          <cell r="B91" t="str">
            <v>Barreiras de segurança (C.A.) Tipo New Jersey (312 m)</v>
          </cell>
        </row>
        <row r="92">
          <cell r="A92" t="str">
            <v>03.371.01</v>
          </cell>
          <cell r="B92" t="str">
            <v>Formas de placa compensada resinada</v>
          </cell>
          <cell r="C92" t="str">
            <v/>
          </cell>
          <cell r="D92" t="str">
            <v/>
          </cell>
          <cell r="E92" t="str">
            <v>m2</v>
          </cell>
          <cell r="F92">
            <v>561.6</v>
          </cell>
          <cell r="G92">
            <v>21.86</v>
          </cell>
        </row>
        <row r="93">
          <cell r="A93" t="str">
            <v>03.353.00</v>
          </cell>
          <cell r="B93" t="str">
            <v>Forn., preparo e colocação nas formas, de aço CA-50</v>
          </cell>
          <cell r="C93" t="str">
            <v/>
          </cell>
          <cell r="D93" t="str">
            <v/>
          </cell>
          <cell r="E93" t="str">
            <v>kg</v>
          </cell>
          <cell r="F93">
            <v>4368</v>
          </cell>
          <cell r="G93">
            <v>2.59</v>
          </cell>
        </row>
        <row r="94">
          <cell r="A94" t="str">
            <v>03.326.00</v>
          </cell>
          <cell r="B94" t="str">
            <v xml:space="preserve">Concreto fck= 20 MPa-contr. raz. uso ger. </v>
          </cell>
          <cell r="C94" t="str">
            <v/>
          </cell>
          <cell r="D94" t="str">
            <v/>
          </cell>
          <cell r="E94" t="str">
            <v>m3</v>
          </cell>
          <cell r="F94">
            <v>73</v>
          </cell>
          <cell r="G94">
            <v>149.19999999999999</v>
          </cell>
        </row>
        <row r="95">
          <cell r="B95" t="str">
            <v>Placas de aproximação( 04 unidades)</v>
          </cell>
        </row>
        <row r="96">
          <cell r="A96" t="str">
            <v>03.371.00</v>
          </cell>
          <cell r="B96" t="str">
            <v>Formas de madeira compensada</v>
          </cell>
          <cell r="C96" t="str">
            <v/>
          </cell>
          <cell r="D96" t="str">
            <v/>
          </cell>
          <cell r="E96" t="str">
            <v>m2</v>
          </cell>
          <cell r="F96">
            <v>32</v>
          </cell>
          <cell r="G96">
            <v>21.86</v>
          </cell>
        </row>
        <row r="97">
          <cell r="A97" t="str">
            <v>03.353.00</v>
          </cell>
          <cell r="B97" t="str">
            <v>Forn., preparo e colocação nas formas, de aço CA-50</v>
          </cell>
          <cell r="C97" t="str">
            <v/>
          </cell>
          <cell r="D97" t="str">
            <v/>
          </cell>
          <cell r="E97" t="str">
            <v>kg</v>
          </cell>
          <cell r="F97">
            <v>3968</v>
          </cell>
          <cell r="G97">
            <v>2.59</v>
          </cell>
        </row>
        <row r="98">
          <cell r="A98" t="str">
            <v>03.326.00</v>
          </cell>
          <cell r="B98" t="str">
            <v xml:space="preserve">Concreto fck= 20 MPa-contr. raz. uso ger. </v>
          </cell>
          <cell r="C98" t="str">
            <v/>
          </cell>
          <cell r="D98" t="str">
            <v/>
          </cell>
          <cell r="E98" t="str">
            <v>m3</v>
          </cell>
          <cell r="F98">
            <v>38</v>
          </cell>
          <cell r="G98">
            <v>149.19999999999999</v>
          </cell>
        </row>
        <row r="99">
          <cell r="B99" t="str">
            <v>Drenos</v>
          </cell>
        </row>
        <row r="100">
          <cell r="A100" t="str">
            <v>P 03.991.01c</v>
          </cell>
          <cell r="B100" t="str">
            <v>Dreno de FF D= 100 mm x 500mm</v>
          </cell>
          <cell r="C100" t="str">
            <v/>
          </cell>
          <cell r="D100" t="str">
            <v/>
          </cell>
          <cell r="E100" t="str">
            <v>un</v>
          </cell>
          <cell r="F100">
            <v>40</v>
          </cell>
          <cell r="G100">
            <v>15.64</v>
          </cell>
        </row>
        <row r="101">
          <cell r="A101" t="str">
            <v>P 03.991.01b</v>
          </cell>
          <cell r="B101" t="str">
            <v>Dreno de FF D= 50 mm x 500mm</v>
          </cell>
          <cell r="C101" t="str">
            <v/>
          </cell>
          <cell r="D101" t="str">
            <v/>
          </cell>
          <cell r="E101" t="str">
            <v>un</v>
          </cell>
          <cell r="F101">
            <v>30</v>
          </cell>
          <cell r="G101">
            <v>6.63</v>
          </cell>
        </row>
        <row r="102">
          <cell r="A102" t="str">
            <v>P 03.991.01a</v>
          </cell>
          <cell r="B102" t="str">
            <v>Dreno de FF D= 30 mm x 750mm</v>
          </cell>
          <cell r="C102" t="str">
            <v/>
          </cell>
          <cell r="D102" t="str">
            <v/>
          </cell>
          <cell r="E102" t="str">
            <v>un</v>
          </cell>
          <cell r="F102">
            <v>40</v>
          </cell>
          <cell r="G102">
            <v>6.25</v>
          </cell>
        </row>
        <row r="103">
          <cell r="F103" t="str">
            <v>SUB-TOTAL</v>
          </cell>
        </row>
        <row r="105">
          <cell r="B105" t="str">
            <v>OBRAS COMPLEMENTARES</v>
          </cell>
        </row>
        <row r="106">
          <cell r="A106" t="str">
            <v>05.100.00</v>
          </cell>
          <cell r="B106" t="str">
            <v>Enleivamento</v>
          </cell>
          <cell r="C106" t="str">
            <v>DNER-ES341/97</v>
          </cell>
          <cell r="D106" t="str">
            <v/>
          </cell>
          <cell r="E106" t="str">
            <v>m2</v>
          </cell>
          <cell r="F106">
            <v>6227</v>
          </cell>
          <cell r="G106">
            <v>2.06</v>
          </cell>
        </row>
        <row r="107">
          <cell r="A107" t="str">
            <v>DER53460a</v>
          </cell>
          <cell r="B107" t="str">
            <v>Calçamento com briquetes de 6 cm</v>
          </cell>
          <cell r="C107" t="str">
            <v/>
          </cell>
          <cell r="D107" t="str">
            <v/>
          </cell>
          <cell r="E107" t="str">
            <v>m2</v>
          </cell>
          <cell r="F107">
            <v>700</v>
          </cell>
          <cell r="G107">
            <v>20.48</v>
          </cell>
        </row>
        <row r="108">
          <cell r="A108" t="str">
            <v>P 05.100.01</v>
          </cell>
          <cell r="B108" t="str">
            <v>Fornecimento e plantio de lírio amarelo</v>
          </cell>
          <cell r="C108" t="str">
            <v/>
          </cell>
          <cell r="D108" t="str">
            <v/>
          </cell>
          <cell r="E108" t="str">
            <v>m2</v>
          </cell>
          <cell r="F108">
            <v>2241</v>
          </cell>
          <cell r="G108">
            <v>14.14</v>
          </cell>
        </row>
        <row r="109">
          <cell r="A109" t="str">
            <v>P 05.100.02</v>
          </cell>
          <cell r="B109" t="str">
            <v>Fornecimento e plantio de árvore selecionada</v>
          </cell>
          <cell r="C109" t="str">
            <v/>
          </cell>
          <cell r="D109" t="str">
            <v/>
          </cell>
          <cell r="E109" t="str">
            <v>un</v>
          </cell>
          <cell r="F109">
            <v>246</v>
          </cell>
          <cell r="G109">
            <v>6.02</v>
          </cell>
        </row>
        <row r="110">
          <cell r="A110" t="str">
            <v>DER81950</v>
          </cell>
          <cell r="B110" t="str">
            <v>Calçada em lastro de brita c/revestimento em concreto</v>
          </cell>
          <cell r="C110" t="str">
            <v/>
          </cell>
          <cell r="D110" t="str">
            <v/>
          </cell>
          <cell r="E110" t="str">
            <v>m2</v>
          </cell>
          <cell r="F110">
            <v>1000</v>
          </cell>
          <cell r="G110">
            <v>8.94</v>
          </cell>
        </row>
        <row r="111">
          <cell r="A111" t="str">
            <v>05.301.00</v>
          </cell>
          <cell r="B111" t="str">
            <v>Alvenaria de pedra argamassada</v>
          </cell>
          <cell r="C111" t="str">
            <v/>
          </cell>
          <cell r="D111" t="str">
            <v/>
          </cell>
          <cell r="E111" t="str">
            <v>m3</v>
          </cell>
          <cell r="F111">
            <v>60</v>
          </cell>
          <cell r="G111">
            <v>101.58</v>
          </cell>
        </row>
        <row r="112">
          <cell r="A112" t="str">
            <v>PI 01</v>
          </cell>
          <cell r="B112" t="str">
            <v>Poste de aço galv. a fogo, c/ 20,0m de alt. p/ instal. tipo engastado</v>
          </cell>
          <cell r="C112" t="str">
            <v/>
          </cell>
          <cell r="D112" t="str">
            <v/>
          </cell>
          <cell r="E112" t="str">
            <v>un</v>
          </cell>
          <cell r="F112">
            <v>7</v>
          </cell>
          <cell r="G112">
            <v>2662.25</v>
          </cell>
        </row>
        <row r="113">
          <cell r="A113" t="str">
            <v>PI 02</v>
          </cell>
          <cell r="B113" t="str">
            <v>Poste de aço galvanizado a fogo, c/ 10,0m de alt. p/instal.na lat. dos viadutos</v>
          </cell>
          <cell r="C113" t="str">
            <v/>
          </cell>
          <cell r="D113" t="str">
            <v/>
          </cell>
          <cell r="E113" t="str">
            <v>un</v>
          </cell>
          <cell r="F113">
            <v>8</v>
          </cell>
          <cell r="G113">
            <v>500</v>
          </cell>
        </row>
        <row r="114">
          <cell r="A114" t="str">
            <v>PI 03</v>
          </cell>
          <cell r="B114" t="str">
            <v xml:space="preserve">Luminária p/ iluminação pública ref.HRC-612 da Philips ou similar </v>
          </cell>
          <cell r="C114" t="str">
            <v/>
          </cell>
          <cell r="D114" t="str">
            <v/>
          </cell>
          <cell r="E114" t="str">
            <v>un</v>
          </cell>
          <cell r="F114">
            <v>12</v>
          </cell>
          <cell r="G114">
            <v>400</v>
          </cell>
        </row>
        <row r="115">
          <cell r="A115" t="str">
            <v>PI 04</v>
          </cell>
          <cell r="B115" t="str">
            <v xml:space="preserve">Luminária p/ iluminação pública ref.SRC-612 da Philips ou similar </v>
          </cell>
          <cell r="C115" t="str">
            <v/>
          </cell>
          <cell r="D115" t="str">
            <v/>
          </cell>
          <cell r="E115" t="str">
            <v>un</v>
          </cell>
          <cell r="F115">
            <v>22</v>
          </cell>
          <cell r="G115">
            <v>425.5</v>
          </cell>
        </row>
        <row r="116">
          <cell r="A116" t="str">
            <v>PI 07</v>
          </cell>
          <cell r="B116" t="str">
            <v>Suporte p/ luminária tipo ZGP402 da Philips ou similar</v>
          </cell>
          <cell r="C116" t="str">
            <v/>
          </cell>
          <cell r="D116" t="str">
            <v/>
          </cell>
          <cell r="E116" t="str">
            <v>un</v>
          </cell>
          <cell r="F116">
            <v>7</v>
          </cell>
          <cell r="G116">
            <v>100</v>
          </cell>
        </row>
        <row r="117">
          <cell r="A117" t="str">
            <v>PI 08</v>
          </cell>
          <cell r="B117" t="str">
            <v>Suporte p/ luminária tipo ZGP401 da Philips ou similar</v>
          </cell>
          <cell r="C117" t="str">
            <v/>
          </cell>
          <cell r="D117" t="str">
            <v/>
          </cell>
          <cell r="E117" t="str">
            <v>un</v>
          </cell>
          <cell r="F117">
            <v>20</v>
          </cell>
          <cell r="G117">
            <v>81.650000000000006</v>
          </cell>
        </row>
        <row r="118">
          <cell r="A118" t="str">
            <v>PI 09</v>
          </cell>
          <cell r="B118" t="str">
            <v>Lâmpada a vapor de sódio 400W, alta pressão, base E40</v>
          </cell>
          <cell r="C118" t="str">
            <v/>
          </cell>
          <cell r="D118" t="str">
            <v/>
          </cell>
          <cell r="E118" t="str">
            <v>un</v>
          </cell>
          <cell r="F118">
            <v>22</v>
          </cell>
          <cell r="G118">
            <v>33.35</v>
          </cell>
        </row>
        <row r="119">
          <cell r="A119" t="str">
            <v>PI 10</v>
          </cell>
          <cell r="B119" t="str">
            <v>Lâmpada a vapor de mercúrio 250W, alta pressão, base E40</v>
          </cell>
          <cell r="C119" t="str">
            <v/>
          </cell>
          <cell r="D119" t="str">
            <v/>
          </cell>
          <cell r="E119" t="str">
            <v>un</v>
          </cell>
          <cell r="F119">
            <v>12</v>
          </cell>
          <cell r="G119">
            <v>28.75</v>
          </cell>
        </row>
        <row r="120">
          <cell r="A120" t="str">
            <v>PI 14</v>
          </cell>
          <cell r="B120" t="str">
            <v>Caixa de passagem para instalação aparente D=50mm, tipo T</v>
          </cell>
          <cell r="C120" t="str">
            <v/>
          </cell>
          <cell r="D120" t="str">
            <v/>
          </cell>
          <cell r="E120" t="str">
            <v>un</v>
          </cell>
          <cell r="F120">
            <v>120</v>
          </cell>
          <cell r="G120">
            <v>4.08</v>
          </cell>
        </row>
        <row r="121">
          <cell r="A121" t="str">
            <v>PI 22</v>
          </cell>
          <cell r="B121" t="str">
            <v>Base completa com fusível Diazed, 6A, retardado, incluíndo tampa, anel de proteção e ajuste</v>
          </cell>
          <cell r="C121" t="str">
            <v/>
          </cell>
          <cell r="D121" t="str">
            <v/>
          </cell>
          <cell r="E121" t="str">
            <v>un</v>
          </cell>
          <cell r="F121">
            <v>34</v>
          </cell>
          <cell r="G121">
            <v>8.6300000000000008</v>
          </cell>
        </row>
        <row r="122">
          <cell r="A122" t="str">
            <v>PI 23</v>
          </cell>
          <cell r="B122" t="str">
            <v>Contator tripolar a seco, p/ corrente alternada - 55 A, para uso em rede 380/220V - 60Hz</v>
          </cell>
          <cell r="C122" t="str">
            <v/>
          </cell>
          <cell r="D122" t="str">
            <v/>
          </cell>
          <cell r="E122" t="str">
            <v>un</v>
          </cell>
          <cell r="F122">
            <v>5</v>
          </cell>
          <cell r="G122">
            <v>234.6</v>
          </cell>
        </row>
        <row r="123">
          <cell r="A123" t="str">
            <v>PI 24</v>
          </cell>
          <cell r="B123" t="str">
            <v>Fita elétrica auto fusão a base de borracha EPR</v>
          </cell>
          <cell r="C123" t="str">
            <v/>
          </cell>
          <cell r="D123" t="str">
            <v/>
          </cell>
          <cell r="E123" t="str">
            <v>un</v>
          </cell>
          <cell r="F123">
            <v>5</v>
          </cell>
          <cell r="G123">
            <v>6.39</v>
          </cell>
        </row>
        <row r="124">
          <cell r="A124" t="str">
            <v>PI 25</v>
          </cell>
          <cell r="B124" t="str">
            <v>Fita adesiva plástica isolante</v>
          </cell>
          <cell r="C124" t="str">
            <v/>
          </cell>
          <cell r="D124" t="str">
            <v/>
          </cell>
          <cell r="E124" t="str">
            <v>un</v>
          </cell>
          <cell r="F124">
            <v>8</v>
          </cell>
          <cell r="G124">
            <v>3.84</v>
          </cell>
        </row>
        <row r="125">
          <cell r="A125" t="str">
            <v>PI 26</v>
          </cell>
          <cell r="B125" t="str">
            <v>Relé fotoelétrico c/ suporte para fixação galv. com furo 18mm</v>
          </cell>
          <cell r="C125" t="str">
            <v/>
          </cell>
          <cell r="D125" t="str">
            <v/>
          </cell>
          <cell r="E125" t="str">
            <v>un</v>
          </cell>
          <cell r="F125">
            <v>5</v>
          </cell>
          <cell r="G125">
            <v>11.5</v>
          </cell>
        </row>
        <row r="126">
          <cell r="A126" t="str">
            <v>PI 27</v>
          </cell>
          <cell r="B126" t="str">
            <v>Cabo isolado p/ 1000V, bitola 35mm²</v>
          </cell>
          <cell r="C126" t="str">
            <v/>
          </cell>
          <cell r="D126" t="str">
            <v/>
          </cell>
          <cell r="E126" t="str">
            <v>m</v>
          </cell>
          <cell r="F126">
            <v>3600</v>
          </cell>
          <cell r="G126">
            <v>1.55</v>
          </cell>
        </row>
        <row r="127">
          <cell r="A127" t="str">
            <v>PI 28</v>
          </cell>
          <cell r="B127" t="str">
            <v>Eletroduto de aço tipo pesado 100mm</v>
          </cell>
          <cell r="C127" t="str">
            <v/>
          </cell>
          <cell r="D127" t="str">
            <v/>
          </cell>
          <cell r="E127" t="str">
            <v>m</v>
          </cell>
          <cell r="F127">
            <v>120</v>
          </cell>
          <cell r="G127">
            <v>28.55</v>
          </cell>
        </row>
        <row r="128">
          <cell r="A128" t="str">
            <v>PI 29</v>
          </cell>
          <cell r="B128" t="str">
            <v>Curva em alumínio fundido de alta resistência, fixação por encaixe,50mm</v>
          </cell>
          <cell r="C128" t="str">
            <v/>
          </cell>
          <cell r="D128" t="str">
            <v/>
          </cell>
          <cell r="E128" t="str">
            <v>un</v>
          </cell>
          <cell r="F128">
            <v>2</v>
          </cell>
          <cell r="G128">
            <v>18.75</v>
          </cell>
        </row>
        <row r="129">
          <cell r="A129" t="str">
            <v>PI 30</v>
          </cell>
          <cell r="B129" t="str">
            <v>Haste para aterramento aço-cobre D 13x2400mm</v>
          </cell>
          <cell r="C129" t="str">
            <v/>
          </cell>
          <cell r="D129" t="str">
            <v/>
          </cell>
          <cell r="E129" t="str">
            <v>un</v>
          </cell>
          <cell r="F129">
            <v>15</v>
          </cell>
          <cell r="G129">
            <v>6.04</v>
          </cell>
        </row>
        <row r="130">
          <cell r="A130" t="str">
            <v>PI 31</v>
          </cell>
          <cell r="B130" t="str">
            <v>Cabo de cobre nú meio duro, 7 fios 2AWG</v>
          </cell>
          <cell r="C130" t="str">
            <v/>
          </cell>
          <cell r="D130" t="str">
            <v/>
          </cell>
          <cell r="E130" t="str">
            <v>kg</v>
          </cell>
          <cell r="F130">
            <v>10</v>
          </cell>
          <cell r="G130">
            <v>7.02</v>
          </cell>
        </row>
        <row r="131">
          <cell r="A131" t="str">
            <v>PI 32</v>
          </cell>
          <cell r="B131" t="str">
            <v>Conetor paralelo, liga alumínio tronco 1/0-4 AWG e derivação 2-4AWG</v>
          </cell>
          <cell r="C131" t="str">
            <v/>
          </cell>
          <cell r="D131" t="str">
            <v/>
          </cell>
          <cell r="E131" t="str">
            <v>un</v>
          </cell>
          <cell r="F131">
            <v>10</v>
          </cell>
          <cell r="G131">
            <v>1.04</v>
          </cell>
        </row>
        <row r="132">
          <cell r="A132" t="str">
            <v>PI 33</v>
          </cell>
          <cell r="B132" t="str">
            <v>Tubo de aço galvanizado, vara de 6m e 50mm</v>
          </cell>
          <cell r="C132" t="str">
            <v/>
          </cell>
          <cell r="D132" t="str">
            <v/>
          </cell>
          <cell r="E132" t="str">
            <v>un</v>
          </cell>
          <cell r="F132">
            <v>2</v>
          </cell>
          <cell r="G132">
            <v>74.06</v>
          </cell>
        </row>
        <row r="133">
          <cell r="A133" t="str">
            <v>PI 34</v>
          </cell>
          <cell r="B133" t="str">
            <v>Construção de caixa tipo SP, ou pré-instalada com as mesmas características</v>
          </cell>
          <cell r="C133" t="str">
            <v/>
          </cell>
          <cell r="D133" t="str">
            <v/>
          </cell>
          <cell r="E133" t="str">
            <v>un</v>
          </cell>
          <cell r="F133">
            <v>19</v>
          </cell>
          <cell r="G133">
            <v>180</v>
          </cell>
        </row>
        <row r="134">
          <cell r="A134" t="str">
            <v>PI 35</v>
          </cell>
          <cell r="B134" t="str">
            <v>Construção de embasamento p/ poste tipo engastado, 20m de altura</v>
          </cell>
          <cell r="C134" t="str">
            <v/>
          </cell>
          <cell r="D134" t="str">
            <v/>
          </cell>
          <cell r="E134" t="str">
            <v>un</v>
          </cell>
          <cell r="F134">
            <v>7</v>
          </cell>
          <cell r="G134">
            <v>494</v>
          </cell>
        </row>
        <row r="135">
          <cell r="A135" t="str">
            <v>PI 36</v>
          </cell>
          <cell r="B135" t="str">
            <v>Construção de embasamento p/ poste tipo engastado, concreto duplo T, 10m de altura</v>
          </cell>
          <cell r="C135" t="str">
            <v/>
          </cell>
          <cell r="D135" t="str">
            <v/>
          </cell>
          <cell r="E135" t="str">
            <v>un</v>
          </cell>
          <cell r="F135">
            <v>12</v>
          </cell>
          <cell r="G135">
            <v>285</v>
          </cell>
        </row>
        <row r="136">
          <cell r="A136" t="str">
            <v>PI 38</v>
          </cell>
          <cell r="B136" t="str">
            <v>Confecção de emendas retas ou derivação em cabos classe 1000V, c/ conector à compressão</v>
          </cell>
          <cell r="C136" t="str">
            <v/>
          </cell>
          <cell r="D136" t="str">
            <v/>
          </cell>
          <cell r="E136" t="str">
            <v>un</v>
          </cell>
          <cell r="F136">
            <v>20</v>
          </cell>
          <cell r="G136">
            <v>4.5</v>
          </cell>
        </row>
        <row r="137">
          <cell r="A137" t="str">
            <v>PI 39</v>
          </cell>
          <cell r="B137" t="str">
            <v>Fixação de haste de terra e conexão ao neutro</v>
          </cell>
          <cell r="C137" t="str">
            <v/>
          </cell>
          <cell r="D137" t="str">
            <v/>
          </cell>
          <cell r="E137" t="str">
            <v>un</v>
          </cell>
          <cell r="F137">
            <v>15</v>
          </cell>
          <cell r="G137">
            <v>35</v>
          </cell>
        </row>
        <row r="138">
          <cell r="A138" t="str">
            <v>PI 40</v>
          </cell>
          <cell r="B138" t="str">
            <v>Montagem eletromecân.de iluminação a 17,5m de alt., formada p/2 pétalas, c/ fixação dos equip.</v>
          </cell>
          <cell r="C138" t="str">
            <v/>
          </cell>
          <cell r="D138" t="str">
            <v/>
          </cell>
          <cell r="E138" t="str">
            <v>un</v>
          </cell>
          <cell r="F138">
            <v>7</v>
          </cell>
          <cell r="G138">
            <v>550</v>
          </cell>
        </row>
        <row r="139">
          <cell r="A139" t="str">
            <v>PI 41</v>
          </cell>
          <cell r="B139" t="str">
            <v>Instalação de tubo de aço vara de 6m e curva de entrada de cabos na lateral do poste c/ fix. dutos</v>
          </cell>
          <cell r="C139" t="str">
            <v/>
          </cell>
          <cell r="D139" t="str">
            <v/>
          </cell>
          <cell r="E139" t="str">
            <v>un</v>
          </cell>
          <cell r="F139">
            <v>2</v>
          </cell>
          <cell r="G139">
            <v>200</v>
          </cell>
        </row>
        <row r="140">
          <cell r="A140" t="str">
            <v>PI 42</v>
          </cell>
          <cell r="B140" t="str">
            <v>Instalação de poste de aço de 20m de altura engastado</v>
          </cell>
          <cell r="C140" t="str">
            <v/>
          </cell>
          <cell r="D140" t="str">
            <v/>
          </cell>
          <cell r="E140" t="str">
            <v>un</v>
          </cell>
          <cell r="F140">
            <v>7</v>
          </cell>
          <cell r="G140">
            <v>250</v>
          </cell>
        </row>
        <row r="141">
          <cell r="A141" t="str">
            <v>PI 43</v>
          </cell>
          <cell r="B141" t="str">
            <v>Travessia de pista asfáltica p/ lançamento dutos aço tipo pesado 100mm</v>
          </cell>
          <cell r="C141" t="str">
            <v/>
          </cell>
          <cell r="D141" t="str">
            <v/>
          </cell>
          <cell r="E141" t="str">
            <v>m</v>
          </cell>
          <cell r="F141">
            <v>60</v>
          </cell>
          <cell r="G141">
            <v>70</v>
          </cell>
        </row>
        <row r="142">
          <cell r="A142" t="str">
            <v>PI 44</v>
          </cell>
          <cell r="B142" t="str">
            <v>Montagem eletromecânica de luminária 10,0m de altura, c/ fixação dos equip.e conexões elétricos</v>
          </cell>
          <cell r="C142" t="str">
            <v/>
          </cell>
          <cell r="D142" t="str">
            <v/>
          </cell>
          <cell r="E142" t="str">
            <v>un</v>
          </cell>
          <cell r="F142">
            <v>20</v>
          </cell>
          <cell r="G142">
            <v>60</v>
          </cell>
        </row>
        <row r="143">
          <cell r="A143" t="str">
            <v>PI 46</v>
          </cell>
          <cell r="B143" t="str">
            <v>Fixação de eletroduto de aço vara 3m ao longo das passarelas</v>
          </cell>
          <cell r="C143" t="str">
            <v/>
          </cell>
          <cell r="D143" t="str">
            <v/>
          </cell>
          <cell r="E143" t="str">
            <v>un</v>
          </cell>
          <cell r="F143">
            <v>120</v>
          </cell>
          <cell r="G143">
            <v>30</v>
          </cell>
        </row>
        <row r="144">
          <cell r="A144" t="str">
            <v>PI 51</v>
          </cell>
          <cell r="B144" t="str">
            <v>Eletoduto de PVC corrugado tipo Kanalex ou similar, 50 mm</v>
          </cell>
          <cell r="C144" t="str">
            <v/>
          </cell>
          <cell r="D144" t="str">
            <v/>
          </cell>
          <cell r="E144" t="str">
            <v>m</v>
          </cell>
          <cell r="F144">
            <v>415</v>
          </cell>
          <cell r="G144">
            <v>3.02</v>
          </cell>
        </row>
        <row r="145">
          <cell r="A145" t="str">
            <v>PI 56</v>
          </cell>
          <cell r="B145" t="str">
            <v>Cabo isolado p/ 1000V, 4 mm² de alumínio</v>
          </cell>
          <cell r="C145" t="str">
            <v/>
          </cell>
          <cell r="D145" t="str">
            <v/>
          </cell>
          <cell r="E145" t="str">
            <v>m</v>
          </cell>
          <cell r="F145">
            <v>440</v>
          </cell>
          <cell r="G145">
            <v>0.37</v>
          </cell>
        </row>
        <row r="146">
          <cell r="A146" t="str">
            <v>PI 63</v>
          </cell>
          <cell r="B146" t="str">
            <v>Eletroduto de aço galvanizado, d=50mm, vara de 3m</v>
          </cell>
          <cell r="C146" t="str">
            <v/>
          </cell>
          <cell r="D146" t="str">
            <v/>
          </cell>
          <cell r="E146" t="str">
            <v>un</v>
          </cell>
          <cell r="F146">
            <v>120</v>
          </cell>
          <cell r="G146">
            <v>40</v>
          </cell>
        </row>
        <row r="147">
          <cell r="A147" t="str">
            <v>PI 64</v>
          </cell>
          <cell r="B147" t="str">
            <v>Caixa de passagem p/ instalação aparente, D=50mm, tipo E</v>
          </cell>
          <cell r="C147" t="str">
            <v/>
          </cell>
          <cell r="D147" t="str">
            <v/>
          </cell>
          <cell r="E147" t="str">
            <v>un</v>
          </cell>
          <cell r="F147">
            <v>10</v>
          </cell>
          <cell r="G147">
            <v>20</v>
          </cell>
        </row>
        <row r="148">
          <cell r="A148" t="str">
            <v>PI 65</v>
          </cell>
          <cell r="B148" t="str">
            <v>Cabo de alumínio 1/0</v>
          </cell>
          <cell r="C148" t="str">
            <v/>
          </cell>
          <cell r="D148" t="str">
            <v/>
          </cell>
          <cell r="E148" t="str">
            <v>m</v>
          </cell>
          <cell r="F148">
            <v>450</v>
          </cell>
          <cell r="G148">
            <v>1.7</v>
          </cell>
        </row>
        <row r="149">
          <cell r="A149" t="str">
            <v>PI 66</v>
          </cell>
          <cell r="B149" t="str">
            <v>Cabo isolado p/ 1000 V, 6 mm2 de alumínio</v>
          </cell>
          <cell r="C149" t="str">
            <v/>
          </cell>
          <cell r="D149" t="str">
            <v/>
          </cell>
          <cell r="E149" t="str">
            <v>m</v>
          </cell>
          <cell r="F149">
            <v>140</v>
          </cell>
          <cell r="G149">
            <v>1</v>
          </cell>
        </row>
        <row r="150">
          <cell r="A150" t="str">
            <v>PI 68</v>
          </cell>
          <cell r="B150" t="str">
            <v>Instalação poste metálico c/ base, 10m de altura na lateral do viaduto</v>
          </cell>
          <cell r="C150" t="str">
            <v/>
          </cell>
          <cell r="D150" t="str">
            <v/>
          </cell>
          <cell r="E150" t="str">
            <v>un</v>
          </cell>
          <cell r="F150">
            <v>8</v>
          </cell>
          <cell r="G150">
            <v>100</v>
          </cell>
        </row>
        <row r="151">
          <cell r="A151" t="str">
            <v>PI 57</v>
          </cell>
          <cell r="B151" t="str">
            <v>Lançamento de cabos em eletroduto de PVC corrugado</v>
          </cell>
          <cell r="C151" t="str">
            <v/>
          </cell>
          <cell r="D151" t="str">
            <v/>
          </cell>
          <cell r="E151" t="str">
            <v>m</v>
          </cell>
          <cell r="F151">
            <v>415</v>
          </cell>
          <cell r="G151">
            <v>3</v>
          </cell>
        </row>
        <row r="152">
          <cell r="A152" t="str">
            <v>PI 37</v>
          </cell>
          <cell r="B152" t="str">
            <v>Lançamento de cabos em dutos de aço, classe 1000V, circuito trifásico mais neutro, e monofásico</v>
          </cell>
          <cell r="C152" t="str">
            <v/>
          </cell>
          <cell r="D152" t="str">
            <v/>
          </cell>
          <cell r="E152" t="str">
            <v>m</v>
          </cell>
          <cell r="F152">
            <v>60</v>
          </cell>
          <cell r="G152">
            <v>4</v>
          </cell>
        </row>
        <row r="153">
          <cell r="A153" t="str">
            <v>PI 69</v>
          </cell>
          <cell r="B153" t="str">
            <v>Instalação de poste concreto duplo T, 10m de altura, engastado</v>
          </cell>
          <cell r="C153" t="str">
            <v/>
          </cell>
          <cell r="D153" t="str">
            <v/>
          </cell>
          <cell r="E153" t="str">
            <v>un</v>
          </cell>
          <cell r="F153">
            <v>12</v>
          </cell>
          <cell r="G153">
            <v>200</v>
          </cell>
        </row>
        <row r="154">
          <cell r="A154" t="str">
            <v>R1</v>
          </cell>
          <cell r="B154" t="str">
            <v>Remanejamento de Rede de Baixa Tensão (220/380V)</v>
          </cell>
          <cell r="C154" t="str">
            <v/>
          </cell>
          <cell r="D154" t="str">
            <v/>
          </cell>
          <cell r="E154" t="str">
            <v>m</v>
          </cell>
          <cell r="F154">
            <v>550</v>
          </cell>
          <cell r="G154">
            <v>4.7</v>
          </cell>
        </row>
        <row r="155">
          <cell r="A155" t="str">
            <v>R2</v>
          </cell>
          <cell r="B155" t="str">
            <v>Remanejamento de Rede de Alta Tensão (138kV)</v>
          </cell>
          <cell r="C155" t="str">
            <v/>
          </cell>
          <cell r="D155" t="str">
            <v/>
          </cell>
          <cell r="E155" t="str">
            <v>m</v>
          </cell>
          <cell r="F155">
            <v>530</v>
          </cell>
          <cell r="G155">
            <v>6.2</v>
          </cell>
        </row>
        <row r="156">
          <cell r="A156" t="str">
            <v>R10</v>
          </cell>
          <cell r="B156" t="str">
            <v>Remanejamento de Poste de Concreto 10/150</v>
          </cell>
          <cell r="C156" t="str">
            <v/>
          </cell>
          <cell r="D156" t="str">
            <v/>
          </cell>
          <cell r="E156" t="str">
            <v>un</v>
          </cell>
          <cell r="F156">
            <v>14</v>
          </cell>
          <cell r="G156">
            <v>75</v>
          </cell>
        </row>
        <row r="157">
          <cell r="A157" t="str">
            <v>R11</v>
          </cell>
          <cell r="B157" t="str">
            <v>Remanejamento de Poste de Concreto 10/300</v>
          </cell>
          <cell r="C157" t="str">
            <v/>
          </cell>
          <cell r="D157" t="str">
            <v/>
          </cell>
          <cell r="E157" t="str">
            <v>un</v>
          </cell>
          <cell r="F157">
            <v>1</v>
          </cell>
          <cell r="G157">
            <v>75</v>
          </cell>
        </row>
        <row r="158">
          <cell r="A158" t="str">
            <v>R12</v>
          </cell>
          <cell r="B158" t="str">
            <v>Remanejamento de Poste de Concreto 10/600</v>
          </cell>
          <cell r="C158" t="str">
            <v/>
          </cell>
          <cell r="D158" t="str">
            <v/>
          </cell>
          <cell r="E158" t="str">
            <v>un</v>
          </cell>
          <cell r="F158">
            <v>1</v>
          </cell>
          <cell r="G158">
            <v>75</v>
          </cell>
        </row>
        <row r="159">
          <cell r="A159" t="str">
            <v>R14</v>
          </cell>
          <cell r="B159" t="str">
            <v>Remanejamento de Poste de Concreto 11/300</v>
          </cell>
          <cell r="C159" t="str">
            <v/>
          </cell>
          <cell r="D159" t="str">
            <v/>
          </cell>
          <cell r="E159" t="str">
            <v>un</v>
          </cell>
          <cell r="F159">
            <v>6</v>
          </cell>
          <cell r="G159">
            <v>75</v>
          </cell>
        </row>
        <row r="160">
          <cell r="A160" t="str">
            <v>R27</v>
          </cell>
          <cell r="B160" t="str">
            <v>Remanejamento de Poste de Madeira</v>
          </cell>
          <cell r="C160" t="str">
            <v/>
          </cell>
          <cell r="D160" t="str">
            <v/>
          </cell>
          <cell r="E160" t="str">
            <v>un</v>
          </cell>
          <cell r="F160">
            <v>2</v>
          </cell>
          <cell r="G160">
            <v>70</v>
          </cell>
        </row>
        <row r="161">
          <cell r="A161" t="str">
            <v>R20</v>
          </cell>
          <cell r="B161" t="str">
            <v>Remanejamento de Poste de Concreto 10/300 c/ 3 pétalas (400W) instalado</v>
          </cell>
          <cell r="C161" t="str">
            <v/>
          </cell>
          <cell r="D161" t="str">
            <v/>
          </cell>
          <cell r="E161" t="str">
            <v>un</v>
          </cell>
          <cell r="F161">
            <v>4</v>
          </cell>
          <cell r="G161">
            <v>250</v>
          </cell>
        </row>
        <row r="162">
          <cell r="A162" t="str">
            <v>R20A</v>
          </cell>
          <cell r="B162" t="str">
            <v>Remanejamento de Poste de Concreto 11/300 c/ 3 pétalas (400W) instalado</v>
          </cell>
          <cell r="C162" t="str">
            <v/>
          </cell>
          <cell r="D162" t="str">
            <v/>
          </cell>
          <cell r="E162" t="str">
            <v>un</v>
          </cell>
          <cell r="F162">
            <v>4</v>
          </cell>
          <cell r="G162">
            <v>250</v>
          </cell>
        </row>
        <row r="163">
          <cell r="A163" t="str">
            <v>R18</v>
          </cell>
          <cell r="B163" t="str">
            <v>Remanejamento de Poste de Concreto 10/150 c/ 3 pétalas (400W) instalado</v>
          </cell>
          <cell r="C163" t="str">
            <v/>
          </cell>
          <cell r="D163" t="str">
            <v/>
          </cell>
          <cell r="E163" t="str">
            <v>un</v>
          </cell>
          <cell r="F163">
            <v>2</v>
          </cell>
          <cell r="G163">
            <v>250</v>
          </cell>
        </row>
        <row r="164">
          <cell r="A164" t="str">
            <v>R3</v>
          </cell>
          <cell r="B164" t="str">
            <v>Remanejamento de Rede de Telefonia</v>
          </cell>
          <cell r="C164" t="str">
            <v/>
          </cell>
          <cell r="D164" t="str">
            <v/>
          </cell>
          <cell r="E164" t="str">
            <v>m</v>
          </cell>
          <cell r="F164">
            <v>300</v>
          </cell>
          <cell r="G164">
            <v>2</v>
          </cell>
        </row>
        <row r="165">
          <cell r="A165" t="str">
            <v>R29</v>
          </cell>
          <cell r="B165" t="str">
            <v>Remanejamento de Canalização de água em PVC, 40mm</v>
          </cell>
          <cell r="C165" t="str">
            <v/>
          </cell>
          <cell r="D165" t="str">
            <v/>
          </cell>
          <cell r="E165" t="str">
            <v>m</v>
          </cell>
          <cell r="F165">
            <v>440</v>
          </cell>
          <cell r="G165">
            <v>22.79</v>
          </cell>
        </row>
      </sheetData>
      <sheetData sheetId="11" refreshError="1">
        <row r="14">
          <cell r="A14" t="str">
            <v>01.000.00</v>
          </cell>
          <cell r="B14" t="str">
            <v>Desmatamento,destocamento e limpeza de área com árvore até 0,15m</v>
          </cell>
          <cell r="C14" t="str">
            <v>DNER-ES278/97</v>
          </cell>
          <cell r="D14" t="str">
            <v/>
          </cell>
          <cell r="E14" t="str">
            <v>m2</v>
          </cell>
          <cell r="F14">
            <v>20000</v>
          </cell>
          <cell r="G14">
            <v>7.0000000000000007E-2</v>
          </cell>
        </row>
        <row r="15">
          <cell r="A15" t="str">
            <v>01.010.00</v>
          </cell>
          <cell r="B15" t="str">
            <v>Desmatamento e destocamento árvores de 0,15m a 0,30m</v>
          </cell>
          <cell r="C15" t="str">
            <v>DNER-ES278/97</v>
          </cell>
          <cell r="D15" t="str">
            <v/>
          </cell>
          <cell r="E15" t="str">
            <v>un</v>
          </cell>
          <cell r="F15">
            <v>100</v>
          </cell>
          <cell r="G15">
            <v>8.92</v>
          </cell>
        </row>
        <row r="16">
          <cell r="A16" t="str">
            <v>01.011.00</v>
          </cell>
          <cell r="B16" t="str">
            <v>Desmatamento e destocamento árvores superior a 0,30m</v>
          </cell>
          <cell r="C16" t="str">
            <v>DNER-ES278/97</v>
          </cell>
          <cell r="D16" t="str">
            <v/>
          </cell>
          <cell r="E16" t="str">
            <v>un</v>
          </cell>
          <cell r="F16">
            <v>50</v>
          </cell>
          <cell r="G16">
            <v>26.75</v>
          </cell>
        </row>
        <row r="17">
          <cell r="A17" t="str">
            <v>01.100.10</v>
          </cell>
          <cell r="B17" t="str">
            <v>Escavação,carga e transportes de material de 1a categoria DMT= 200 a 400m</v>
          </cell>
          <cell r="C17" t="str">
            <v>DNER-ES280/97</v>
          </cell>
          <cell r="D17" t="str">
            <v/>
          </cell>
          <cell r="E17" t="str">
            <v>m3</v>
          </cell>
          <cell r="F17">
            <v>2733</v>
          </cell>
          <cell r="G17">
            <v>1.98</v>
          </cell>
        </row>
        <row r="18">
          <cell r="A18" t="str">
            <v>01.100.14</v>
          </cell>
          <cell r="B18" t="str">
            <v>Escavação,carga e transportes de material de 1a categoria DMT= 1000 a 1200m</v>
          </cell>
          <cell r="C18" t="str">
            <v>DNER-ES280/97</v>
          </cell>
          <cell r="D18" t="str">
            <v/>
          </cell>
          <cell r="E18" t="str">
            <v>m3</v>
          </cell>
          <cell r="F18">
            <v>1490</v>
          </cell>
          <cell r="G18">
            <v>2.4</v>
          </cell>
        </row>
        <row r="19">
          <cell r="A19" t="str">
            <v>DER50260</v>
          </cell>
          <cell r="B19" t="str">
            <v>Esc.  Carga e Transp. de mat. 1a cat. c/ CB 5000&lt;DMT&lt;6000m</v>
          </cell>
          <cell r="C19" t="str">
            <v/>
          </cell>
          <cell r="D19" t="str">
            <v/>
          </cell>
          <cell r="E19" t="str">
            <v>m3</v>
          </cell>
          <cell r="F19">
            <v>7702</v>
          </cell>
          <cell r="G19">
            <v>4.29</v>
          </cell>
        </row>
        <row r="20">
          <cell r="A20" t="str">
            <v>DER50385</v>
          </cell>
          <cell r="B20" t="str">
            <v>Esc.  Carga e Transp. de mat. 1a cat. c/ CB 26000&lt;DMT&lt;28000m</v>
          </cell>
          <cell r="C20" t="str">
            <v/>
          </cell>
          <cell r="D20" t="str">
            <v/>
          </cell>
          <cell r="E20" t="str">
            <v>m3</v>
          </cell>
          <cell r="F20">
            <v>20309</v>
          </cell>
          <cell r="G20">
            <v>15.02</v>
          </cell>
        </row>
        <row r="21">
          <cell r="A21" t="str">
            <v>01.101.14</v>
          </cell>
          <cell r="B21" t="str">
            <v>Escavação,carga e transportes de material de 2a categoria,c/CB,  DMT 1000 a 1200m</v>
          </cell>
          <cell r="C21" t="str">
            <v>DNER-ES280/97</v>
          </cell>
          <cell r="D21" t="str">
            <v/>
          </cell>
          <cell r="E21" t="str">
            <v>m3</v>
          </cell>
          <cell r="F21">
            <v>2985</v>
          </cell>
          <cell r="G21">
            <v>3.49</v>
          </cell>
        </row>
        <row r="22">
          <cell r="A22" t="str">
            <v>DER51250</v>
          </cell>
          <cell r="B22" t="str">
            <v>Escavação,carga e transportes de material de 2a categoria DMT 5000 a 6000m</v>
          </cell>
          <cell r="C22" t="str">
            <v/>
          </cell>
          <cell r="D22" t="str">
            <v/>
          </cell>
          <cell r="E22" t="str">
            <v>m3</v>
          </cell>
          <cell r="F22">
            <v>5134</v>
          </cell>
          <cell r="G22">
            <v>5.7</v>
          </cell>
        </row>
        <row r="23">
          <cell r="A23" t="str">
            <v>DER52105</v>
          </cell>
          <cell r="B23" t="str">
            <v>Esc. Carga e Transp. de solos moles 2000&lt;DMT&lt;=3000m</v>
          </cell>
          <cell r="C23" t="str">
            <v/>
          </cell>
          <cell r="D23" t="str">
            <v/>
          </cell>
          <cell r="E23" t="str">
            <v>m3</v>
          </cell>
          <cell r="F23">
            <v>15622</v>
          </cell>
          <cell r="G23">
            <v>5.77</v>
          </cell>
        </row>
        <row r="24">
          <cell r="A24" t="str">
            <v>01.510.00</v>
          </cell>
          <cell r="B24" t="str">
            <v>Compactação de aterros a 95% Proctor Normal</v>
          </cell>
          <cell r="C24" t="str">
            <v>DNER-ES282/97</v>
          </cell>
          <cell r="D24" t="str">
            <v/>
          </cell>
          <cell r="E24" t="str">
            <v>m3</v>
          </cell>
          <cell r="F24">
            <v>25992</v>
          </cell>
          <cell r="G24">
            <v>0.79</v>
          </cell>
        </row>
        <row r="25">
          <cell r="A25" t="str">
            <v>01.511.00</v>
          </cell>
          <cell r="B25" t="str">
            <v>Compactação de aterros a 100% Proctor Normal</v>
          </cell>
          <cell r="C25" t="str">
            <v>DNER-ES282/97</v>
          </cell>
          <cell r="D25" t="str">
            <v/>
          </cell>
          <cell r="E25" t="str">
            <v>m3</v>
          </cell>
          <cell r="F25">
            <v>2444</v>
          </cell>
          <cell r="G25">
            <v>1.36</v>
          </cell>
        </row>
        <row r="26">
          <cell r="A26" t="str">
            <v>P 10.000.06</v>
          </cell>
          <cell r="B26" t="str">
            <v>Aterro reforçado c/ elementos Terramesh (0,50x1,00x4,00m)(malha 8x10) ou similar</v>
          </cell>
          <cell r="C26" t="str">
            <v/>
          </cell>
          <cell r="D26" t="str">
            <v/>
          </cell>
          <cell r="E26" t="str">
            <v>un</v>
          </cell>
          <cell r="F26">
            <v>1011</v>
          </cell>
          <cell r="G26">
            <v>321.67</v>
          </cell>
        </row>
        <row r="27">
          <cell r="A27" t="str">
            <v>P 10.000.05</v>
          </cell>
          <cell r="B27" t="str">
            <v>Aterro reforçado c/ elementos Terramesh (1,00x1,00x4,00m)(malha 8x10) ou similar</v>
          </cell>
          <cell r="C27" t="str">
            <v/>
          </cell>
          <cell r="D27" t="str">
            <v/>
          </cell>
          <cell r="E27" t="str">
            <v>un</v>
          </cell>
          <cell r="F27">
            <v>591</v>
          </cell>
          <cell r="G27">
            <v>414.83</v>
          </cell>
        </row>
        <row r="28">
          <cell r="A28" t="str">
            <v>DER82660</v>
          </cell>
          <cell r="B28" t="str">
            <v>Gabião caixa em PVC c/ h=100cm</v>
          </cell>
          <cell r="C28" t="str">
            <v/>
          </cell>
          <cell r="D28" t="str">
            <v/>
          </cell>
          <cell r="E28" t="str">
            <v>m3</v>
          </cell>
          <cell r="F28">
            <v>195</v>
          </cell>
          <cell r="G28">
            <v>122.97</v>
          </cell>
        </row>
        <row r="29">
          <cell r="A29" t="str">
            <v>09.517.04</v>
          </cell>
          <cell r="B29" t="str">
            <v>Pedra de mão</v>
          </cell>
          <cell r="C29" t="str">
            <v/>
          </cell>
          <cell r="D29" t="str">
            <v/>
          </cell>
          <cell r="E29" t="str">
            <v>m3</v>
          </cell>
          <cell r="F29">
            <v>2746</v>
          </cell>
          <cell r="G29">
            <v>11.92</v>
          </cell>
        </row>
        <row r="30">
          <cell r="A30">
            <v>9000032</v>
          </cell>
          <cell r="B30" t="str">
            <v>Manta Geotextil 200g/m2</v>
          </cell>
          <cell r="C30">
            <v>0</v>
          </cell>
          <cell r="D30">
            <v>0</v>
          </cell>
          <cell r="E30" t="str">
            <v>m2</v>
          </cell>
          <cell r="F30">
            <v>4730</v>
          </cell>
          <cell r="G30">
            <v>5.83</v>
          </cell>
        </row>
        <row r="31">
          <cell r="F31" t="str">
            <v>SUB-TOTAL</v>
          </cell>
        </row>
        <row r="33">
          <cell r="B33" t="str">
            <v>PAVIMENTAÇÃO</v>
          </cell>
        </row>
        <row r="34">
          <cell r="A34" t="str">
            <v>02.000.00</v>
          </cell>
          <cell r="B34" t="str">
            <v>Regularização do subleito</v>
          </cell>
          <cell r="C34" t="str">
            <v/>
          </cell>
          <cell r="D34" t="str">
            <v/>
          </cell>
          <cell r="E34" t="str">
            <v>m2</v>
          </cell>
          <cell r="F34">
            <v>51009</v>
          </cell>
          <cell r="G34">
            <v>0.3</v>
          </cell>
        </row>
        <row r="35">
          <cell r="A35" t="str">
            <v>DER53130</v>
          </cell>
          <cell r="B35" t="str">
            <v>Camada de macadame seco</v>
          </cell>
          <cell r="C35" t="str">
            <v/>
          </cell>
          <cell r="D35" t="str">
            <v/>
          </cell>
          <cell r="E35" t="str">
            <v>m3</v>
          </cell>
          <cell r="F35">
            <v>10024</v>
          </cell>
          <cell r="G35">
            <v>21.86</v>
          </cell>
        </row>
        <row r="36">
          <cell r="A36" t="str">
            <v>02.230.00</v>
          </cell>
          <cell r="B36" t="str">
            <v>Base brita graduada</v>
          </cell>
          <cell r="C36" t="str">
            <v>DNER-ES303/97</v>
          </cell>
          <cell r="D36" t="str">
            <v/>
          </cell>
          <cell r="E36" t="str">
            <v>m3</v>
          </cell>
          <cell r="F36">
            <v>7284</v>
          </cell>
          <cell r="G36">
            <v>28.06</v>
          </cell>
        </row>
        <row r="37">
          <cell r="A37" t="str">
            <v>02.300.00</v>
          </cell>
          <cell r="B37" t="str">
            <v>Imprimação - Fornecimento, transporte e execução</v>
          </cell>
          <cell r="C37" t="str">
            <v>DNER-ES306/97</v>
          </cell>
          <cell r="D37" t="str">
            <v/>
          </cell>
          <cell r="E37" t="str">
            <v>m2</v>
          </cell>
          <cell r="F37">
            <v>47887</v>
          </cell>
          <cell r="G37">
            <v>1.1100000000000001</v>
          </cell>
        </row>
        <row r="38">
          <cell r="A38" t="str">
            <v>02.400.00</v>
          </cell>
          <cell r="B38" t="str">
            <v>Pintura de ligação - Fornec., transporte e execução</v>
          </cell>
          <cell r="C38" t="str">
            <v>DNER-ES307/97</v>
          </cell>
          <cell r="D38" t="str">
            <v/>
          </cell>
          <cell r="E38" t="str">
            <v>m2</v>
          </cell>
          <cell r="F38">
            <v>124282</v>
          </cell>
          <cell r="G38">
            <v>0.41</v>
          </cell>
        </row>
        <row r="39">
          <cell r="A39" t="str">
            <v>02.540.01</v>
          </cell>
          <cell r="B39" t="str">
            <v>Concreto betuminoso usinado a quente - usina 100/140 t/h</v>
          </cell>
          <cell r="C39" t="str">
            <v>DNER-ES313/97</v>
          </cell>
          <cell r="D39" t="str">
            <v/>
          </cell>
          <cell r="E39" t="str">
            <v>t</v>
          </cell>
          <cell r="F39">
            <v>14670.5</v>
          </cell>
          <cell r="G39">
            <v>67.64</v>
          </cell>
        </row>
        <row r="40">
          <cell r="A40" t="str">
            <v>DER82200a</v>
          </cell>
          <cell r="B40" t="str">
            <v>Remoção de camada granular</v>
          </cell>
          <cell r="C40" t="str">
            <v/>
          </cell>
          <cell r="D40" t="str">
            <v/>
          </cell>
          <cell r="E40" t="str">
            <v>m3</v>
          </cell>
          <cell r="F40">
            <v>546</v>
          </cell>
          <cell r="G40">
            <v>4.67</v>
          </cell>
        </row>
        <row r="41">
          <cell r="A41" t="str">
            <v>DER82200</v>
          </cell>
          <cell r="B41" t="str">
            <v>Remoção de revestimento de CBUQ</v>
          </cell>
          <cell r="C41" t="str">
            <v/>
          </cell>
          <cell r="D41" t="str">
            <v/>
          </cell>
          <cell r="E41" t="str">
            <v>m3</v>
          </cell>
          <cell r="F41">
            <v>545</v>
          </cell>
          <cell r="G41">
            <v>5.73</v>
          </cell>
        </row>
        <row r="42">
          <cell r="F42" t="str">
            <v>SUB-TOTAL</v>
          </cell>
        </row>
        <row r="44">
          <cell r="B44" t="str">
            <v>DRENAGEM</v>
          </cell>
        </row>
        <row r="45">
          <cell r="A45" t="str">
            <v>04.000.00</v>
          </cell>
          <cell r="B45" t="str">
            <v>Escavação manual em material de 1a categoria</v>
          </cell>
          <cell r="C45" t="str">
            <v/>
          </cell>
          <cell r="D45" t="str">
            <v/>
          </cell>
          <cell r="E45" t="str">
            <v>m3</v>
          </cell>
          <cell r="F45">
            <v>48</v>
          </cell>
          <cell r="G45">
            <v>17.57</v>
          </cell>
        </row>
        <row r="46">
          <cell r="A46" t="str">
            <v>04.001.00</v>
          </cell>
          <cell r="B46" t="str">
            <v>Escavação mecânica em material de 1a categoria</v>
          </cell>
          <cell r="C46" t="str">
            <v/>
          </cell>
          <cell r="D46" t="str">
            <v/>
          </cell>
          <cell r="E46" t="str">
            <v>m3</v>
          </cell>
          <cell r="F46">
            <v>1400</v>
          </cell>
          <cell r="G46">
            <v>2.09</v>
          </cell>
        </row>
        <row r="47">
          <cell r="A47" t="str">
            <v>04.001.01</v>
          </cell>
          <cell r="B47" t="str">
            <v>Escavação mecânica,reaterro e compactação (material de 1a categoria)</v>
          </cell>
          <cell r="C47" t="str">
            <v/>
          </cell>
          <cell r="D47" t="str">
            <v/>
          </cell>
          <cell r="E47" t="str">
            <v>m3</v>
          </cell>
          <cell r="F47">
            <v>912</v>
          </cell>
          <cell r="G47">
            <v>3.03</v>
          </cell>
        </row>
        <row r="48">
          <cell r="A48" t="str">
            <v>04.401.02</v>
          </cell>
          <cell r="B48" t="str">
            <v>Valeta de prot. de aterro c/ revest. vegetal VPA 02</v>
          </cell>
          <cell r="C48" t="str">
            <v/>
          </cell>
          <cell r="D48" t="str">
            <v/>
          </cell>
          <cell r="E48" t="str">
            <v>m</v>
          </cell>
          <cell r="F48">
            <v>1091</v>
          </cell>
          <cell r="G48">
            <v>24.32</v>
          </cell>
        </row>
        <row r="49">
          <cell r="A49" t="str">
            <v>04.500.06</v>
          </cell>
          <cell r="B49" t="str">
            <v>Dreno longit. profundo p/cortes em solo- DPS 06</v>
          </cell>
          <cell r="C49" t="str">
            <v>DNER-ES292/97</v>
          </cell>
          <cell r="D49" t="str">
            <v/>
          </cell>
          <cell r="E49" t="str">
            <v>m</v>
          </cell>
          <cell r="F49">
            <v>627</v>
          </cell>
          <cell r="G49">
            <v>34.94</v>
          </cell>
        </row>
        <row r="50">
          <cell r="A50" t="str">
            <v>04.502.02</v>
          </cell>
          <cell r="B50" t="str">
            <v>Boca de saída p/ dreno longit. profundo- BSD 02</v>
          </cell>
          <cell r="C50" t="str">
            <v/>
          </cell>
          <cell r="D50" t="str">
            <v/>
          </cell>
          <cell r="E50" t="str">
            <v>un</v>
          </cell>
          <cell r="F50">
            <v>6</v>
          </cell>
          <cell r="G50">
            <v>49.08</v>
          </cell>
        </row>
        <row r="51">
          <cell r="A51" t="str">
            <v>04.510.03</v>
          </cell>
          <cell r="B51" t="str">
            <v>Dreno sub- superficial- DSS 03</v>
          </cell>
          <cell r="C51" t="str">
            <v>DNER-ES294/97</v>
          </cell>
          <cell r="D51" t="str">
            <v/>
          </cell>
          <cell r="E51" t="str">
            <v>m</v>
          </cell>
          <cell r="F51">
            <v>1662</v>
          </cell>
          <cell r="G51">
            <v>3.71</v>
          </cell>
        </row>
        <row r="52">
          <cell r="A52" t="str">
            <v>04.511.01</v>
          </cell>
          <cell r="B52" t="str">
            <v>Boca de saída p/ dreno sub-superficial-BSD 03</v>
          </cell>
          <cell r="C52" t="str">
            <v/>
          </cell>
          <cell r="D52" t="str">
            <v/>
          </cell>
          <cell r="E52" t="str">
            <v>un</v>
          </cell>
          <cell r="F52">
            <v>8</v>
          </cell>
          <cell r="G52">
            <v>20.86</v>
          </cell>
        </row>
        <row r="53">
          <cell r="A53" t="str">
            <v>04.900.21</v>
          </cell>
          <cell r="B53" t="str">
            <v>Sarjeta de cant. central de concreto-SCC 01</v>
          </cell>
          <cell r="C53" t="str">
            <v>DNER-ES288/97</v>
          </cell>
          <cell r="D53" t="str">
            <v/>
          </cell>
          <cell r="E53" t="str">
            <v>m</v>
          </cell>
          <cell r="F53">
            <v>822</v>
          </cell>
          <cell r="G53">
            <v>13.85</v>
          </cell>
        </row>
        <row r="54">
          <cell r="A54" t="str">
            <v>04.910.05</v>
          </cell>
          <cell r="B54" t="str">
            <v>Meio-fio de concreto-MFC 05</v>
          </cell>
          <cell r="C54" t="str">
            <v>DNER-ES290/97</v>
          </cell>
          <cell r="D54" t="str">
            <v/>
          </cell>
          <cell r="E54" t="str">
            <v>m</v>
          </cell>
          <cell r="F54">
            <v>1758</v>
          </cell>
          <cell r="G54">
            <v>10.54</v>
          </cell>
        </row>
        <row r="55">
          <cell r="A55" t="str">
            <v>DER78150a</v>
          </cell>
          <cell r="B55" t="str">
            <v>Caixa coletora de sarjeta - CCS, D=60cm E H=1,5m</v>
          </cell>
          <cell r="C55" t="str">
            <v/>
          </cell>
          <cell r="D55" t="str">
            <v/>
          </cell>
          <cell r="E55" t="str">
            <v>un</v>
          </cell>
          <cell r="F55">
            <v>1</v>
          </cell>
          <cell r="G55">
            <v>500.45</v>
          </cell>
        </row>
        <row r="56">
          <cell r="A56" t="str">
            <v>04.930.01</v>
          </cell>
          <cell r="B56" t="str">
            <v>Caixa coletora de sarjeta-CCS 01</v>
          </cell>
          <cell r="C56" t="str">
            <v>DNER-ES287/97</v>
          </cell>
          <cell r="D56" t="str">
            <v/>
          </cell>
          <cell r="E56" t="str">
            <v>un</v>
          </cell>
          <cell r="F56">
            <v>3</v>
          </cell>
          <cell r="G56">
            <v>568.85</v>
          </cell>
        </row>
        <row r="57">
          <cell r="A57" t="str">
            <v>04.930.05</v>
          </cell>
          <cell r="B57" t="str">
            <v>Caixa coletora de sarjeta-CCS 05</v>
          </cell>
          <cell r="C57" t="str">
            <v>DNER-ES287/97</v>
          </cell>
          <cell r="D57" t="str">
            <v/>
          </cell>
          <cell r="E57" t="str">
            <v>un</v>
          </cell>
          <cell r="F57">
            <v>2</v>
          </cell>
          <cell r="G57">
            <v>715.16</v>
          </cell>
        </row>
        <row r="58">
          <cell r="A58" t="str">
            <v>04.930.11</v>
          </cell>
          <cell r="B58" t="str">
            <v>Caixa coletora de sarjeta-CCS 11</v>
          </cell>
          <cell r="C58" t="str">
            <v>DNER-ES287/97</v>
          </cell>
          <cell r="D58" t="str">
            <v/>
          </cell>
          <cell r="E58" t="str">
            <v>un</v>
          </cell>
          <cell r="F58">
            <v>2</v>
          </cell>
          <cell r="G58">
            <v>832.67</v>
          </cell>
        </row>
        <row r="59">
          <cell r="A59" t="str">
            <v>04.950.02</v>
          </cell>
          <cell r="B59" t="str">
            <v>Dissipador de energia- DES 02</v>
          </cell>
          <cell r="C59" t="str">
            <v>DNER-ES283/97</v>
          </cell>
          <cell r="D59" t="str">
            <v/>
          </cell>
          <cell r="E59" t="str">
            <v>un</v>
          </cell>
          <cell r="F59">
            <v>1</v>
          </cell>
          <cell r="G59">
            <v>110.58</v>
          </cell>
        </row>
        <row r="60">
          <cell r="A60" t="str">
            <v>04.960.01</v>
          </cell>
          <cell r="B60" t="str">
            <v>Boca de lobo simples c/ grelha de concreto-BLS 01</v>
          </cell>
          <cell r="C60" t="str">
            <v/>
          </cell>
          <cell r="D60" t="str">
            <v/>
          </cell>
          <cell r="E60" t="str">
            <v>un</v>
          </cell>
          <cell r="F60">
            <v>10</v>
          </cell>
          <cell r="G60">
            <v>203.51</v>
          </cell>
        </row>
        <row r="61">
          <cell r="A61" t="str">
            <v>04.960.02</v>
          </cell>
          <cell r="B61" t="str">
            <v>Boca de lobo simples c/ grelha de concreto-BLS 02</v>
          </cell>
          <cell r="C61" t="str">
            <v/>
          </cell>
          <cell r="D61" t="str">
            <v/>
          </cell>
          <cell r="E61" t="str">
            <v>un</v>
          </cell>
          <cell r="F61">
            <v>4</v>
          </cell>
          <cell r="G61">
            <v>257.83999999999997</v>
          </cell>
        </row>
        <row r="62">
          <cell r="A62" t="str">
            <v>04.960.03</v>
          </cell>
          <cell r="B62" t="str">
            <v>Boca de lobo simples c/ grelha de concreto-BLS 03</v>
          </cell>
          <cell r="C62" t="str">
            <v/>
          </cell>
          <cell r="D62" t="str">
            <v/>
          </cell>
          <cell r="E62" t="str">
            <v>un</v>
          </cell>
          <cell r="F62">
            <v>2</v>
          </cell>
          <cell r="G62">
            <v>312.23</v>
          </cell>
        </row>
        <row r="63">
          <cell r="A63" t="str">
            <v>04.962.04</v>
          </cell>
          <cell r="B63" t="str">
            <v>Caixa de ligação e passagem- CLP 04</v>
          </cell>
          <cell r="C63" t="str">
            <v>DNER-ES287/97</v>
          </cell>
          <cell r="D63" t="str">
            <v/>
          </cell>
          <cell r="E63" t="str">
            <v>un</v>
          </cell>
          <cell r="F63">
            <v>1</v>
          </cell>
          <cell r="G63">
            <v>645.97</v>
          </cell>
        </row>
        <row r="64">
          <cell r="A64" t="str">
            <v>04.963.01</v>
          </cell>
          <cell r="B64" t="str">
            <v>Poço de visita- PVI 01</v>
          </cell>
          <cell r="C64" t="str">
            <v/>
          </cell>
          <cell r="D64" t="str">
            <v/>
          </cell>
          <cell r="E64" t="str">
            <v>un</v>
          </cell>
          <cell r="F64">
            <v>1</v>
          </cell>
          <cell r="G64">
            <v>493.1</v>
          </cell>
        </row>
        <row r="65">
          <cell r="A65" t="str">
            <v>P 04.100.07</v>
          </cell>
          <cell r="B65" t="str">
            <v>Execução de galerias D=0,40 c/ lastro de brita</v>
          </cell>
          <cell r="C65" t="str">
            <v/>
          </cell>
          <cell r="D65" t="str">
            <v/>
          </cell>
          <cell r="E65" t="str">
            <v>m</v>
          </cell>
          <cell r="F65">
            <v>102</v>
          </cell>
          <cell r="G65">
            <v>41.68</v>
          </cell>
        </row>
        <row r="66">
          <cell r="A66" t="str">
            <v>P 04.100.09</v>
          </cell>
          <cell r="B66" t="str">
            <v>Execução de galerias D=0,60 c/ lastro de brita</v>
          </cell>
          <cell r="C66" t="str">
            <v/>
          </cell>
          <cell r="D66" t="str">
            <v/>
          </cell>
          <cell r="E66" t="str">
            <v>m</v>
          </cell>
          <cell r="F66">
            <v>124</v>
          </cell>
          <cell r="G66">
            <v>100.67</v>
          </cell>
        </row>
        <row r="67">
          <cell r="A67" t="str">
            <v>P 04.100.10</v>
          </cell>
          <cell r="B67" t="str">
            <v>Execução de galerias D=0,60 c/ lastro de concreto</v>
          </cell>
          <cell r="C67" t="str">
            <v/>
          </cell>
          <cell r="D67" t="str">
            <v/>
          </cell>
          <cell r="E67" t="str">
            <v>m</v>
          </cell>
          <cell r="F67">
            <v>37</v>
          </cell>
          <cell r="G67">
            <v>131.66</v>
          </cell>
        </row>
        <row r="68">
          <cell r="A68" t="str">
            <v>04.101.01</v>
          </cell>
          <cell r="B68" t="str">
            <v>Boca de BSTC D=0.60m-normal</v>
          </cell>
          <cell r="C68" t="str">
            <v>DNER-ES284/97</v>
          </cell>
          <cell r="D68" t="str">
            <v/>
          </cell>
          <cell r="E68" t="str">
            <v>un</v>
          </cell>
          <cell r="F68">
            <v>2</v>
          </cell>
          <cell r="G68">
            <v>299.62</v>
          </cell>
        </row>
        <row r="69">
          <cell r="A69" t="str">
            <v>P04.901.43</v>
          </cell>
          <cell r="B69" t="str">
            <v>Canaleta c/ grelha de concreto</v>
          </cell>
          <cell r="C69" t="str">
            <v/>
          </cell>
          <cell r="D69" t="str">
            <v/>
          </cell>
          <cell r="E69" t="str">
            <v>m</v>
          </cell>
          <cell r="F69">
            <v>297</v>
          </cell>
          <cell r="G69">
            <v>77.42</v>
          </cell>
        </row>
        <row r="70">
          <cell r="A70" t="str">
            <v>P.04.100.18</v>
          </cell>
          <cell r="B70" t="str">
            <v>Caixa coletora de canaleta c/ H=2,00m</v>
          </cell>
          <cell r="C70" t="str">
            <v/>
          </cell>
          <cell r="D70" t="str">
            <v/>
          </cell>
          <cell r="E70" t="str">
            <v>un</v>
          </cell>
          <cell r="F70">
            <v>1</v>
          </cell>
          <cell r="G70">
            <v>676.37</v>
          </cell>
        </row>
        <row r="71">
          <cell r="F71" t="str">
            <v>SUB-TOTAL</v>
          </cell>
        </row>
        <row r="73">
          <cell r="B73" t="str">
            <v>OBRAS DE ARTE ESPECIAIS</v>
          </cell>
        </row>
        <row r="74">
          <cell r="B74" t="str">
            <v>(Quatro tabuleiros)</v>
          </cell>
        </row>
        <row r="75">
          <cell r="B75" t="str">
            <v>Infra e Mesoestrutura</v>
          </cell>
        </row>
        <row r="76">
          <cell r="A76" t="str">
            <v>DER90150</v>
          </cell>
          <cell r="B76" t="str">
            <v>Escavação em tubulão a céu aberto em material de 1ªcateg.</v>
          </cell>
          <cell r="C76" t="str">
            <v/>
          </cell>
          <cell r="D76" t="str">
            <v/>
          </cell>
          <cell r="E76" t="str">
            <v>m3</v>
          </cell>
          <cell r="F76">
            <v>1</v>
          </cell>
          <cell r="G76">
            <v>184.89</v>
          </cell>
        </row>
        <row r="77">
          <cell r="A77" t="str">
            <v>DER90160</v>
          </cell>
          <cell r="B77" t="str">
            <v>Escavação em tubulão a céu aberto em material de 3ªcateg.</v>
          </cell>
          <cell r="C77" t="str">
            <v/>
          </cell>
          <cell r="D77" t="str">
            <v/>
          </cell>
          <cell r="E77" t="str">
            <v>m3</v>
          </cell>
          <cell r="F77">
            <v>1</v>
          </cell>
          <cell r="G77">
            <v>640.85</v>
          </cell>
        </row>
        <row r="78">
          <cell r="A78" t="str">
            <v>DER90170</v>
          </cell>
          <cell r="B78" t="str">
            <v>Escavação em tubulão sob ar comprimido em material de 1ªcateg.</v>
          </cell>
          <cell r="C78" t="str">
            <v/>
          </cell>
          <cell r="D78" t="str">
            <v/>
          </cell>
          <cell r="E78" t="str">
            <v>m3</v>
          </cell>
          <cell r="F78">
            <v>140</v>
          </cell>
          <cell r="G78">
            <v>742.04</v>
          </cell>
        </row>
        <row r="79">
          <cell r="A79" t="str">
            <v>DER90180</v>
          </cell>
          <cell r="B79" t="str">
            <v>Escavação em tubulão sob ar comprimido em material de 3ªcateg.</v>
          </cell>
          <cell r="C79" t="str">
            <v/>
          </cell>
          <cell r="D79" t="str">
            <v/>
          </cell>
          <cell r="E79" t="str">
            <v>m3</v>
          </cell>
          <cell r="F79">
            <v>82</v>
          </cell>
          <cell r="G79">
            <v>1154.25</v>
          </cell>
        </row>
        <row r="80">
          <cell r="A80" t="str">
            <v>03.371.01</v>
          </cell>
          <cell r="B80" t="str">
            <v>Formas de placa compensada resinada</v>
          </cell>
          <cell r="C80" t="str">
            <v/>
          </cell>
          <cell r="D80" t="str">
            <v/>
          </cell>
          <cell r="E80" t="str">
            <v>m2</v>
          </cell>
          <cell r="F80">
            <v>879</v>
          </cell>
          <cell r="G80">
            <v>21.86</v>
          </cell>
        </row>
        <row r="81">
          <cell r="A81" t="str">
            <v>03.353.00</v>
          </cell>
          <cell r="B81" t="str">
            <v>Forn., preparo e colocação nas formas, de aço CA-50</v>
          </cell>
          <cell r="C81" t="str">
            <v/>
          </cell>
          <cell r="D81" t="str">
            <v/>
          </cell>
          <cell r="E81" t="str">
            <v>kg</v>
          </cell>
          <cell r="F81">
            <v>11438</v>
          </cell>
          <cell r="G81">
            <v>2.59</v>
          </cell>
        </row>
        <row r="82">
          <cell r="A82" t="str">
            <v>P 03.327.01</v>
          </cell>
          <cell r="B82" t="str">
            <v xml:space="preserve">Concreto fck= 25 MPa-contr. raz. uso ger. </v>
          </cell>
          <cell r="C82" t="str">
            <v/>
          </cell>
          <cell r="D82" t="str">
            <v/>
          </cell>
          <cell r="E82" t="str">
            <v>m3</v>
          </cell>
          <cell r="F82">
            <v>266</v>
          </cell>
          <cell r="G82">
            <v>163.22</v>
          </cell>
        </row>
        <row r="83">
          <cell r="B83" t="str">
            <v>Superestrutura</v>
          </cell>
        </row>
        <row r="84">
          <cell r="A84" t="str">
            <v>03.371.02</v>
          </cell>
          <cell r="B84" t="str">
            <v>Formas de placa compensada plastificada</v>
          </cell>
          <cell r="C84" t="str">
            <v/>
          </cell>
          <cell r="D84" t="str">
            <v/>
          </cell>
          <cell r="E84" t="str">
            <v>m2</v>
          </cell>
          <cell r="F84">
            <v>5127</v>
          </cell>
          <cell r="G84">
            <v>30.76</v>
          </cell>
        </row>
        <row r="85">
          <cell r="A85" t="str">
            <v>03.353.00</v>
          </cell>
          <cell r="B85" t="str">
            <v>Forn., preparo e colocação nas formas, de aço CA-50</v>
          </cell>
          <cell r="C85" t="str">
            <v/>
          </cell>
          <cell r="D85" t="str">
            <v/>
          </cell>
          <cell r="E85" t="str">
            <v>kg</v>
          </cell>
          <cell r="F85">
            <v>143680</v>
          </cell>
          <cell r="G85">
            <v>2.59</v>
          </cell>
        </row>
        <row r="86">
          <cell r="A86" t="str">
            <v>OAE17</v>
          </cell>
          <cell r="B86" t="str">
            <v>Transporte e lançamento de pré-lages</v>
          </cell>
          <cell r="C86" t="str">
            <v/>
          </cell>
          <cell r="D86" t="str">
            <v/>
          </cell>
          <cell r="E86" t="str">
            <v>un</v>
          </cell>
          <cell r="F86">
            <v>1368</v>
          </cell>
          <cell r="G86">
            <v>23.47</v>
          </cell>
        </row>
        <row r="87">
          <cell r="A87" t="str">
            <v>OAE18</v>
          </cell>
          <cell r="B87" t="str">
            <v>Transporte e lançamento de vigas pré-moldadas</v>
          </cell>
          <cell r="C87" t="str">
            <v/>
          </cell>
          <cell r="D87" t="str">
            <v/>
          </cell>
          <cell r="E87" t="str">
            <v>un</v>
          </cell>
          <cell r="F87">
            <v>80</v>
          </cell>
          <cell r="G87">
            <v>1281.27</v>
          </cell>
        </row>
        <row r="88">
          <cell r="A88" t="str">
            <v>03.330.00</v>
          </cell>
          <cell r="B88" t="str">
            <v>Concreto fck= 35 MPa-contr. raz. uso ger.</v>
          </cell>
          <cell r="C88" t="str">
            <v/>
          </cell>
          <cell r="D88" t="str">
            <v/>
          </cell>
          <cell r="E88" t="str">
            <v>m3</v>
          </cell>
          <cell r="F88">
            <v>755</v>
          </cell>
          <cell r="G88">
            <v>166.78</v>
          </cell>
        </row>
        <row r="89">
          <cell r="B89" t="str">
            <v>Diversos</v>
          </cell>
        </row>
        <row r="90">
          <cell r="B90" t="str">
            <v>Barreiras de segurança (C.A.) Tipo New Jersey (312 m)</v>
          </cell>
        </row>
        <row r="91">
          <cell r="A91" t="str">
            <v>03.371.01</v>
          </cell>
          <cell r="B91" t="str">
            <v>Formas de placa compensada resinada</v>
          </cell>
          <cell r="C91" t="str">
            <v/>
          </cell>
          <cell r="D91" t="str">
            <v/>
          </cell>
          <cell r="E91" t="str">
            <v>m2</v>
          </cell>
          <cell r="F91">
            <v>561</v>
          </cell>
          <cell r="G91">
            <v>21.86</v>
          </cell>
        </row>
        <row r="92">
          <cell r="A92" t="str">
            <v>03.353.00</v>
          </cell>
          <cell r="B92" t="str">
            <v>Forn., preparo e colocação nas formas, de aço CA-50</v>
          </cell>
          <cell r="C92" t="str">
            <v/>
          </cell>
          <cell r="D92" t="str">
            <v/>
          </cell>
          <cell r="E92" t="str">
            <v>kg</v>
          </cell>
          <cell r="F92">
            <v>4656</v>
          </cell>
          <cell r="G92">
            <v>2.59</v>
          </cell>
        </row>
        <row r="93">
          <cell r="A93" t="str">
            <v>P 03.327.01</v>
          </cell>
          <cell r="B93" t="str">
            <v xml:space="preserve">Concreto fck= 25 MPa-contr. raz. uso ger. </v>
          </cell>
          <cell r="C93" t="str">
            <v/>
          </cell>
          <cell r="D93" t="str">
            <v/>
          </cell>
          <cell r="E93" t="str">
            <v>m3</v>
          </cell>
          <cell r="F93">
            <v>72</v>
          </cell>
          <cell r="G93">
            <v>163.22</v>
          </cell>
        </row>
        <row r="94">
          <cell r="B94" t="str">
            <v>Placas de aproximação( 08 unidades)</v>
          </cell>
        </row>
        <row r="95">
          <cell r="A95" t="str">
            <v>03.371.00</v>
          </cell>
          <cell r="B95" t="str">
            <v>Formas de madeira compensada</v>
          </cell>
          <cell r="C95" t="str">
            <v/>
          </cell>
          <cell r="D95" t="str">
            <v/>
          </cell>
          <cell r="E95" t="str">
            <v>m2</v>
          </cell>
          <cell r="F95">
            <v>73</v>
          </cell>
          <cell r="G95">
            <v>21.86</v>
          </cell>
        </row>
        <row r="96">
          <cell r="A96" t="str">
            <v>03.353.00</v>
          </cell>
          <cell r="B96" t="str">
            <v>Forn., preparo e colocação nas formas, de aço CA-50</v>
          </cell>
          <cell r="C96" t="str">
            <v/>
          </cell>
          <cell r="D96" t="str">
            <v/>
          </cell>
          <cell r="E96" t="str">
            <v>kg</v>
          </cell>
          <cell r="F96">
            <v>7432</v>
          </cell>
          <cell r="G96">
            <v>2.59</v>
          </cell>
        </row>
        <row r="97">
          <cell r="A97" t="str">
            <v>P 03.327.01</v>
          </cell>
          <cell r="B97" t="str">
            <v xml:space="preserve">Concreto fck= 25 MPa-contr. raz. uso ger. </v>
          </cell>
          <cell r="C97" t="str">
            <v/>
          </cell>
          <cell r="D97" t="str">
            <v/>
          </cell>
          <cell r="E97" t="str">
            <v>m3</v>
          </cell>
          <cell r="F97">
            <v>108</v>
          </cell>
          <cell r="G97">
            <v>163.22</v>
          </cell>
        </row>
        <row r="98">
          <cell r="B98" t="str">
            <v>Drenos</v>
          </cell>
        </row>
        <row r="99">
          <cell r="A99" t="str">
            <v>P 03.991.01f</v>
          </cell>
          <cell r="B99" t="str">
            <v>Dreno de FF D= 150 mm x 400mm</v>
          </cell>
          <cell r="C99" t="str">
            <v/>
          </cell>
          <cell r="D99" t="str">
            <v/>
          </cell>
          <cell r="E99" t="str">
            <v>un</v>
          </cell>
          <cell r="F99">
            <v>36</v>
          </cell>
          <cell r="G99">
            <v>20.37</v>
          </cell>
        </row>
        <row r="100">
          <cell r="F100" t="str">
            <v>SUB-TOTAL</v>
          </cell>
        </row>
        <row r="101">
          <cell r="B101" t="str">
            <v>OBRAS COMPLEMENTARES</v>
          </cell>
        </row>
        <row r="102">
          <cell r="A102" t="str">
            <v>05.100.00</v>
          </cell>
          <cell r="B102" t="str">
            <v>Enleivamento</v>
          </cell>
          <cell r="C102" t="str">
            <v>DNER-ES341/97</v>
          </cell>
          <cell r="D102" t="str">
            <v/>
          </cell>
          <cell r="E102" t="str">
            <v>m2</v>
          </cell>
          <cell r="F102">
            <v>26014</v>
          </cell>
          <cell r="G102">
            <v>2.06</v>
          </cell>
        </row>
        <row r="103">
          <cell r="A103" t="str">
            <v>DER53460a</v>
          </cell>
          <cell r="B103" t="str">
            <v>Calçamento com briquetes de 6 cm</v>
          </cell>
          <cell r="C103" t="str">
            <v/>
          </cell>
          <cell r="D103" t="str">
            <v/>
          </cell>
          <cell r="E103" t="str">
            <v>m2</v>
          </cell>
          <cell r="F103">
            <v>1100</v>
          </cell>
          <cell r="G103">
            <v>20.48</v>
          </cell>
        </row>
        <row r="104">
          <cell r="A104" t="str">
            <v>P 05.100.01</v>
          </cell>
          <cell r="B104" t="str">
            <v>Fornecimento e plantio de lírio amarelo</v>
          </cell>
          <cell r="C104" t="str">
            <v/>
          </cell>
          <cell r="D104" t="str">
            <v/>
          </cell>
          <cell r="E104" t="str">
            <v>m2</v>
          </cell>
          <cell r="F104">
            <v>146</v>
          </cell>
          <cell r="G104">
            <v>14.14</v>
          </cell>
        </row>
        <row r="105">
          <cell r="A105" t="str">
            <v>P 05.100.02</v>
          </cell>
          <cell r="B105" t="str">
            <v>Fornecimento e plantio de árvore selecionada</v>
          </cell>
          <cell r="C105" t="str">
            <v/>
          </cell>
          <cell r="D105" t="str">
            <v/>
          </cell>
          <cell r="E105" t="str">
            <v>un</v>
          </cell>
          <cell r="F105">
            <v>130</v>
          </cell>
          <cell r="G105">
            <v>6.02</v>
          </cell>
        </row>
        <row r="106">
          <cell r="A106" t="str">
            <v>05.102.00</v>
          </cell>
          <cell r="B106" t="str">
            <v>Hidrossemeadura</v>
          </cell>
          <cell r="C106" t="str">
            <v>DNER-ES341/97</v>
          </cell>
          <cell r="D106" t="str">
            <v/>
          </cell>
          <cell r="E106" t="str">
            <v>m2</v>
          </cell>
          <cell r="F106">
            <v>6318</v>
          </cell>
          <cell r="G106">
            <v>0.49</v>
          </cell>
        </row>
        <row r="107">
          <cell r="A107" t="str">
            <v>DER81950</v>
          </cell>
          <cell r="B107" t="str">
            <v>Calçada em lastro de brita c/revestimento em concreto</v>
          </cell>
          <cell r="C107" t="str">
            <v/>
          </cell>
          <cell r="D107" t="str">
            <v/>
          </cell>
          <cell r="E107" t="str">
            <v>m2</v>
          </cell>
          <cell r="F107">
            <v>1400</v>
          </cell>
          <cell r="G107">
            <v>8.94</v>
          </cell>
        </row>
        <row r="108">
          <cell r="A108" t="str">
            <v>P 06.030.00</v>
          </cell>
          <cell r="B108" t="str">
            <v>Barreira de segurança simples</v>
          </cell>
          <cell r="C108" t="str">
            <v/>
          </cell>
          <cell r="D108" t="str">
            <v/>
          </cell>
          <cell r="E108" t="str">
            <v>m</v>
          </cell>
          <cell r="F108">
            <v>492</v>
          </cell>
          <cell r="G108">
            <v>52.16</v>
          </cell>
        </row>
        <row r="109">
          <cell r="A109" t="str">
            <v>PI 01</v>
          </cell>
          <cell r="B109" t="str">
            <v>Poste de aço galv. a fogo, c/ 20,0m de alt. p/ instal. tipo engastado</v>
          </cell>
          <cell r="C109" t="str">
            <v/>
          </cell>
          <cell r="D109" t="str">
            <v/>
          </cell>
          <cell r="E109" t="str">
            <v>un</v>
          </cell>
          <cell r="F109">
            <v>10</v>
          </cell>
          <cell r="G109">
            <v>2662.25</v>
          </cell>
        </row>
        <row r="110">
          <cell r="A110" t="str">
            <v>PI 04</v>
          </cell>
          <cell r="B110" t="str">
            <v xml:space="preserve">Luminária p/ iluminação pública ref.SRC-612 da Philips ou similar </v>
          </cell>
          <cell r="C110" t="str">
            <v/>
          </cell>
          <cell r="D110" t="str">
            <v/>
          </cell>
          <cell r="E110" t="str">
            <v>un</v>
          </cell>
          <cell r="F110">
            <v>20</v>
          </cell>
          <cell r="G110">
            <v>425.5</v>
          </cell>
        </row>
        <row r="111">
          <cell r="A111" t="str">
            <v>PI 07</v>
          </cell>
          <cell r="B111" t="str">
            <v>Suporte p/ luminária tipo ZGP402 da Philips ou similar</v>
          </cell>
          <cell r="C111" t="str">
            <v/>
          </cell>
          <cell r="D111" t="str">
            <v/>
          </cell>
          <cell r="E111" t="str">
            <v>un</v>
          </cell>
          <cell r="F111">
            <v>10</v>
          </cell>
          <cell r="G111">
            <v>100</v>
          </cell>
        </row>
        <row r="112">
          <cell r="A112" t="str">
            <v>PI 09</v>
          </cell>
          <cell r="B112" t="str">
            <v>Lâmpada a vapor de sódio 400W, alta pressão, base E40</v>
          </cell>
          <cell r="C112" t="str">
            <v/>
          </cell>
          <cell r="D112" t="str">
            <v/>
          </cell>
          <cell r="E112" t="str">
            <v>un</v>
          </cell>
          <cell r="F112">
            <v>20</v>
          </cell>
          <cell r="G112">
            <v>33.35</v>
          </cell>
        </row>
        <row r="113">
          <cell r="A113" t="str">
            <v>PI 10</v>
          </cell>
          <cell r="B113" t="str">
            <v>Lâmpada a vapor de mercúrio 250W, alta pressão, base E40</v>
          </cell>
          <cell r="C113" t="str">
            <v/>
          </cell>
          <cell r="D113" t="str">
            <v/>
          </cell>
          <cell r="E113" t="str">
            <v>un</v>
          </cell>
          <cell r="F113">
            <v>17</v>
          </cell>
          <cell r="G113">
            <v>28.75</v>
          </cell>
        </row>
        <row r="114">
          <cell r="A114" t="str">
            <v>PI 22</v>
          </cell>
          <cell r="B114" t="str">
            <v>Base completa com fusível Diazed, 6A, retardado, incluíndo tampa, anel de proteção e ajuste</v>
          </cell>
          <cell r="C114" t="str">
            <v/>
          </cell>
          <cell r="D114" t="str">
            <v/>
          </cell>
          <cell r="E114" t="str">
            <v>un</v>
          </cell>
          <cell r="F114">
            <v>29</v>
          </cell>
          <cell r="G114">
            <v>8.6300000000000008</v>
          </cell>
        </row>
        <row r="115">
          <cell r="A115" t="str">
            <v>PI 23</v>
          </cell>
          <cell r="B115" t="str">
            <v>Contator tripolar a seco, p/ corrente alternada - 55 A, para uso em rede 380/220V - 60Hz</v>
          </cell>
          <cell r="C115" t="str">
            <v/>
          </cell>
          <cell r="D115" t="str">
            <v/>
          </cell>
          <cell r="E115" t="str">
            <v>un</v>
          </cell>
          <cell r="F115">
            <v>5</v>
          </cell>
          <cell r="G115">
            <v>234.6</v>
          </cell>
        </row>
        <row r="116">
          <cell r="A116" t="str">
            <v>PI 24</v>
          </cell>
          <cell r="B116" t="str">
            <v>Fita elétrica auto fusão a base de borracha EPR</v>
          </cell>
          <cell r="C116" t="str">
            <v/>
          </cell>
          <cell r="D116" t="str">
            <v/>
          </cell>
          <cell r="E116" t="str">
            <v>un</v>
          </cell>
          <cell r="F116">
            <v>5</v>
          </cell>
          <cell r="G116">
            <v>6.39</v>
          </cell>
        </row>
        <row r="117">
          <cell r="A117" t="str">
            <v>PI 25</v>
          </cell>
          <cell r="B117" t="str">
            <v>Fita adesiva plástica isolante</v>
          </cell>
          <cell r="C117" t="str">
            <v/>
          </cell>
          <cell r="D117" t="str">
            <v/>
          </cell>
          <cell r="E117" t="str">
            <v>un</v>
          </cell>
          <cell r="F117">
            <v>5</v>
          </cell>
          <cell r="G117">
            <v>3.84</v>
          </cell>
        </row>
        <row r="118">
          <cell r="A118" t="str">
            <v>PI 26</v>
          </cell>
          <cell r="B118" t="str">
            <v>Relé fotoelétrico c/ suporte para fixação galv. com furo 18mm</v>
          </cell>
          <cell r="C118" t="str">
            <v/>
          </cell>
          <cell r="D118" t="str">
            <v/>
          </cell>
          <cell r="E118" t="str">
            <v>un</v>
          </cell>
          <cell r="F118">
            <v>5</v>
          </cell>
          <cell r="G118">
            <v>11.5</v>
          </cell>
        </row>
        <row r="119">
          <cell r="A119" t="str">
            <v>PI 27</v>
          </cell>
          <cell r="B119" t="str">
            <v>Cabo isolado p/ 1000V, bitola 35mm²</v>
          </cell>
          <cell r="C119" t="str">
            <v/>
          </cell>
          <cell r="D119" t="str">
            <v/>
          </cell>
          <cell r="E119" t="str">
            <v>m</v>
          </cell>
          <cell r="F119">
            <v>1900</v>
          </cell>
          <cell r="G119">
            <v>1.55</v>
          </cell>
        </row>
        <row r="120">
          <cell r="A120" t="str">
            <v>PI 28</v>
          </cell>
          <cell r="B120" t="str">
            <v>Eletroduto de aço tipo pesado 100mm</v>
          </cell>
          <cell r="C120" t="str">
            <v/>
          </cell>
          <cell r="D120" t="str">
            <v/>
          </cell>
          <cell r="E120" t="str">
            <v>m</v>
          </cell>
          <cell r="F120">
            <v>230</v>
          </cell>
          <cell r="G120">
            <v>28.55</v>
          </cell>
        </row>
        <row r="121">
          <cell r="A121" t="str">
            <v>PI 54</v>
          </cell>
          <cell r="B121" t="str">
            <v>Eletroduto de PVC corrugado tipo Kanalex ou similar, D=100mm</v>
          </cell>
          <cell r="C121" t="str">
            <v/>
          </cell>
          <cell r="D121" t="str">
            <v/>
          </cell>
          <cell r="E121" t="str">
            <v>m</v>
          </cell>
          <cell r="F121">
            <v>180</v>
          </cell>
          <cell r="G121">
            <v>4.95</v>
          </cell>
        </row>
        <row r="122">
          <cell r="A122" t="str">
            <v>PI 30</v>
          </cell>
          <cell r="B122" t="str">
            <v>Haste para aterramento aço-cobre D 13x2400mm</v>
          </cell>
          <cell r="C122" t="str">
            <v/>
          </cell>
          <cell r="D122" t="str">
            <v/>
          </cell>
          <cell r="E122" t="str">
            <v>un</v>
          </cell>
          <cell r="F122">
            <v>20</v>
          </cell>
          <cell r="G122">
            <v>6.04</v>
          </cell>
        </row>
        <row r="123">
          <cell r="A123" t="str">
            <v>PI 31</v>
          </cell>
          <cell r="B123" t="str">
            <v>Cabo de cobre nú meio duro, 7 fios 2AWG</v>
          </cell>
          <cell r="C123" t="str">
            <v/>
          </cell>
          <cell r="D123" t="str">
            <v/>
          </cell>
          <cell r="E123" t="str">
            <v>kg</v>
          </cell>
          <cell r="F123">
            <v>10</v>
          </cell>
          <cell r="G123">
            <v>7.02</v>
          </cell>
        </row>
        <row r="124">
          <cell r="A124" t="str">
            <v>PI 20</v>
          </cell>
          <cell r="B124" t="str">
            <v>Poste de concreto duplo T 10m, 150 daN</v>
          </cell>
          <cell r="C124" t="str">
            <v/>
          </cell>
          <cell r="D124" t="str">
            <v/>
          </cell>
          <cell r="E124" t="str">
            <v>un</v>
          </cell>
          <cell r="F124">
            <v>9</v>
          </cell>
          <cell r="G124">
            <v>200</v>
          </cell>
        </row>
        <row r="125">
          <cell r="A125" t="str">
            <v>PI 50</v>
          </cell>
          <cell r="B125" t="str">
            <v>Cabo isolado, de alumínio singelo, bitola 4 mm² - estimada</v>
          </cell>
          <cell r="C125" t="str">
            <v/>
          </cell>
          <cell r="D125" t="str">
            <v/>
          </cell>
          <cell r="E125" t="str">
            <v>m</v>
          </cell>
          <cell r="F125">
            <v>400</v>
          </cell>
          <cell r="G125">
            <v>0.35</v>
          </cell>
        </row>
        <row r="126">
          <cell r="A126" t="str">
            <v>PI 34</v>
          </cell>
          <cell r="B126" t="str">
            <v>Construção de caixa tipo SP, ou pré-instalada com as mesmas características</v>
          </cell>
          <cell r="C126" t="str">
            <v/>
          </cell>
          <cell r="D126" t="str">
            <v/>
          </cell>
          <cell r="E126" t="str">
            <v>un</v>
          </cell>
          <cell r="F126">
            <v>17</v>
          </cell>
          <cell r="G126">
            <v>180</v>
          </cell>
        </row>
        <row r="127">
          <cell r="A127" t="str">
            <v>PI 35</v>
          </cell>
          <cell r="B127" t="str">
            <v>Construção de embasamento p/ poste tipo engastado, 20m de altura</v>
          </cell>
          <cell r="C127" t="str">
            <v/>
          </cell>
          <cell r="D127" t="str">
            <v/>
          </cell>
          <cell r="E127" t="str">
            <v>un</v>
          </cell>
          <cell r="F127">
            <v>10</v>
          </cell>
          <cell r="G127">
            <v>494</v>
          </cell>
        </row>
        <row r="128">
          <cell r="A128" t="str">
            <v>PI 36</v>
          </cell>
          <cell r="B128" t="str">
            <v>Construção de embasamento p/ poste tipo engastado, concreto duplo T, 10m de altura</v>
          </cell>
          <cell r="C128" t="str">
            <v/>
          </cell>
          <cell r="D128" t="str">
            <v/>
          </cell>
          <cell r="E128" t="str">
            <v>un</v>
          </cell>
          <cell r="F128">
            <v>9</v>
          </cell>
          <cell r="G128">
            <v>285</v>
          </cell>
        </row>
        <row r="129">
          <cell r="A129" t="str">
            <v>PI 37</v>
          </cell>
          <cell r="B129" t="str">
            <v>Lançamento de cabos em dutos de aço, classe 1000V, circuito trifásico mais neutro, e monofásico</v>
          </cell>
          <cell r="C129" t="str">
            <v/>
          </cell>
          <cell r="D129" t="str">
            <v/>
          </cell>
          <cell r="E129" t="str">
            <v>m</v>
          </cell>
          <cell r="F129">
            <v>115</v>
          </cell>
          <cell r="G129">
            <v>4</v>
          </cell>
        </row>
        <row r="130">
          <cell r="A130" t="str">
            <v>PI 38</v>
          </cell>
          <cell r="B130" t="str">
            <v>Confecção de emendas retas ou derivação em cabos classe 1000V, c/ conector à compressão</v>
          </cell>
          <cell r="C130" t="str">
            <v/>
          </cell>
          <cell r="D130" t="str">
            <v/>
          </cell>
          <cell r="E130" t="str">
            <v>un</v>
          </cell>
          <cell r="F130">
            <v>20</v>
          </cell>
          <cell r="G130">
            <v>4.5</v>
          </cell>
        </row>
        <row r="131">
          <cell r="A131" t="str">
            <v>PI 39</v>
          </cell>
          <cell r="B131" t="str">
            <v>Fixação de haste de terra e conexão ao neutro</v>
          </cell>
          <cell r="C131" t="str">
            <v/>
          </cell>
          <cell r="D131" t="str">
            <v/>
          </cell>
          <cell r="E131" t="str">
            <v>un</v>
          </cell>
          <cell r="F131">
            <v>20</v>
          </cell>
          <cell r="G131">
            <v>35</v>
          </cell>
        </row>
        <row r="132">
          <cell r="A132" t="str">
            <v>PI 40</v>
          </cell>
          <cell r="B132" t="str">
            <v>Montagem eletromecân.de iluminação a 17,5m de alt., formada p/2 pétalas, c/ fixação dos equip.</v>
          </cell>
          <cell r="C132" t="str">
            <v/>
          </cell>
          <cell r="D132" t="str">
            <v/>
          </cell>
          <cell r="E132" t="str">
            <v>un</v>
          </cell>
          <cell r="F132">
            <v>10</v>
          </cell>
          <cell r="G132">
            <v>550</v>
          </cell>
        </row>
        <row r="133">
          <cell r="A133" t="str">
            <v>PI 57</v>
          </cell>
          <cell r="B133" t="str">
            <v>Lançamento de cabos em eletroduto de PVC corrugado</v>
          </cell>
          <cell r="C133" t="str">
            <v/>
          </cell>
          <cell r="D133" t="str">
            <v/>
          </cell>
          <cell r="E133" t="str">
            <v>m</v>
          </cell>
          <cell r="F133">
            <v>180</v>
          </cell>
          <cell r="G133">
            <v>3</v>
          </cell>
        </row>
        <row r="134">
          <cell r="A134" t="str">
            <v>PI 42</v>
          </cell>
          <cell r="B134" t="str">
            <v>Instalação de poste de aço de 20m de altura engastado</v>
          </cell>
          <cell r="C134" t="str">
            <v/>
          </cell>
          <cell r="D134" t="str">
            <v/>
          </cell>
          <cell r="E134" t="str">
            <v>un</v>
          </cell>
          <cell r="F134">
            <v>10</v>
          </cell>
          <cell r="G134">
            <v>250</v>
          </cell>
        </row>
        <row r="135">
          <cell r="A135" t="str">
            <v>PI 43</v>
          </cell>
          <cell r="B135" t="str">
            <v>Travessia de pista asfáltica p/ lançamento dutos aço tipo pesado 100mm</v>
          </cell>
          <cell r="C135" t="str">
            <v/>
          </cell>
          <cell r="D135" t="str">
            <v/>
          </cell>
          <cell r="E135" t="str">
            <v>m</v>
          </cell>
          <cell r="F135">
            <v>115</v>
          </cell>
          <cell r="G135">
            <v>70</v>
          </cell>
        </row>
        <row r="136">
          <cell r="A136" t="str">
            <v>PI 45</v>
          </cell>
          <cell r="B136" t="str">
            <v>Montagem eletromecânica de luminária padrão CELESC em poste de 11m de altura, duplo T,c/ fixação dos equip.e conexões elétricos</v>
          </cell>
          <cell r="C136" t="str">
            <v/>
          </cell>
          <cell r="D136" t="str">
            <v/>
          </cell>
          <cell r="E136" t="str">
            <v>un</v>
          </cell>
          <cell r="F136">
            <v>19</v>
          </cell>
          <cell r="G136">
            <v>35</v>
          </cell>
        </row>
        <row r="137">
          <cell r="A137" t="str">
            <v>PI 03</v>
          </cell>
          <cell r="B137" t="str">
            <v xml:space="preserve">Luminária p/ iluminação pública ref.HRC-612 da Philips ou similar </v>
          </cell>
          <cell r="C137" t="str">
            <v/>
          </cell>
          <cell r="D137" t="str">
            <v/>
          </cell>
          <cell r="E137" t="str">
            <v>un</v>
          </cell>
          <cell r="F137">
            <v>17</v>
          </cell>
          <cell r="G137">
            <v>400</v>
          </cell>
        </row>
        <row r="138">
          <cell r="A138" t="str">
            <v>PI 18</v>
          </cell>
          <cell r="B138" t="str">
            <v>Braço curvo p/ iluminação pública padrão CELESC</v>
          </cell>
          <cell r="C138" t="str">
            <v/>
          </cell>
          <cell r="D138" t="str">
            <v/>
          </cell>
          <cell r="E138" t="str">
            <v>un</v>
          </cell>
          <cell r="F138">
            <v>17</v>
          </cell>
          <cell r="G138">
            <v>6.33</v>
          </cell>
        </row>
        <row r="139">
          <cell r="A139" t="str">
            <v>PI 65</v>
          </cell>
          <cell r="B139" t="str">
            <v>Cabo de alumínio 1/0</v>
          </cell>
          <cell r="C139" t="str">
            <v/>
          </cell>
          <cell r="D139" t="str">
            <v/>
          </cell>
          <cell r="E139" t="str">
            <v>m</v>
          </cell>
          <cell r="F139">
            <v>3000</v>
          </cell>
          <cell r="G139">
            <v>1.7</v>
          </cell>
        </row>
        <row r="140">
          <cell r="A140" t="str">
            <v>PI 66</v>
          </cell>
          <cell r="B140" t="str">
            <v>Cabo isolado p/ 1000 V, 6 mm2 de alumínio</v>
          </cell>
          <cell r="C140" t="str">
            <v/>
          </cell>
          <cell r="D140" t="str">
            <v/>
          </cell>
          <cell r="E140" t="str">
            <v>m</v>
          </cell>
          <cell r="F140">
            <v>200</v>
          </cell>
          <cell r="G140">
            <v>1</v>
          </cell>
        </row>
        <row r="141">
          <cell r="A141" t="str">
            <v>PI 67</v>
          </cell>
          <cell r="B141" t="str">
            <v>Cabo isolado p/ 1000 V, 2,5 mm2 de alumínio</v>
          </cell>
          <cell r="C141" t="str">
            <v/>
          </cell>
          <cell r="D141" t="str">
            <v/>
          </cell>
          <cell r="E141" t="str">
            <v>m</v>
          </cell>
          <cell r="F141">
            <v>60</v>
          </cell>
          <cell r="G141">
            <v>0.6</v>
          </cell>
        </row>
        <row r="142">
          <cell r="A142" t="str">
            <v>PI 33</v>
          </cell>
          <cell r="B142" t="str">
            <v>Tubo de aço galvanizado, vara de 6m e 50mm</v>
          </cell>
          <cell r="C142" t="str">
            <v/>
          </cell>
          <cell r="D142" t="str">
            <v/>
          </cell>
          <cell r="E142" t="str">
            <v>un</v>
          </cell>
          <cell r="F142">
            <v>3</v>
          </cell>
          <cell r="G142">
            <v>74.06</v>
          </cell>
        </row>
        <row r="143">
          <cell r="A143" t="str">
            <v>PI 69</v>
          </cell>
          <cell r="B143" t="str">
            <v>Instalação de poste concreto duplo T, 10m de altura, engastado</v>
          </cell>
          <cell r="C143" t="str">
            <v/>
          </cell>
          <cell r="D143" t="str">
            <v/>
          </cell>
          <cell r="E143" t="str">
            <v>un</v>
          </cell>
          <cell r="F143">
            <v>9</v>
          </cell>
          <cell r="G143">
            <v>200</v>
          </cell>
        </row>
        <row r="144">
          <cell r="A144" t="str">
            <v>PI 41</v>
          </cell>
          <cell r="B144" t="str">
            <v>Instalação de tubo de aço vara de 6m e curva de entrada de cabos na lateral do poste c/ fix. dutos</v>
          </cell>
          <cell r="C144" t="str">
            <v/>
          </cell>
          <cell r="D144" t="str">
            <v/>
          </cell>
          <cell r="E144" t="str">
            <v>un</v>
          </cell>
          <cell r="F144">
            <v>3</v>
          </cell>
          <cell r="G144">
            <v>200</v>
          </cell>
        </row>
        <row r="145">
          <cell r="A145" t="str">
            <v>R1</v>
          </cell>
          <cell r="B145" t="str">
            <v>Remanejamento de Rede de Baixa Tensão (220/380V)</v>
          </cell>
          <cell r="C145" t="str">
            <v/>
          </cell>
          <cell r="D145" t="str">
            <v/>
          </cell>
          <cell r="E145" t="str">
            <v>m</v>
          </cell>
          <cell r="F145">
            <v>50</v>
          </cell>
          <cell r="G145">
            <v>4.7</v>
          </cell>
        </row>
        <row r="146">
          <cell r="A146" t="str">
            <v>R2</v>
          </cell>
          <cell r="B146" t="str">
            <v>Remanejamento de Rede de Alta Tensão (138kV)</v>
          </cell>
          <cell r="C146" t="str">
            <v/>
          </cell>
          <cell r="D146" t="str">
            <v/>
          </cell>
          <cell r="E146" t="str">
            <v>m</v>
          </cell>
          <cell r="F146">
            <v>260</v>
          </cell>
          <cell r="G146">
            <v>6.2</v>
          </cell>
        </row>
        <row r="147">
          <cell r="A147" t="str">
            <v>R10</v>
          </cell>
          <cell r="B147" t="str">
            <v>Remanejamento de Poste de Concreto 10/150</v>
          </cell>
          <cell r="C147" t="str">
            <v/>
          </cell>
          <cell r="D147" t="str">
            <v/>
          </cell>
          <cell r="E147" t="str">
            <v>un</v>
          </cell>
          <cell r="F147">
            <v>7</v>
          </cell>
          <cell r="G147">
            <v>75</v>
          </cell>
        </row>
        <row r="148">
          <cell r="A148" t="str">
            <v>R11</v>
          </cell>
          <cell r="B148" t="str">
            <v>Remanejamento de Poste de Concreto 10/300</v>
          </cell>
          <cell r="C148" t="str">
            <v/>
          </cell>
          <cell r="D148" t="str">
            <v/>
          </cell>
          <cell r="E148" t="str">
            <v>un</v>
          </cell>
          <cell r="F148">
            <v>2</v>
          </cell>
          <cell r="G148">
            <v>75</v>
          </cell>
        </row>
        <row r="149">
          <cell r="A149" t="str">
            <v>R3</v>
          </cell>
          <cell r="B149" t="str">
            <v>Remanejamento de Rede de Telefonia</v>
          </cell>
          <cell r="C149" t="str">
            <v/>
          </cell>
          <cell r="D149" t="str">
            <v/>
          </cell>
          <cell r="E149" t="str">
            <v>m</v>
          </cell>
          <cell r="F149">
            <v>200</v>
          </cell>
          <cell r="G149">
            <v>2</v>
          </cell>
        </row>
      </sheetData>
      <sheetData sheetId="12" refreshError="1">
        <row r="14">
          <cell r="A14" t="str">
            <v>01.000.00</v>
          </cell>
          <cell r="B14" t="str">
            <v>Desmatamento,destocamento e limpeza de área com árvore até 0,15m</v>
          </cell>
          <cell r="C14" t="str">
            <v>DNER-ES278/97</v>
          </cell>
          <cell r="D14" t="str">
            <v/>
          </cell>
          <cell r="E14" t="str">
            <v>m2</v>
          </cell>
          <cell r="F14">
            <v>20000</v>
          </cell>
          <cell r="G14">
            <v>7.0000000000000007E-2</v>
          </cell>
        </row>
        <row r="15">
          <cell r="A15" t="str">
            <v>01.010.00</v>
          </cell>
          <cell r="B15" t="str">
            <v>Desmatamento e destocamento árvores de 0,15m a 0,30m</v>
          </cell>
          <cell r="C15" t="str">
            <v>DNER-ES278/97</v>
          </cell>
          <cell r="D15" t="str">
            <v/>
          </cell>
          <cell r="E15" t="str">
            <v>un</v>
          </cell>
          <cell r="F15">
            <v>100</v>
          </cell>
          <cell r="G15">
            <v>8.92</v>
          </cell>
        </row>
        <row r="16">
          <cell r="A16" t="str">
            <v>01.011.00</v>
          </cell>
          <cell r="B16" t="str">
            <v>Desmatamento e destocamento árvores superior a 0,30m</v>
          </cell>
          <cell r="C16" t="str">
            <v>DNER-ES278/97</v>
          </cell>
          <cell r="D16" t="str">
            <v/>
          </cell>
          <cell r="E16" t="str">
            <v>un</v>
          </cell>
          <cell r="F16">
            <v>50</v>
          </cell>
          <cell r="G16">
            <v>26.75</v>
          </cell>
        </row>
        <row r="17">
          <cell r="A17" t="str">
            <v>01.100.10</v>
          </cell>
          <cell r="B17" t="str">
            <v>Escavação,carga e transportes de material de 1a categoria DMT= 200 a 400m</v>
          </cell>
          <cell r="C17" t="str">
            <v>DNER-ES280/97</v>
          </cell>
          <cell r="D17" t="str">
            <v/>
          </cell>
          <cell r="E17" t="str">
            <v>m3</v>
          </cell>
          <cell r="F17">
            <v>3287</v>
          </cell>
          <cell r="G17">
            <v>1.98</v>
          </cell>
        </row>
        <row r="18">
          <cell r="A18" t="str">
            <v>01.100.19</v>
          </cell>
          <cell r="B18" t="str">
            <v>Escavação,carga e transportes de material de 1a categoria DMT= 2000 a 3000m</v>
          </cell>
          <cell r="C18" t="str">
            <v>DNER-ES280/97</v>
          </cell>
          <cell r="D18" t="str">
            <v/>
          </cell>
          <cell r="E18" t="str">
            <v>m3</v>
          </cell>
          <cell r="F18">
            <v>8803</v>
          </cell>
          <cell r="G18">
            <v>3.26</v>
          </cell>
        </row>
        <row r="19">
          <cell r="A19" t="str">
            <v>DER50300</v>
          </cell>
          <cell r="B19" t="str">
            <v>Esc.  Carga e Transp. de mat. 1a cat. c/ CB 9000&lt;DMT&lt;10000m</v>
          </cell>
          <cell r="C19" t="str">
            <v/>
          </cell>
          <cell r="D19" t="str">
            <v/>
          </cell>
          <cell r="E19" t="str">
            <v>m3</v>
          </cell>
          <cell r="F19">
            <v>913</v>
          </cell>
          <cell r="G19">
            <v>6.3</v>
          </cell>
        </row>
        <row r="20">
          <cell r="A20" t="str">
            <v>01.101.19</v>
          </cell>
          <cell r="B20" t="str">
            <v>Escavação,carga e transportes de material de 2a categoria,c/CB,  DMT 2000 a 3000m</v>
          </cell>
          <cell r="C20" t="str">
            <v>DNER-ES280/97</v>
          </cell>
          <cell r="D20" t="str">
            <v/>
          </cell>
          <cell r="E20" t="str">
            <v>m3</v>
          </cell>
          <cell r="F20">
            <v>3716</v>
          </cell>
          <cell r="G20">
            <v>4.51</v>
          </cell>
        </row>
        <row r="21">
          <cell r="A21" t="str">
            <v>DER51340</v>
          </cell>
          <cell r="B21" t="str">
            <v>Escavação,carga e transportes de material de 2a categoria DMT 18000 a 20000m</v>
          </cell>
          <cell r="C21" t="str">
            <v/>
          </cell>
          <cell r="D21" t="str">
            <v/>
          </cell>
          <cell r="E21" t="str">
            <v>m3</v>
          </cell>
          <cell r="F21">
            <v>913</v>
          </cell>
          <cell r="G21">
            <v>13.65</v>
          </cell>
        </row>
        <row r="22">
          <cell r="A22" t="str">
            <v>DER52087</v>
          </cell>
          <cell r="B22" t="str">
            <v>Esc. Carga e Transp. de solos moles 400&lt;DMT&lt;=600m</v>
          </cell>
          <cell r="C22" t="str">
            <v/>
          </cell>
          <cell r="D22" t="str">
            <v/>
          </cell>
          <cell r="E22" t="str">
            <v>m3</v>
          </cell>
          <cell r="F22">
            <v>702</v>
          </cell>
          <cell r="G22">
            <v>4.5999999999999996</v>
          </cell>
        </row>
        <row r="23">
          <cell r="A23" t="str">
            <v>01.510.00</v>
          </cell>
          <cell r="B23" t="str">
            <v>Compactação de aterros a 95% Proctor Normal</v>
          </cell>
          <cell r="C23" t="str">
            <v>DNER-ES282/97</v>
          </cell>
          <cell r="D23" t="str">
            <v/>
          </cell>
          <cell r="E23" t="str">
            <v>m3</v>
          </cell>
          <cell r="F23">
            <v>8376</v>
          </cell>
          <cell r="G23">
            <v>0.79</v>
          </cell>
        </row>
        <row r="24">
          <cell r="A24" t="str">
            <v>01.511.00</v>
          </cell>
          <cell r="B24" t="str">
            <v>Compactação de aterros a 100% Proctor Normal</v>
          </cell>
          <cell r="C24" t="str">
            <v>DNER-ES282/97</v>
          </cell>
          <cell r="D24" t="str">
            <v/>
          </cell>
          <cell r="E24" t="str">
            <v>m3</v>
          </cell>
          <cell r="F24">
            <v>5380</v>
          </cell>
          <cell r="G24">
            <v>1.36</v>
          </cell>
        </row>
        <row r="25">
          <cell r="F25" t="str">
            <v>SUB-TOTAL</v>
          </cell>
        </row>
        <row r="27">
          <cell r="B27" t="str">
            <v>PAVIMENTAÇÃO</v>
          </cell>
        </row>
        <row r="28">
          <cell r="A28" t="str">
            <v>02.000.00</v>
          </cell>
          <cell r="B28" t="str">
            <v>Regularização do subleito</v>
          </cell>
          <cell r="C28" t="str">
            <v/>
          </cell>
          <cell r="D28" t="str">
            <v/>
          </cell>
          <cell r="E28" t="str">
            <v>m2</v>
          </cell>
          <cell r="F28">
            <v>43662</v>
          </cell>
          <cell r="G28">
            <v>0.3</v>
          </cell>
        </row>
        <row r="29">
          <cell r="A29" t="str">
            <v>DER53130</v>
          </cell>
          <cell r="B29" t="str">
            <v>Camada de macadame seco</v>
          </cell>
          <cell r="C29" t="str">
            <v/>
          </cell>
          <cell r="D29" t="str">
            <v/>
          </cell>
          <cell r="E29" t="str">
            <v>m3</v>
          </cell>
          <cell r="F29">
            <v>8333</v>
          </cell>
          <cell r="G29">
            <v>21.86</v>
          </cell>
        </row>
        <row r="30">
          <cell r="A30" t="str">
            <v>02.230.00</v>
          </cell>
          <cell r="B30" t="str">
            <v>Base brita graduada</v>
          </cell>
          <cell r="C30" t="str">
            <v>DNER-ES303/97</v>
          </cell>
          <cell r="D30" t="str">
            <v/>
          </cell>
          <cell r="E30" t="str">
            <v>m3</v>
          </cell>
          <cell r="F30">
            <v>6048</v>
          </cell>
          <cell r="G30">
            <v>28.06</v>
          </cell>
        </row>
        <row r="31">
          <cell r="A31" t="str">
            <v>02.300.00</v>
          </cell>
          <cell r="B31" t="str">
            <v>Imprimação - Fornecimento, transporte e execução</v>
          </cell>
          <cell r="C31" t="str">
            <v>DNER-ES306/97</v>
          </cell>
          <cell r="D31" t="str">
            <v/>
          </cell>
          <cell r="E31" t="str">
            <v>m2</v>
          </cell>
          <cell r="F31">
            <v>39556</v>
          </cell>
          <cell r="G31">
            <v>1.1100000000000001</v>
          </cell>
        </row>
        <row r="32">
          <cell r="A32" t="str">
            <v>02.400.00</v>
          </cell>
          <cell r="B32" t="str">
            <v>Pintura de ligação - Fornec., transporte e execução</v>
          </cell>
          <cell r="C32" t="str">
            <v>DNER-ES307/97</v>
          </cell>
          <cell r="D32" t="str">
            <v/>
          </cell>
          <cell r="E32" t="str">
            <v>m2</v>
          </cell>
          <cell r="F32">
            <v>101693</v>
          </cell>
          <cell r="G32">
            <v>0.41</v>
          </cell>
        </row>
        <row r="33">
          <cell r="A33" t="str">
            <v>02.540.01</v>
          </cell>
          <cell r="B33" t="str">
            <v>Concreto betuminoso usinado a quente - usina 100/140 t/h</v>
          </cell>
          <cell r="C33" t="str">
            <v>DNER-ES313/97</v>
          </cell>
          <cell r="D33" t="str">
            <v/>
          </cell>
          <cell r="E33" t="str">
            <v>t</v>
          </cell>
          <cell r="F33">
            <v>10784</v>
          </cell>
          <cell r="G33">
            <v>67.64</v>
          </cell>
        </row>
        <row r="34">
          <cell r="A34" t="str">
            <v>DER82200a</v>
          </cell>
          <cell r="B34" t="str">
            <v>Remoção de camada granular</v>
          </cell>
          <cell r="C34" t="str">
            <v/>
          </cell>
          <cell r="D34" t="str">
            <v/>
          </cell>
          <cell r="E34" t="str">
            <v>m3</v>
          </cell>
          <cell r="F34">
            <v>491</v>
          </cell>
          <cell r="G34">
            <v>4.67</v>
          </cell>
        </row>
        <row r="35">
          <cell r="A35" t="str">
            <v>DER82200</v>
          </cell>
          <cell r="B35" t="str">
            <v>Remoção de revestimento de CBUQ</v>
          </cell>
          <cell r="C35" t="str">
            <v/>
          </cell>
          <cell r="D35" t="str">
            <v/>
          </cell>
          <cell r="E35" t="str">
            <v>m3</v>
          </cell>
          <cell r="F35">
            <v>491</v>
          </cell>
          <cell r="G35">
            <v>5.73</v>
          </cell>
        </row>
        <row r="36">
          <cell r="F36" t="str">
            <v>SUB-TOTAL</v>
          </cell>
        </row>
        <row r="37">
          <cell r="B37" t="str">
            <v>DRENAGEM</v>
          </cell>
        </row>
        <row r="38">
          <cell r="A38" t="str">
            <v>04.000.00</v>
          </cell>
          <cell r="B38" t="str">
            <v>Escavação manual em material de 1a categoria</v>
          </cell>
          <cell r="C38" t="str">
            <v/>
          </cell>
          <cell r="D38" t="str">
            <v/>
          </cell>
          <cell r="E38" t="str">
            <v>m3</v>
          </cell>
          <cell r="F38">
            <v>57</v>
          </cell>
          <cell r="G38">
            <v>17.57</v>
          </cell>
        </row>
        <row r="39">
          <cell r="A39" t="str">
            <v>04.001.00</v>
          </cell>
          <cell r="B39" t="str">
            <v>Escavação mecânica em material de 1a categoria</v>
          </cell>
          <cell r="C39" t="str">
            <v/>
          </cell>
          <cell r="D39" t="str">
            <v/>
          </cell>
          <cell r="E39" t="str">
            <v>m3</v>
          </cell>
          <cell r="F39">
            <v>1358</v>
          </cell>
          <cell r="G39">
            <v>2.09</v>
          </cell>
        </row>
        <row r="40">
          <cell r="A40" t="str">
            <v>04.001.01</v>
          </cell>
          <cell r="B40" t="str">
            <v>Escavação mecânica,reaterro e compactação (material de 1a categoria)</v>
          </cell>
          <cell r="C40" t="str">
            <v/>
          </cell>
          <cell r="D40" t="str">
            <v/>
          </cell>
          <cell r="E40" t="str">
            <v>m3</v>
          </cell>
          <cell r="F40">
            <v>186</v>
          </cell>
          <cell r="G40">
            <v>3.03</v>
          </cell>
        </row>
        <row r="41">
          <cell r="A41" t="str">
            <v>04.401.02</v>
          </cell>
          <cell r="B41" t="str">
            <v>Valeta de prot. de aterro c/ revest. vegetal VPA 02</v>
          </cell>
          <cell r="C41" t="str">
            <v/>
          </cell>
          <cell r="D41" t="str">
            <v/>
          </cell>
          <cell r="E41" t="str">
            <v>m</v>
          </cell>
          <cell r="F41">
            <v>1161</v>
          </cell>
          <cell r="G41">
            <v>24.32</v>
          </cell>
        </row>
        <row r="42">
          <cell r="A42" t="str">
            <v>04.510.03</v>
          </cell>
          <cell r="B42" t="str">
            <v>Dreno sub- superficial- DSS 03</v>
          </cell>
          <cell r="C42" t="str">
            <v>DNER-ES294/97</v>
          </cell>
          <cell r="D42" t="str">
            <v/>
          </cell>
          <cell r="E42" t="str">
            <v>m</v>
          </cell>
          <cell r="F42">
            <v>1032</v>
          </cell>
          <cell r="G42">
            <v>3.71</v>
          </cell>
        </row>
        <row r="43">
          <cell r="A43" t="str">
            <v>04.511.01</v>
          </cell>
          <cell r="B43" t="str">
            <v>Boca de saída p/ dreno sub-superficial-BSD 03</v>
          </cell>
          <cell r="C43" t="str">
            <v/>
          </cell>
          <cell r="D43" t="str">
            <v/>
          </cell>
          <cell r="E43" t="str">
            <v>un</v>
          </cell>
          <cell r="F43">
            <v>4</v>
          </cell>
          <cell r="G43">
            <v>20.86</v>
          </cell>
        </row>
        <row r="44">
          <cell r="A44" t="str">
            <v>04.900.21</v>
          </cell>
          <cell r="B44" t="str">
            <v>Sarjeta de cant. central de concreto-SCC 01</v>
          </cell>
          <cell r="C44" t="str">
            <v>DNER-ES288/97</v>
          </cell>
          <cell r="D44" t="str">
            <v/>
          </cell>
          <cell r="E44" t="str">
            <v>m</v>
          </cell>
          <cell r="F44">
            <v>1850</v>
          </cell>
          <cell r="G44">
            <v>13.85</v>
          </cell>
        </row>
        <row r="45">
          <cell r="A45" t="str">
            <v>04.900.22</v>
          </cell>
          <cell r="B45" t="str">
            <v>Sarjeta de cant. central de concreto-SCC 02</v>
          </cell>
          <cell r="C45" t="str">
            <v>DNER-ES288/97</v>
          </cell>
          <cell r="D45" t="str">
            <v/>
          </cell>
          <cell r="E45" t="str">
            <v>m</v>
          </cell>
          <cell r="F45">
            <v>924</v>
          </cell>
          <cell r="G45">
            <v>19.170000000000002</v>
          </cell>
        </row>
        <row r="46">
          <cell r="A46" t="str">
            <v>04.900.04</v>
          </cell>
          <cell r="B46" t="str">
            <v>Sarjeta triangular de concreto-STC 04</v>
          </cell>
          <cell r="C46" t="str">
            <v>DNER-ES288/97</v>
          </cell>
          <cell r="D46" t="str">
            <v/>
          </cell>
          <cell r="E46" t="str">
            <v>m</v>
          </cell>
          <cell r="F46">
            <v>94</v>
          </cell>
          <cell r="G46">
            <v>12.93</v>
          </cell>
        </row>
        <row r="47">
          <cell r="A47" t="str">
            <v>04.910.05</v>
          </cell>
          <cell r="B47" t="str">
            <v>Meio-fio de concreto-MFC 05</v>
          </cell>
          <cell r="C47" t="str">
            <v>DNER-ES290/97</v>
          </cell>
          <cell r="D47" t="str">
            <v/>
          </cell>
          <cell r="E47" t="str">
            <v>m</v>
          </cell>
          <cell r="F47">
            <v>1664</v>
          </cell>
          <cell r="G47">
            <v>10.54</v>
          </cell>
        </row>
        <row r="48">
          <cell r="A48" t="str">
            <v>DER78150b</v>
          </cell>
          <cell r="B48" t="str">
            <v>Caixa coletora de sarjeta - CCS, D=40cm E H=1,00m</v>
          </cell>
          <cell r="C48" t="str">
            <v/>
          </cell>
          <cell r="D48" t="str">
            <v/>
          </cell>
          <cell r="E48" t="str">
            <v>un</v>
          </cell>
          <cell r="F48">
            <v>3</v>
          </cell>
          <cell r="G48">
            <v>382.07</v>
          </cell>
        </row>
        <row r="49">
          <cell r="A49" t="str">
            <v>04.930.01</v>
          </cell>
          <cell r="B49" t="str">
            <v>Caixa coletora de sarjeta-CCS 01</v>
          </cell>
          <cell r="C49" t="str">
            <v>DNER-ES287/97</v>
          </cell>
          <cell r="D49" t="str">
            <v/>
          </cell>
          <cell r="E49" t="str">
            <v>un</v>
          </cell>
          <cell r="F49">
            <v>2</v>
          </cell>
          <cell r="G49">
            <v>568.85</v>
          </cell>
        </row>
        <row r="50">
          <cell r="A50" t="str">
            <v>04.930.05</v>
          </cell>
          <cell r="B50" t="str">
            <v>Caixa coletora de sarjeta-CCS 05</v>
          </cell>
          <cell r="C50" t="str">
            <v>DNER-ES287/97</v>
          </cell>
          <cell r="D50" t="str">
            <v/>
          </cell>
          <cell r="E50" t="str">
            <v>un</v>
          </cell>
          <cell r="F50">
            <v>1</v>
          </cell>
          <cell r="G50">
            <v>715.16</v>
          </cell>
        </row>
        <row r="51">
          <cell r="A51" t="str">
            <v>04.960.02</v>
          </cell>
          <cell r="B51" t="str">
            <v>Boca de lobo simples c/ grelha de concreto-BLS 02</v>
          </cell>
          <cell r="C51" t="str">
            <v/>
          </cell>
          <cell r="D51" t="str">
            <v/>
          </cell>
          <cell r="E51" t="str">
            <v>un</v>
          </cell>
          <cell r="F51">
            <v>4</v>
          </cell>
          <cell r="G51">
            <v>257.83999999999997</v>
          </cell>
        </row>
        <row r="52">
          <cell r="A52" t="str">
            <v>P.04.100.17</v>
          </cell>
          <cell r="B52" t="str">
            <v>Caixa de ligação e passagem BSTC,  D=40cm, H=1,50m</v>
          </cell>
          <cell r="C52" t="str">
            <v/>
          </cell>
          <cell r="D52" t="str">
            <v/>
          </cell>
          <cell r="E52" t="str">
            <v>un</v>
          </cell>
          <cell r="F52">
            <v>2</v>
          </cell>
          <cell r="G52">
            <v>491.32</v>
          </cell>
        </row>
        <row r="53">
          <cell r="A53" t="str">
            <v>P 04.100.07</v>
          </cell>
          <cell r="B53" t="str">
            <v>Execução de galerias D=0,40 c/ lastro de brita</v>
          </cell>
          <cell r="C53" t="str">
            <v/>
          </cell>
          <cell r="D53" t="str">
            <v/>
          </cell>
          <cell r="E53" t="str">
            <v>m</v>
          </cell>
          <cell r="F53">
            <v>82</v>
          </cell>
          <cell r="G53">
            <v>41.68</v>
          </cell>
        </row>
        <row r="54">
          <cell r="A54" t="str">
            <v>P 04.100.08</v>
          </cell>
          <cell r="B54" t="str">
            <v>Execução de galerias D=0,40 c/ lastro de concreto</v>
          </cell>
          <cell r="C54" t="str">
            <v/>
          </cell>
          <cell r="D54" t="str">
            <v/>
          </cell>
          <cell r="E54" t="str">
            <v>m</v>
          </cell>
          <cell r="F54">
            <v>103</v>
          </cell>
          <cell r="G54">
            <v>58.65</v>
          </cell>
        </row>
        <row r="55">
          <cell r="A55" t="str">
            <v>P 04.100.10</v>
          </cell>
          <cell r="B55" t="str">
            <v>Execução de galerias D=0,60 c/ lastro de concreto</v>
          </cell>
          <cell r="C55" t="str">
            <v/>
          </cell>
          <cell r="D55" t="str">
            <v/>
          </cell>
          <cell r="E55" t="str">
            <v>m</v>
          </cell>
          <cell r="F55">
            <v>62</v>
          </cell>
          <cell r="G55">
            <v>131.66</v>
          </cell>
        </row>
        <row r="56">
          <cell r="A56" t="str">
            <v>DER72350b</v>
          </cell>
          <cell r="B56" t="str">
            <v>Boca para BSTC D=40cm - Normal</v>
          </cell>
          <cell r="C56" t="str">
            <v/>
          </cell>
          <cell r="D56" t="str">
            <v/>
          </cell>
          <cell r="E56" t="str">
            <v>un</v>
          </cell>
          <cell r="F56">
            <v>5</v>
          </cell>
          <cell r="G56">
            <v>147.57</v>
          </cell>
        </row>
        <row r="57">
          <cell r="A57" t="str">
            <v>04.101.01</v>
          </cell>
          <cell r="B57" t="str">
            <v>Boca de BSTC D=0.60m-normal</v>
          </cell>
          <cell r="C57" t="str">
            <v>DNER-ES284/97</v>
          </cell>
          <cell r="D57" t="str">
            <v/>
          </cell>
          <cell r="E57" t="str">
            <v>un</v>
          </cell>
          <cell r="F57">
            <v>3</v>
          </cell>
          <cell r="G57">
            <v>299.62</v>
          </cell>
        </row>
        <row r="58">
          <cell r="A58" t="str">
            <v>04.999.01</v>
          </cell>
          <cell r="B58" t="str">
            <v>Remoção de bueiros existentes</v>
          </cell>
          <cell r="C58" t="str">
            <v/>
          </cell>
          <cell r="D58" t="str">
            <v/>
          </cell>
          <cell r="E58" t="str">
            <v>m</v>
          </cell>
          <cell r="F58">
            <v>11</v>
          </cell>
          <cell r="G58">
            <v>13.06</v>
          </cell>
        </row>
        <row r="59">
          <cell r="A59" t="str">
            <v>04.999.02</v>
          </cell>
          <cell r="B59" t="str">
            <v>Demolição de dispositivos de concreto</v>
          </cell>
          <cell r="C59" t="str">
            <v>DNER-ES296/97</v>
          </cell>
          <cell r="D59" t="str">
            <v/>
          </cell>
          <cell r="E59" t="str">
            <v>m3</v>
          </cell>
          <cell r="F59">
            <v>6</v>
          </cell>
          <cell r="G59">
            <v>12.58</v>
          </cell>
        </row>
        <row r="60">
          <cell r="F60" t="str">
            <v>SUB-TOTAL</v>
          </cell>
        </row>
        <row r="62">
          <cell r="B62" t="str">
            <v>OBRAS DE ARTE CORRENTES</v>
          </cell>
        </row>
        <row r="63">
          <cell r="A63" t="str">
            <v>04.001.01</v>
          </cell>
          <cell r="B63" t="str">
            <v>Escavação mecânica,reaterro e compactação (material de 1a categoria)</v>
          </cell>
          <cell r="C63" t="str">
            <v/>
          </cell>
          <cell r="D63" t="str">
            <v/>
          </cell>
          <cell r="E63" t="str">
            <v>m3</v>
          </cell>
          <cell r="F63">
            <v>743</v>
          </cell>
          <cell r="G63">
            <v>3.03</v>
          </cell>
        </row>
        <row r="64">
          <cell r="A64" t="str">
            <v>04.100.03</v>
          </cell>
          <cell r="B64" t="str">
            <v>Corpo de BSTC D=1.00m</v>
          </cell>
          <cell r="C64" t="str">
            <v>DNER-ES284/97</v>
          </cell>
          <cell r="D64" t="str">
            <v/>
          </cell>
          <cell r="E64" t="str">
            <v xml:space="preserve">m </v>
          </cell>
          <cell r="F64">
            <v>23</v>
          </cell>
          <cell r="G64">
            <v>280.33</v>
          </cell>
        </row>
        <row r="65">
          <cell r="A65" t="str">
            <v>04.101.03</v>
          </cell>
          <cell r="B65" t="str">
            <v>Boca de BSTC D=1.00m-normal</v>
          </cell>
          <cell r="C65" t="str">
            <v>DNER-ES284/97</v>
          </cell>
          <cell r="D65" t="str">
            <v/>
          </cell>
          <cell r="E65" t="str">
            <v>un</v>
          </cell>
          <cell r="F65">
            <v>2</v>
          </cell>
          <cell r="G65">
            <v>757.56</v>
          </cell>
        </row>
        <row r="66">
          <cell r="A66" t="str">
            <v>04.110.02</v>
          </cell>
          <cell r="B66" t="str">
            <v>Corpo de BDTC D=1.20m</v>
          </cell>
          <cell r="C66" t="str">
            <v>DNER-ES284/97</v>
          </cell>
          <cell r="D66" t="str">
            <v/>
          </cell>
          <cell r="E66" t="str">
            <v>m</v>
          </cell>
          <cell r="F66">
            <v>45</v>
          </cell>
          <cell r="G66">
            <v>745.38</v>
          </cell>
        </row>
        <row r="67">
          <cell r="A67" t="str">
            <v>04.111.02</v>
          </cell>
          <cell r="B67" t="str">
            <v>Boca de BDTC D=1.20m-normal</v>
          </cell>
          <cell r="C67" t="str">
            <v>DNER-ES284/97</v>
          </cell>
          <cell r="D67" t="str">
            <v/>
          </cell>
          <cell r="E67" t="str">
            <v>un</v>
          </cell>
          <cell r="F67">
            <v>2</v>
          </cell>
          <cell r="G67">
            <v>1521.54</v>
          </cell>
        </row>
        <row r="68">
          <cell r="F68" t="str">
            <v>SUB-TOTAL</v>
          </cell>
        </row>
        <row r="69">
          <cell r="B69" t="str">
            <v>OBRAS DE ARTE ESPECIAIS</v>
          </cell>
        </row>
        <row r="70">
          <cell r="B70" t="str">
            <v>(Quatro tabuleiros)</v>
          </cell>
        </row>
        <row r="71">
          <cell r="B71" t="str">
            <v>Infra e Mesoestrutura</v>
          </cell>
        </row>
        <row r="72">
          <cell r="A72" t="str">
            <v>DER90150</v>
          </cell>
          <cell r="B72" t="str">
            <v>Escavação em tubulão a céu aberto em material de 1ªcateg.</v>
          </cell>
          <cell r="C72" t="str">
            <v/>
          </cell>
          <cell r="D72" t="str">
            <v/>
          </cell>
          <cell r="E72" t="str">
            <v>m3</v>
          </cell>
          <cell r="F72">
            <v>1</v>
          </cell>
          <cell r="G72">
            <v>184.89</v>
          </cell>
        </row>
        <row r="73">
          <cell r="A73" t="str">
            <v>DER90160</v>
          </cell>
          <cell r="B73" t="str">
            <v>Escavação em tubulão a céu aberto em material de 3ªcateg.</v>
          </cell>
          <cell r="C73" t="str">
            <v/>
          </cell>
          <cell r="D73" t="str">
            <v/>
          </cell>
          <cell r="E73" t="str">
            <v>m3</v>
          </cell>
          <cell r="F73">
            <v>1</v>
          </cell>
          <cell r="G73">
            <v>640.85</v>
          </cell>
        </row>
        <row r="74">
          <cell r="A74" t="str">
            <v>DER90170</v>
          </cell>
          <cell r="B74" t="str">
            <v>Escavação em tubulão sob ar comprimido em material de 1ªcateg.</v>
          </cell>
          <cell r="C74" t="str">
            <v/>
          </cell>
          <cell r="D74" t="str">
            <v/>
          </cell>
          <cell r="E74" t="str">
            <v>m3</v>
          </cell>
          <cell r="F74">
            <v>140</v>
          </cell>
          <cell r="G74">
            <v>742.04</v>
          </cell>
        </row>
        <row r="75">
          <cell r="A75" t="str">
            <v>DER90180</v>
          </cell>
          <cell r="B75" t="str">
            <v>Escavação em tubulão sob ar comprimido em material de 3ªcateg.</v>
          </cell>
          <cell r="C75" t="str">
            <v/>
          </cell>
          <cell r="D75" t="str">
            <v/>
          </cell>
          <cell r="E75" t="str">
            <v>m3</v>
          </cell>
          <cell r="F75">
            <v>82</v>
          </cell>
          <cell r="G75">
            <v>1154.25</v>
          </cell>
        </row>
        <row r="76">
          <cell r="A76" t="str">
            <v>03.371.01</v>
          </cell>
          <cell r="B76" t="str">
            <v>Formas de placa compensada resinada</v>
          </cell>
          <cell r="C76" t="str">
            <v/>
          </cell>
          <cell r="D76" t="str">
            <v/>
          </cell>
          <cell r="E76" t="str">
            <v>m2</v>
          </cell>
          <cell r="F76">
            <v>870</v>
          </cell>
          <cell r="G76">
            <v>21.86</v>
          </cell>
        </row>
        <row r="77">
          <cell r="A77" t="str">
            <v>03.353.00</v>
          </cell>
          <cell r="B77" t="str">
            <v>Forn., preparo e colocação nas formas, de aço CA-50</v>
          </cell>
          <cell r="C77" t="str">
            <v/>
          </cell>
          <cell r="D77" t="str">
            <v/>
          </cell>
          <cell r="E77" t="str">
            <v>kg</v>
          </cell>
          <cell r="F77">
            <v>11480</v>
          </cell>
          <cell r="G77">
            <v>2.59</v>
          </cell>
        </row>
        <row r="78">
          <cell r="A78" t="str">
            <v>P 03.327.01</v>
          </cell>
          <cell r="B78" t="str">
            <v xml:space="preserve">Concreto fck= 25 MPa-contr. raz. uso ger. </v>
          </cell>
          <cell r="C78" t="str">
            <v/>
          </cell>
          <cell r="D78" t="str">
            <v/>
          </cell>
          <cell r="E78" t="str">
            <v>m3</v>
          </cell>
          <cell r="F78">
            <v>264</v>
          </cell>
          <cell r="G78">
            <v>163.22</v>
          </cell>
        </row>
        <row r="79">
          <cell r="B79" t="str">
            <v>Superestrutura</v>
          </cell>
        </row>
        <row r="80">
          <cell r="A80" t="str">
            <v>03.371.02</v>
          </cell>
          <cell r="B80" t="str">
            <v>Formas de placa compensada plastificada</v>
          </cell>
          <cell r="C80" t="str">
            <v/>
          </cell>
          <cell r="D80" t="str">
            <v/>
          </cell>
          <cell r="E80" t="str">
            <v>m2</v>
          </cell>
          <cell r="F80">
            <v>5127</v>
          </cell>
          <cell r="G80">
            <v>30.76</v>
          </cell>
        </row>
        <row r="81">
          <cell r="A81" t="str">
            <v>03.353.00</v>
          </cell>
          <cell r="B81" t="str">
            <v>Forn., preparo e colocação nas formas, de aço CA-50</v>
          </cell>
          <cell r="C81" t="str">
            <v/>
          </cell>
          <cell r="D81" t="str">
            <v/>
          </cell>
          <cell r="E81" t="str">
            <v>kg</v>
          </cell>
          <cell r="F81">
            <v>143680</v>
          </cell>
          <cell r="G81">
            <v>2.59</v>
          </cell>
        </row>
        <row r="82">
          <cell r="A82" t="str">
            <v>OAE17</v>
          </cell>
          <cell r="B82" t="str">
            <v>Transporte e lançamento de pré-lages</v>
          </cell>
          <cell r="C82" t="str">
            <v/>
          </cell>
          <cell r="D82" t="str">
            <v/>
          </cell>
          <cell r="E82" t="str">
            <v>un</v>
          </cell>
          <cell r="F82">
            <v>1368</v>
          </cell>
          <cell r="G82">
            <v>23.47</v>
          </cell>
        </row>
        <row r="83">
          <cell r="A83" t="str">
            <v>OAE18</v>
          </cell>
          <cell r="B83" t="str">
            <v>Transporte e lançamento de vigas pré-moldadas</v>
          </cell>
          <cell r="C83" t="str">
            <v/>
          </cell>
          <cell r="D83" t="str">
            <v/>
          </cell>
          <cell r="E83" t="str">
            <v>un</v>
          </cell>
          <cell r="F83">
            <v>80</v>
          </cell>
          <cell r="G83">
            <v>1281.27</v>
          </cell>
        </row>
        <row r="84">
          <cell r="A84" t="str">
            <v>03.330.00</v>
          </cell>
          <cell r="B84" t="str">
            <v>Concreto fck= 35 MPa-contr. raz. uso ger.</v>
          </cell>
          <cell r="C84" t="str">
            <v/>
          </cell>
          <cell r="D84" t="str">
            <v/>
          </cell>
          <cell r="E84" t="str">
            <v>m3</v>
          </cell>
          <cell r="F84">
            <v>755</v>
          </cell>
          <cell r="G84">
            <v>166.78</v>
          </cell>
        </row>
        <row r="85">
          <cell r="B85" t="str">
            <v>Diversos</v>
          </cell>
        </row>
        <row r="86">
          <cell r="B86" t="str">
            <v>Barreiras de segurança (C.A.) Tipo New Jersey (312 m)</v>
          </cell>
        </row>
        <row r="87">
          <cell r="A87" t="str">
            <v>03.371.01</v>
          </cell>
          <cell r="B87" t="str">
            <v>Formas de placa compensada resinada</v>
          </cell>
          <cell r="C87" t="str">
            <v/>
          </cell>
          <cell r="D87" t="str">
            <v/>
          </cell>
          <cell r="E87" t="str">
            <v>m2</v>
          </cell>
          <cell r="F87">
            <v>561</v>
          </cell>
          <cell r="G87">
            <v>21.86</v>
          </cell>
        </row>
        <row r="88">
          <cell r="A88" t="str">
            <v>03.353.00</v>
          </cell>
          <cell r="B88" t="str">
            <v>Forn., preparo e colocação nas formas, de aço CA-50</v>
          </cell>
          <cell r="C88" t="str">
            <v/>
          </cell>
          <cell r="D88" t="str">
            <v/>
          </cell>
          <cell r="E88" t="str">
            <v>kg</v>
          </cell>
          <cell r="F88">
            <v>4656</v>
          </cell>
          <cell r="G88">
            <v>2.59</v>
          </cell>
        </row>
        <row r="89">
          <cell r="A89" t="str">
            <v>P 03.327.01</v>
          </cell>
          <cell r="B89" t="str">
            <v xml:space="preserve">Concreto fck= 25 MPa-contr. raz. uso ger. </v>
          </cell>
          <cell r="C89" t="str">
            <v/>
          </cell>
          <cell r="D89" t="str">
            <v/>
          </cell>
          <cell r="E89" t="str">
            <v>m3</v>
          </cell>
          <cell r="F89">
            <v>72</v>
          </cell>
          <cell r="G89">
            <v>163.22</v>
          </cell>
        </row>
        <row r="90">
          <cell r="B90" t="str">
            <v>Placas de aproximação( 08 unidades)</v>
          </cell>
        </row>
        <row r="91">
          <cell r="A91" t="str">
            <v>03.371.00</v>
          </cell>
          <cell r="B91" t="str">
            <v>Formas de madeira compensada</v>
          </cell>
          <cell r="C91" t="str">
            <v/>
          </cell>
          <cell r="D91" t="str">
            <v/>
          </cell>
          <cell r="E91" t="str">
            <v>m2</v>
          </cell>
          <cell r="F91">
            <v>73</v>
          </cell>
          <cell r="G91">
            <v>21.86</v>
          </cell>
        </row>
        <row r="92">
          <cell r="A92" t="str">
            <v>03.353.00</v>
          </cell>
          <cell r="B92" t="str">
            <v>Forn., preparo e colocação nas formas, de aço CA-50</v>
          </cell>
          <cell r="C92" t="str">
            <v/>
          </cell>
          <cell r="D92" t="str">
            <v/>
          </cell>
          <cell r="E92" t="str">
            <v>kg</v>
          </cell>
          <cell r="F92">
            <v>7432</v>
          </cell>
          <cell r="G92">
            <v>2.59</v>
          </cell>
        </row>
        <row r="93">
          <cell r="A93" t="str">
            <v>P 03.327.01</v>
          </cell>
          <cell r="B93" t="str">
            <v xml:space="preserve">Concreto fck= 25 MPa-contr. raz. uso ger. </v>
          </cell>
          <cell r="C93" t="str">
            <v/>
          </cell>
          <cell r="D93" t="str">
            <v/>
          </cell>
          <cell r="E93" t="str">
            <v>m3</v>
          </cell>
          <cell r="F93">
            <v>108</v>
          </cell>
          <cell r="G93">
            <v>163.22</v>
          </cell>
        </row>
        <row r="94">
          <cell r="B94" t="str">
            <v>Drenos</v>
          </cell>
        </row>
        <row r="95">
          <cell r="A95" t="str">
            <v>P 03.991.01f</v>
          </cell>
          <cell r="B95" t="str">
            <v>Dreno de FF D= 150 mm x 400mm</v>
          </cell>
          <cell r="C95" t="str">
            <v/>
          </cell>
          <cell r="D95" t="str">
            <v/>
          </cell>
          <cell r="E95" t="str">
            <v>un</v>
          </cell>
          <cell r="F95">
            <v>36</v>
          </cell>
          <cell r="G95">
            <v>20.37</v>
          </cell>
        </row>
        <row r="96">
          <cell r="F96" t="str">
            <v>SUB-TOTAL</v>
          </cell>
        </row>
        <row r="97">
          <cell r="B97" t="str">
            <v>OBRAS COMPLEMENTARES</v>
          </cell>
        </row>
        <row r="98">
          <cell r="A98" t="str">
            <v>05.100.00</v>
          </cell>
          <cell r="B98" t="str">
            <v>Enleivamento</v>
          </cell>
          <cell r="C98" t="str">
            <v>DNER-ES341/97</v>
          </cell>
          <cell r="D98" t="str">
            <v/>
          </cell>
          <cell r="E98" t="str">
            <v>m2</v>
          </cell>
          <cell r="F98">
            <v>30131</v>
          </cell>
          <cell r="G98">
            <v>2.06</v>
          </cell>
        </row>
        <row r="99">
          <cell r="A99" t="str">
            <v>DER53460a</v>
          </cell>
          <cell r="B99" t="str">
            <v>Calçamento com briquetes de 6 cm</v>
          </cell>
          <cell r="C99" t="str">
            <v/>
          </cell>
          <cell r="D99" t="str">
            <v/>
          </cell>
          <cell r="E99" t="str">
            <v>m2</v>
          </cell>
          <cell r="F99">
            <v>1100</v>
          </cell>
          <cell r="G99">
            <v>20.48</v>
          </cell>
        </row>
        <row r="100">
          <cell r="A100" t="str">
            <v>P 05.100.02</v>
          </cell>
          <cell r="B100" t="str">
            <v>Fornecimento e plantio de árvore selecionada</v>
          </cell>
          <cell r="C100" t="str">
            <v/>
          </cell>
          <cell r="D100" t="str">
            <v/>
          </cell>
          <cell r="E100" t="str">
            <v>un</v>
          </cell>
          <cell r="F100">
            <v>148</v>
          </cell>
          <cell r="G100">
            <v>6.02</v>
          </cell>
        </row>
        <row r="101">
          <cell r="A101" t="str">
            <v>05.102.00</v>
          </cell>
          <cell r="B101" t="str">
            <v>Hidrossemeadura</v>
          </cell>
          <cell r="C101" t="str">
            <v>DNER-ES341/97</v>
          </cell>
          <cell r="D101" t="str">
            <v/>
          </cell>
          <cell r="E101" t="str">
            <v>m2</v>
          </cell>
          <cell r="F101">
            <v>7980</v>
          </cell>
          <cell r="G101">
            <v>0.49</v>
          </cell>
        </row>
        <row r="102">
          <cell r="A102" t="str">
            <v>DER81950</v>
          </cell>
          <cell r="B102" t="str">
            <v>Calçada em lastro de brita c/revestimento em concreto</v>
          </cell>
          <cell r="C102" t="str">
            <v/>
          </cell>
          <cell r="D102" t="str">
            <v/>
          </cell>
          <cell r="E102" t="str">
            <v>m2</v>
          </cell>
          <cell r="F102">
            <v>1400</v>
          </cell>
          <cell r="G102">
            <v>8.94</v>
          </cell>
        </row>
        <row r="103">
          <cell r="A103" t="str">
            <v>P 05.300.00</v>
          </cell>
          <cell r="B103" t="str">
            <v>Abrigos para passageiros</v>
          </cell>
          <cell r="C103" t="str">
            <v/>
          </cell>
          <cell r="D103" t="str">
            <v/>
          </cell>
          <cell r="E103" t="str">
            <v>un</v>
          </cell>
          <cell r="F103">
            <v>1</v>
          </cell>
          <cell r="G103">
            <v>832.7</v>
          </cell>
        </row>
        <row r="104">
          <cell r="A104" t="str">
            <v>PI 01</v>
          </cell>
          <cell r="B104" t="str">
            <v>Poste de aço galv. a fogo, c/ 20,0m de alt. p/ instal. tipo engastado</v>
          </cell>
          <cell r="C104" t="str">
            <v/>
          </cell>
          <cell r="D104" t="str">
            <v/>
          </cell>
          <cell r="E104" t="str">
            <v>un</v>
          </cell>
          <cell r="F104">
            <v>4</v>
          </cell>
          <cell r="G104">
            <v>2662.25</v>
          </cell>
        </row>
        <row r="105">
          <cell r="A105" t="str">
            <v>PI 04</v>
          </cell>
          <cell r="B105" t="str">
            <v xml:space="preserve">Luminária p/ iluminação pública ref.SRC-612 da Philips ou similar </v>
          </cell>
          <cell r="C105" t="str">
            <v/>
          </cell>
          <cell r="D105" t="str">
            <v/>
          </cell>
          <cell r="E105" t="str">
            <v>un</v>
          </cell>
          <cell r="F105">
            <v>8</v>
          </cell>
          <cell r="G105">
            <v>425.5</v>
          </cell>
        </row>
        <row r="106">
          <cell r="A106" t="str">
            <v>PI 07</v>
          </cell>
          <cell r="B106" t="str">
            <v>Suporte p/ luminária tipo ZGP402 da Philips ou similar</v>
          </cell>
          <cell r="C106" t="str">
            <v/>
          </cell>
          <cell r="D106" t="str">
            <v/>
          </cell>
          <cell r="E106" t="str">
            <v>un</v>
          </cell>
          <cell r="F106">
            <v>4</v>
          </cell>
          <cell r="G106">
            <v>100</v>
          </cell>
        </row>
        <row r="107">
          <cell r="A107" t="str">
            <v>PI 09</v>
          </cell>
          <cell r="B107" t="str">
            <v>Lâmpada a vapor de sódio 400W, alta pressão, base E40</v>
          </cell>
          <cell r="C107" t="str">
            <v/>
          </cell>
          <cell r="D107" t="str">
            <v/>
          </cell>
          <cell r="E107" t="str">
            <v>un</v>
          </cell>
          <cell r="F107">
            <v>8</v>
          </cell>
          <cell r="G107">
            <v>33.35</v>
          </cell>
        </row>
        <row r="108">
          <cell r="A108" t="str">
            <v>PI 20</v>
          </cell>
          <cell r="B108" t="str">
            <v>Poste de concreto duplo T 10m, 150 daN</v>
          </cell>
          <cell r="C108" t="str">
            <v/>
          </cell>
          <cell r="D108" t="str">
            <v/>
          </cell>
          <cell r="E108" t="str">
            <v>un</v>
          </cell>
          <cell r="F108">
            <v>1</v>
          </cell>
          <cell r="G108">
            <v>200</v>
          </cell>
        </row>
        <row r="109">
          <cell r="A109" t="str">
            <v>PI 22</v>
          </cell>
          <cell r="B109" t="str">
            <v>Base completa com fusível Diazed, 6A, retardado, incluíndo tampa, anel de proteção e ajuste</v>
          </cell>
          <cell r="C109" t="str">
            <v/>
          </cell>
          <cell r="D109" t="str">
            <v/>
          </cell>
          <cell r="E109" t="str">
            <v>un</v>
          </cell>
          <cell r="F109">
            <v>8</v>
          </cell>
          <cell r="G109">
            <v>8.6300000000000008</v>
          </cell>
        </row>
        <row r="110">
          <cell r="A110" t="str">
            <v>PI 23</v>
          </cell>
          <cell r="B110" t="str">
            <v>Contator tripolar a seco, p/ corrente alternada - 55 A, para uso em rede 380/220V - 60Hz</v>
          </cell>
          <cell r="C110" t="str">
            <v/>
          </cell>
          <cell r="D110" t="str">
            <v/>
          </cell>
          <cell r="E110" t="str">
            <v>un</v>
          </cell>
          <cell r="F110">
            <v>2</v>
          </cell>
          <cell r="G110">
            <v>234.6</v>
          </cell>
        </row>
        <row r="111">
          <cell r="A111" t="str">
            <v>PI 24</v>
          </cell>
          <cell r="B111" t="str">
            <v>Fita elétrica auto fusão a base de borracha EPR</v>
          </cell>
          <cell r="C111" t="str">
            <v/>
          </cell>
          <cell r="D111" t="str">
            <v/>
          </cell>
          <cell r="E111" t="str">
            <v>un</v>
          </cell>
          <cell r="F111">
            <v>2</v>
          </cell>
          <cell r="G111">
            <v>6.39</v>
          </cell>
        </row>
        <row r="112">
          <cell r="A112" t="str">
            <v>PI 25</v>
          </cell>
          <cell r="B112" t="str">
            <v>Fita adesiva plástica isolante</v>
          </cell>
          <cell r="C112" t="str">
            <v/>
          </cell>
          <cell r="D112" t="str">
            <v/>
          </cell>
          <cell r="E112" t="str">
            <v>un</v>
          </cell>
          <cell r="F112">
            <v>2</v>
          </cell>
          <cell r="G112">
            <v>3.84</v>
          </cell>
        </row>
        <row r="113">
          <cell r="A113" t="str">
            <v>PI 26</v>
          </cell>
          <cell r="B113" t="str">
            <v>Relé fotoelétrico c/ suporte para fixação galv. com furo 18mm</v>
          </cell>
          <cell r="C113" t="str">
            <v/>
          </cell>
          <cell r="D113" t="str">
            <v/>
          </cell>
          <cell r="E113" t="str">
            <v>un</v>
          </cell>
          <cell r="F113">
            <v>2</v>
          </cell>
          <cell r="G113">
            <v>11.5</v>
          </cell>
        </row>
        <row r="114">
          <cell r="A114" t="str">
            <v>PI 27</v>
          </cell>
          <cell r="B114" t="str">
            <v>Cabo isolado p/ 1000V, bitola 35mm²</v>
          </cell>
          <cell r="C114" t="str">
            <v/>
          </cell>
          <cell r="D114" t="str">
            <v/>
          </cell>
          <cell r="E114" t="str">
            <v>m</v>
          </cell>
          <cell r="F114">
            <v>1350</v>
          </cell>
          <cell r="G114">
            <v>1.55</v>
          </cell>
        </row>
        <row r="115">
          <cell r="A115" t="str">
            <v>PI 28</v>
          </cell>
          <cell r="B115" t="str">
            <v>Eletroduto de aço tipo pesado 100mm</v>
          </cell>
          <cell r="C115" t="str">
            <v/>
          </cell>
          <cell r="D115" t="str">
            <v/>
          </cell>
          <cell r="E115" t="str">
            <v>m</v>
          </cell>
          <cell r="F115">
            <v>50</v>
          </cell>
          <cell r="G115">
            <v>28.55</v>
          </cell>
        </row>
        <row r="116">
          <cell r="A116" t="str">
            <v>PI 29</v>
          </cell>
          <cell r="B116" t="str">
            <v>Curva em alumínio fundido de alta resistência, fixação por encaixe,50mm</v>
          </cell>
          <cell r="C116" t="str">
            <v/>
          </cell>
          <cell r="D116" t="str">
            <v/>
          </cell>
          <cell r="E116" t="str">
            <v>un</v>
          </cell>
          <cell r="F116">
            <v>1</v>
          </cell>
          <cell r="G116">
            <v>18.75</v>
          </cell>
        </row>
        <row r="117">
          <cell r="A117" t="str">
            <v>PI 30</v>
          </cell>
          <cell r="B117" t="str">
            <v>Haste para aterramento aço-cobre D 13x2400mm</v>
          </cell>
          <cell r="C117" t="str">
            <v/>
          </cell>
          <cell r="D117" t="str">
            <v/>
          </cell>
          <cell r="E117" t="str">
            <v>un</v>
          </cell>
          <cell r="F117">
            <v>5</v>
          </cell>
          <cell r="G117">
            <v>6.04</v>
          </cell>
        </row>
        <row r="118">
          <cell r="A118" t="str">
            <v>PI 31</v>
          </cell>
          <cell r="B118" t="str">
            <v>Cabo de cobre nú meio duro, 7 fios 2AWG</v>
          </cell>
          <cell r="C118" t="str">
            <v/>
          </cell>
          <cell r="D118" t="str">
            <v/>
          </cell>
          <cell r="E118" t="str">
            <v>kg</v>
          </cell>
          <cell r="F118">
            <v>2</v>
          </cell>
          <cell r="G118">
            <v>7.02</v>
          </cell>
        </row>
        <row r="119">
          <cell r="A119" t="str">
            <v>PI 32</v>
          </cell>
          <cell r="B119" t="str">
            <v>Conetor paralelo, liga alumínio tronco 1/0-4 AWG e derivação 2-4AWG</v>
          </cell>
          <cell r="C119" t="str">
            <v/>
          </cell>
          <cell r="D119" t="str">
            <v/>
          </cell>
          <cell r="E119" t="str">
            <v>un</v>
          </cell>
          <cell r="F119">
            <v>5</v>
          </cell>
          <cell r="G119">
            <v>1.04</v>
          </cell>
        </row>
        <row r="120">
          <cell r="A120" t="str">
            <v>PI 54</v>
          </cell>
          <cell r="B120" t="str">
            <v>Eletroduto de PVC corrugado tipo Kanalex ou similar, D=100mm</v>
          </cell>
          <cell r="C120" t="str">
            <v/>
          </cell>
          <cell r="D120" t="str">
            <v/>
          </cell>
          <cell r="E120" t="str">
            <v>m</v>
          </cell>
          <cell r="F120">
            <v>270</v>
          </cell>
          <cell r="G120">
            <v>4.95</v>
          </cell>
        </row>
        <row r="121">
          <cell r="A121" t="str">
            <v>PI 33</v>
          </cell>
          <cell r="B121" t="str">
            <v>Tubo de aço galvanizado, vara de 6m e 50mm</v>
          </cell>
          <cell r="C121" t="str">
            <v/>
          </cell>
          <cell r="D121" t="str">
            <v/>
          </cell>
          <cell r="E121" t="str">
            <v>un</v>
          </cell>
          <cell r="F121">
            <v>2</v>
          </cell>
          <cell r="G121">
            <v>74.06</v>
          </cell>
        </row>
        <row r="122">
          <cell r="A122" t="str">
            <v>PI 34</v>
          </cell>
          <cell r="B122" t="str">
            <v>Construção de caixa tipo SP, ou pré-instalada com as mesmas características</v>
          </cell>
          <cell r="C122" t="str">
            <v/>
          </cell>
          <cell r="D122" t="str">
            <v/>
          </cell>
          <cell r="E122" t="str">
            <v>un</v>
          </cell>
          <cell r="F122">
            <v>10</v>
          </cell>
          <cell r="G122">
            <v>180</v>
          </cell>
        </row>
        <row r="123">
          <cell r="A123" t="str">
            <v>PI 35</v>
          </cell>
          <cell r="B123" t="str">
            <v>Construção de embasamento p/ poste tipo engastado, 20m de altura</v>
          </cell>
          <cell r="C123" t="str">
            <v/>
          </cell>
          <cell r="D123" t="str">
            <v/>
          </cell>
          <cell r="E123" t="str">
            <v>un</v>
          </cell>
          <cell r="F123">
            <v>4</v>
          </cell>
          <cell r="G123">
            <v>494</v>
          </cell>
        </row>
        <row r="124">
          <cell r="A124" t="str">
            <v>PI 36</v>
          </cell>
          <cell r="B124" t="str">
            <v>Construção de embasamento p/ poste tipo engastado, concreto duplo T, 10m de altura</v>
          </cell>
          <cell r="C124" t="str">
            <v/>
          </cell>
          <cell r="D124" t="str">
            <v/>
          </cell>
          <cell r="E124" t="str">
            <v>un</v>
          </cell>
          <cell r="F124">
            <v>1</v>
          </cell>
          <cell r="G124">
            <v>285</v>
          </cell>
        </row>
        <row r="125">
          <cell r="A125" t="str">
            <v>PI 37</v>
          </cell>
          <cell r="B125" t="str">
            <v>Lançamento de cabos em dutos de aço, classe 1000V, circuito trifásico mais neutro, e monofásico</v>
          </cell>
          <cell r="C125" t="str">
            <v/>
          </cell>
          <cell r="D125" t="str">
            <v/>
          </cell>
          <cell r="E125" t="str">
            <v>m</v>
          </cell>
          <cell r="F125">
            <v>270</v>
          </cell>
          <cell r="G125">
            <v>4</v>
          </cell>
        </row>
        <row r="126">
          <cell r="A126" t="str">
            <v>PI 38</v>
          </cell>
          <cell r="B126" t="str">
            <v>Confecção de emendas retas ou derivação em cabos classe 1000V, c/ conector à compressão</v>
          </cell>
          <cell r="C126" t="str">
            <v/>
          </cell>
          <cell r="D126" t="str">
            <v/>
          </cell>
          <cell r="E126" t="str">
            <v>un</v>
          </cell>
          <cell r="F126">
            <v>10</v>
          </cell>
          <cell r="G126">
            <v>4.5</v>
          </cell>
        </row>
        <row r="127">
          <cell r="A127" t="str">
            <v>PI 39</v>
          </cell>
          <cell r="B127" t="str">
            <v>Fixação de haste de terra e conexão ao neutro</v>
          </cell>
          <cell r="C127" t="str">
            <v/>
          </cell>
          <cell r="D127" t="str">
            <v/>
          </cell>
          <cell r="E127" t="str">
            <v>un</v>
          </cell>
          <cell r="F127">
            <v>5</v>
          </cell>
          <cell r="G127">
            <v>35</v>
          </cell>
        </row>
        <row r="128">
          <cell r="A128" t="str">
            <v>PI 40</v>
          </cell>
          <cell r="B128" t="str">
            <v>Montagem eletromecân.de iluminação a 17,5m de alt., formada p/2 pétalas, c/ fixação dos equip.</v>
          </cell>
          <cell r="C128" t="str">
            <v/>
          </cell>
          <cell r="D128" t="str">
            <v/>
          </cell>
          <cell r="E128" t="str">
            <v>un</v>
          </cell>
          <cell r="F128">
            <v>4</v>
          </cell>
          <cell r="G128">
            <v>550</v>
          </cell>
        </row>
        <row r="129">
          <cell r="A129" t="str">
            <v>PI 41</v>
          </cell>
          <cell r="B129" t="str">
            <v>Instalação de tubo de aço vara de 6m e curva de entrada de cabos na lateral do poste c/ fix. dutos</v>
          </cell>
          <cell r="C129" t="str">
            <v/>
          </cell>
          <cell r="D129" t="str">
            <v/>
          </cell>
          <cell r="E129" t="str">
            <v>un</v>
          </cell>
          <cell r="F129">
            <v>1</v>
          </cell>
          <cell r="G129">
            <v>200</v>
          </cell>
        </row>
        <row r="130">
          <cell r="A130" t="str">
            <v>PI 42</v>
          </cell>
          <cell r="B130" t="str">
            <v>Instalação de poste de aço de 20m de altura engastado</v>
          </cell>
          <cell r="C130" t="str">
            <v/>
          </cell>
          <cell r="D130" t="str">
            <v/>
          </cell>
          <cell r="E130" t="str">
            <v>un</v>
          </cell>
          <cell r="F130">
            <v>1</v>
          </cell>
          <cell r="G130">
            <v>250</v>
          </cell>
        </row>
        <row r="131">
          <cell r="A131" t="str">
            <v>PI 43</v>
          </cell>
          <cell r="B131" t="str">
            <v>Travessia de pista asfáltica p/ lançamento dutos aço tipo pesado 100mm</v>
          </cell>
          <cell r="C131" t="str">
            <v/>
          </cell>
          <cell r="D131" t="str">
            <v/>
          </cell>
          <cell r="E131" t="str">
            <v>m</v>
          </cell>
          <cell r="F131">
            <v>270</v>
          </cell>
          <cell r="G131">
            <v>70</v>
          </cell>
        </row>
        <row r="132">
          <cell r="A132" t="str">
            <v>PI 57</v>
          </cell>
          <cell r="B132" t="str">
            <v>Lançamento de cabos em eletroduto de PVC corrugado</v>
          </cell>
          <cell r="C132" t="str">
            <v/>
          </cell>
          <cell r="D132" t="str">
            <v/>
          </cell>
          <cell r="E132" t="str">
            <v>m</v>
          </cell>
          <cell r="F132">
            <v>270</v>
          </cell>
          <cell r="G132">
            <v>3</v>
          </cell>
        </row>
        <row r="133">
          <cell r="A133" t="str">
            <v>PI 69</v>
          </cell>
          <cell r="B133" t="str">
            <v>Instalação de poste concreto duplo T, 10m de altura, engastado</v>
          </cell>
          <cell r="C133" t="str">
            <v/>
          </cell>
          <cell r="D133" t="str">
            <v/>
          </cell>
          <cell r="E133" t="str">
            <v>un</v>
          </cell>
          <cell r="F133">
            <v>1</v>
          </cell>
          <cell r="G133">
            <v>200</v>
          </cell>
        </row>
        <row r="134">
          <cell r="A134" t="str">
            <v>R1</v>
          </cell>
          <cell r="B134" t="str">
            <v>Remanejamento de Rede de Baixa Tensão (220/380V)</v>
          </cell>
          <cell r="C134" t="str">
            <v/>
          </cell>
          <cell r="D134" t="str">
            <v/>
          </cell>
          <cell r="E134" t="str">
            <v>m</v>
          </cell>
          <cell r="F134">
            <v>270</v>
          </cell>
          <cell r="G134">
            <v>4.7</v>
          </cell>
        </row>
        <row r="135">
          <cell r="A135" t="str">
            <v>R2</v>
          </cell>
          <cell r="B135" t="str">
            <v>Remanejamento de Rede de Alta Tensão (138kV)</v>
          </cell>
          <cell r="C135" t="str">
            <v/>
          </cell>
          <cell r="D135" t="str">
            <v/>
          </cell>
          <cell r="E135" t="str">
            <v>m</v>
          </cell>
          <cell r="F135">
            <v>180</v>
          </cell>
          <cell r="G135">
            <v>6.2</v>
          </cell>
        </row>
        <row r="136">
          <cell r="A136" t="str">
            <v>R27</v>
          </cell>
          <cell r="B136" t="str">
            <v>Remanejamento de Poste de Madeira</v>
          </cell>
          <cell r="C136" t="str">
            <v/>
          </cell>
          <cell r="D136" t="str">
            <v/>
          </cell>
          <cell r="E136" t="str">
            <v>un</v>
          </cell>
          <cell r="F136">
            <v>4</v>
          </cell>
          <cell r="G136">
            <v>70</v>
          </cell>
        </row>
        <row r="137">
          <cell r="A137" t="str">
            <v>R20</v>
          </cell>
          <cell r="B137" t="str">
            <v>Remanejamento de Poste de Concreto 10/300 c/ 3 pétalas (400W) instalado</v>
          </cell>
          <cell r="C137" t="str">
            <v/>
          </cell>
          <cell r="D137" t="str">
            <v/>
          </cell>
          <cell r="E137" t="str">
            <v>un</v>
          </cell>
          <cell r="F137">
            <v>4</v>
          </cell>
          <cell r="G137">
            <v>250</v>
          </cell>
        </row>
        <row r="138">
          <cell r="A138" t="str">
            <v>R30</v>
          </cell>
          <cell r="B138" t="str">
            <v>Remoção de rede subterrânea em baixa tensão</v>
          </cell>
          <cell r="C138" t="str">
            <v/>
          </cell>
          <cell r="D138" t="str">
            <v/>
          </cell>
          <cell r="E138" t="str">
            <v>m</v>
          </cell>
          <cell r="F138">
            <v>150</v>
          </cell>
          <cell r="G138">
            <v>6.7</v>
          </cell>
        </row>
      </sheetData>
      <sheetData sheetId="13" refreshError="1">
        <row r="14">
          <cell r="A14" t="str">
            <v>01.000.00</v>
          </cell>
          <cell r="B14" t="str">
            <v>Desmatamento,destocamento e limpeza de área com árvore até 0,15m</v>
          </cell>
          <cell r="C14" t="str">
            <v>DNER-ES278/97</v>
          </cell>
          <cell r="D14" t="str">
            <v/>
          </cell>
          <cell r="E14" t="str">
            <v>m2</v>
          </cell>
          <cell r="F14">
            <v>20000</v>
          </cell>
          <cell r="G14">
            <v>7.0000000000000007E-2</v>
          </cell>
        </row>
        <row r="15">
          <cell r="A15" t="str">
            <v>01.010.00</v>
          </cell>
          <cell r="B15" t="str">
            <v>Desmatamento e destocamento árvores de 0,15m a 0,30m</v>
          </cell>
          <cell r="C15" t="str">
            <v>DNER-ES278/97</v>
          </cell>
          <cell r="D15" t="str">
            <v/>
          </cell>
          <cell r="E15" t="str">
            <v>un</v>
          </cell>
          <cell r="F15">
            <v>100</v>
          </cell>
          <cell r="G15">
            <v>8.92</v>
          </cell>
        </row>
        <row r="16">
          <cell r="A16" t="str">
            <v>01.011.00</v>
          </cell>
          <cell r="B16" t="str">
            <v>Desmatamento e destocamento árvores superior a 0,30m</v>
          </cell>
          <cell r="C16" t="str">
            <v>DNER-ES278/97</v>
          </cell>
          <cell r="D16" t="str">
            <v/>
          </cell>
          <cell r="E16" t="str">
            <v>un</v>
          </cell>
          <cell r="F16">
            <v>50</v>
          </cell>
          <cell r="G16">
            <v>26.75</v>
          </cell>
        </row>
        <row r="17">
          <cell r="A17" t="str">
            <v>01.100.11</v>
          </cell>
          <cell r="B17" t="str">
            <v>Escavação,carga e transportes de material de 1a categoria DMT= 400 a 600m</v>
          </cell>
          <cell r="C17" t="str">
            <v>DNER-ES280/97</v>
          </cell>
          <cell r="D17" t="str">
            <v/>
          </cell>
          <cell r="E17" t="str">
            <v>m3</v>
          </cell>
          <cell r="F17">
            <v>1445</v>
          </cell>
          <cell r="G17">
            <v>2.12</v>
          </cell>
        </row>
        <row r="18">
          <cell r="A18" t="str">
            <v>01.100.19</v>
          </cell>
          <cell r="B18" t="str">
            <v>Escavação,carga e transportes de material de 1a categoria DMT= 2000 a 3000m</v>
          </cell>
          <cell r="C18" t="str">
            <v>DNER-ES280/97</v>
          </cell>
          <cell r="D18" t="str">
            <v/>
          </cell>
          <cell r="E18" t="str">
            <v>m3</v>
          </cell>
          <cell r="F18">
            <v>2818</v>
          </cell>
          <cell r="G18">
            <v>3.26</v>
          </cell>
        </row>
        <row r="19">
          <cell r="A19" t="str">
            <v>DER50335</v>
          </cell>
          <cell r="B19" t="str">
            <v>Esc.  Carga e Transp. de mat. 1a cat. c/ CB 16000&lt;DMT&lt;18000m</v>
          </cell>
          <cell r="C19" t="str">
            <v/>
          </cell>
          <cell r="D19" t="str">
            <v/>
          </cell>
          <cell r="E19" t="str">
            <v>m3</v>
          </cell>
          <cell r="F19">
            <v>9287</v>
          </cell>
          <cell r="G19">
            <v>10.08</v>
          </cell>
        </row>
        <row r="20">
          <cell r="A20" t="str">
            <v>01.101.11</v>
          </cell>
          <cell r="B20" t="str">
            <v>Escavação,carga e transportes de material de 2a categoria,c/CB,  DMT 400 a 600m</v>
          </cell>
          <cell r="C20" t="str">
            <v>DNER-ES280/97</v>
          </cell>
          <cell r="D20" t="str">
            <v/>
          </cell>
          <cell r="E20" t="str">
            <v>m3</v>
          </cell>
          <cell r="F20">
            <v>6064</v>
          </cell>
          <cell r="G20">
            <v>3.15</v>
          </cell>
        </row>
        <row r="21">
          <cell r="A21" t="str">
            <v>DER52087</v>
          </cell>
          <cell r="B21" t="str">
            <v>Esc. Carga e Transp. de solos moles 400&lt;DMT&lt;=600m</v>
          </cell>
          <cell r="C21" t="str">
            <v/>
          </cell>
          <cell r="D21" t="str">
            <v/>
          </cell>
          <cell r="E21" t="str">
            <v>m3</v>
          </cell>
          <cell r="F21">
            <v>7144</v>
          </cell>
          <cell r="G21">
            <v>4.5999999999999996</v>
          </cell>
        </row>
        <row r="22">
          <cell r="A22" t="str">
            <v>01.510.00</v>
          </cell>
          <cell r="B22" t="str">
            <v>Compactação de aterros a 95% Proctor Normal</v>
          </cell>
          <cell r="C22" t="str">
            <v>DNER-ES282/97</v>
          </cell>
          <cell r="D22" t="str">
            <v/>
          </cell>
          <cell r="E22" t="str">
            <v>m3</v>
          </cell>
          <cell r="F22">
            <v>11975</v>
          </cell>
          <cell r="G22">
            <v>0.79</v>
          </cell>
        </row>
        <row r="23">
          <cell r="A23" t="str">
            <v>01.511.00</v>
          </cell>
          <cell r="B23" t="str">
            <v>Compactação de aterros a 100% Proctor Normal</v>
          </cell>
          <cell r="C23" t="str">
            <v>DNER-ES282/97</v>
          </cell>
          <cell r="D23" t="str">
            <v/>
          </cell>
          <cell r="E23" t="str">
            <v>m3</v>
          </cell>
          <cell r="F23">
            <v>2348</v>
          </cell>
          <cell r="G23">
            <v>1.36</v>
          </cell>
        </row>
        <row r="24">
          <cell r="A24" t="str">
            <v>P 10.000.06</v>
          </cell>
          <cell r="B24" t="str">
            <v>Aterro reforçado c/ elementos Terramesh (0,50x1,00x4,00m)(malha 8x10) ou similar</v>
          </cell>
          <cell r="C24" t="str">
            <v/>
          </cell>
          <cell r="D24" t="str">
            <v/>
          </cell>
          <cell r="E24" t="str">
            <v>un</v>
          </cell>
          <cell r="F24">
            <v>1557</v>
          </cell>
          <cell r="G24">
            <v>321.67</v>
          </cell>
        </row>
        <row r="25">
          <cell r="A25" t="str">
            <v>P 10.000.05</v>
          </cell>
          <cell r="B25" t="str">
            <v>Aterro reforçado c/ elementos Terramesh (1,00x1,00x4,00m)(malha 8x10) ou similar</v>
          </cell>
          <cell r="C25" t="str">
            <v/>
          </cell>
          <cell r="D25" t="str">
            <v/>
          </cell>
          <cell r="E25" t="str">
            <v>un</v>
          </cell>
          <cell r="F25">
            <v>815</v>
          </cell>
          <cell r="G25">
            <v>414.83</v>
          </cell>
        </row>
        <row r="26">
          <cell r="A26" t="str">
            <v>09.517.04</v>
          </cell>
          <cell r="B26" t="str">
            <v>Pedra de mão</v>
          </cell>
          <cell r="C26" t="str">
            <v/>
          </cell>
          <cell r="D26" t="str">
            <v/>
          </cell>
          <cell r="E26" t="str">
            <v>m3</v>
          </cell>
          <cell r="F26">
            <v>3665</v>
          </cell>
          <cell r="G26">
            <v>11.92</v>
          </cell>
        </row>
        <row r="27">
          <cell r="A27">
            <v>9000032</v>
          </cell>
          <cell r="B27" t="str">
            <v>Manta Geotextil 200g/m2</v>
          </cell>
          <cell r="C27">
            <v>0</v>
          </cell>
          <cell r="D27">
            <v>0</v>
          </cell>
          <cell r="E27" t="str">
            <v>m2</v>
          </cell>
          <cell r="F27">
            <v>6665</v>
          </cell>
          <cell r="G27">
            <v>5.83</v>
          </cell>
        </row>
        <row r="28">
          <cell r="A28" t="str">
            <v>P 10.000.07</v>
          </cell>
          <cell r="B28" t="str">
            <v>Geogrelha Paralink 400m ou similar</v>
          </cell>
          <cell r="C28" t="str">
            <v/>
          </cell>
          <cell r="D28" t="str">
            <v/>
          </cell>
          <cell r="E28" t="str">
            <v>m2</v>
          </cell>
          <cell r="F28">
            <v>1418</v>
          </cell>
          <cell r="G28">
            <v>52.09</v>
          </cell>
        </row>
        <row r="29">
          <cell r="F29" t="str">
            <v>SUB-TOTAL</v>
          </cell>
        </row>
        <row r="31">
          <cell r="B31" t="str">
            <v>PAVIMENTAÇÃO</v>
          </cell>
        </row>
        <row r="32">
          <cell r="A32" t="str">
            <v>02.000.00</v>
          </cell>
          <cell r="B32" t="str">
            <v>Regularização do subleito</v>
          </cell>
          <cell r="C32" t="str">
            <v/>
          </cell>
          <cell r="D32" t="str">
            <v/>
          </cell>
          <cell r="E32" t="str">
            <v>m2</v>
          </cell>
          <cell r="F32">
            <v>18218</v>
          </cell>
          <cell r="G32">
            <v>0.3</v>
          </cell>
        </row>
        <row r="33">
          <cell r="A33" t="str">
            <v>DER53130</v>
          </cell>
          <cell r="B33" t="str">
            <v>Camada de macadame seco</v>
          </cell>
          <cell r="C33" t="str">
            <v/>
          </cell>
          <cell r="D33" t="str">
            <v/>
          </cell>
          <cell r="E33" t="str">
            <v>m3</v>
          </cell>
          <cell r="F33">
            <v>3392</v>
          </cell>
          <cell r="G33">
            <v>21.86</v>
          </cell>
        </row>
        <row r="34">
          <cell r="A34" t="str">
            <v>02.230.00</v>
          </cell>
          <cell r="B34" t="str">
            <v>Base brita graduada</v>
          </cell>
          <cell r="C34" t="str">
            <v>DNER-ES303/97</v>
          </cell>
          <cell r="D34" t="str">
            <v/>
          </cell>
          <cell r="E34" t="str">
            <v>m3</v>
          </cell>
          <cell r="F34">
            <v>2541</v>
          </cell>
          <cell r="G34">
            <v>28.06</v>
          </cell>
        </row>
        <row r="35">
          <cell r="A35" t="str">
            <v>02.300.00</v>
          </cell>
          <cell r="B35" t="str">
            <v>Imprimação - Fornecimento, transporte e execução</v>
          </cell>
          <cell r="C35" t="str">
            <v>DNER-ES306/97</v>
          </cell>
          <cell r="D35" t="str">
            <v/>
          </cell>
          <cell r="E35" t="str">
            <v>m2</v>
          </cell>
          <cell r="F35">
            <v>16640</v>
          </cell>
          <cell r="G35">
            <v>1.1100000000000001</v>
          </cell>
        </row>
        <row r="36">
          <cell r="A36" t="str">
            <v>02.400.00</v>
          </cell>
          <cell r="B36" t="str">
            <v>Pintura de ligação - Fornec., transporte e execução</v>
          </cell>
          <cell r="C36" t="str">
            <v>DNER-ES307/97</v>
          </cell>
          <cell r="D36" t="str">
            <v/>
          </cell>
          <cell r="E36" t="str">
            <v>m2</v>
          </cell>
          <cell r="F36">
            <v>42377</v>
          </cell>
          <cell r="G36">
            <v>0.41</v>
          </cell>
        </row>
        <row r="37">
          <cell r="A37" t="str">
            <v>02.540.01</v>
          </cell>
          <cell r="B37" t="str">
            <v>Concreto betuminoso usinado a quente - usina 100/140 t/h</v>
          </cell>
          <cell r="C37" t="str">
            <v>DNER-ES313/97</v>
          </cell>
          <cell r="D37" t="str">
            <v/>
          </cell>
          <cell r="E37" t="str">
            <v>t</v>
          </cell>
          <cell r="F37">
            <v>5291</v>
          </cell>
          <cell r="G37">
            <v>67.64</v>
          </cell>
        </row>
        <row r="38">
          <cell r="A38" t="str">
            <v>DER82200a</v>
          </cell>
          <cell r="B38" t="str">
            <v>Remoção de camada granular</v>
          </cell>
          <cell r="C38" t="str">
            <v/>
          </cell>
          <cell r="D38" t="str">
            <v/>
          </cell>
          <cell r="E38" t="str">
            <v>m3</v>
          </cell>
          <cell r="F38">
            <v>370</v>
          </cell>
          <cell r="G38">
            <v>4.67</v>
          </cell>
        </row>
        <row r="39">
          <cell r="A39" t="str">
            <v>DER82200</v>
          </cell>
          <cell r="B39" t="str">
            <v>Remoção de revestimento de CBUQ</v>
          </cell>
          <cell r="C39" t="str">
            <v/>
          </cell>
          <cell r="D39" t="str">
            <v/>
          </cell>
          <cell r="E39" t="str">
            <v>m3</v>
          </cell>
          <cell r="F39">
            <v>370</v>
          </cell>
          <cell r="G39">
            <v>5.73</v>
          </cell>
        </row>
        <row r="40">
          <cell r="F40" t="str">
            <v>SUB-TOTAL</v>
          </cell>
        </row>
        <row r="42">
          <cell r="B42" t="str">
            <v>DRENAGEM</v>
          </cell>
        </row>
        <row r="43">
          <cell r="A43" t="str">
            <v>04.000.00</v>
          </cell>
          <cell r="B43" t="str">
            <v>Escavação manual em material de 1a categoria</v>
          </cell>
          <cell r="C43" t="str">
            <v/>
          </cell>
          <cell r="D43" t="str">
            <v/>
          </cell>
          <cell r="E43" t="str">
            <v>m3</v>
          </cell>
          <cell r="F43">
            <v>61</v>
          </cell>
          <cell r="G43">
            <v>17.57</v>
          </cell>
        </row>
        <row r="44">
          <cell r="A44" t="str">
            <v>04.001.00</v>
          </cell>
          <cell r="B44" t="str">
            <v>Escavação mecânica em material de 1a categoria</v>
          </cell>
          <cell r="C44" t="str">
            <v/>
          </cell>
          <cell r="D44" t="str">
            <v/>
          </cell>
          <cell r="E44" t="str">
            <v>m3</v>
          </cell>
          <cell r="F44">
            <v>52</v>
          </cell>
          <cell r="G44">
            <v>2.09</v>
          </cell>
        </row>
        <row r="45">
          <cell r="A45" t="str">
            <v>04.001.01</v>
          </cell>
          <cell r="B45" t="str">
            <v>Escavação mecânica,reaterro e compactação (material de 1a categoria)</v>
          </cell>
          <cell r="C45" t="str">
            <v/>
          </cell>
          <cell r="D45" t="str">
            <v/>
          </cell>
          <cell r="E45" t="str">
            <v>m3</v>
          </cell>
          <cell r="F45">
            <v>1247</v>
          </cell>
          <cell r="G45">
            <v>3.03</v>
          </cell>
        </row>
        <row r="46">
          <cell r="A46" t="str">
            <v>04.510.03</v>
          </cell>
          <cell r="B46" t="str">
            <v>Dreno sub- superficial- DSS 03</v>
          </cell>
          <cell r="C46" t="str">
            <v>DNER-ES294/97</v>
          </cell>
          <cell r="D46" t="str">
            <v/>
          </cell>
          <cell r="E46" t="str">
            <v>m</v>
          </cell>
          <cell r="F46">
            <v>233</v>
          </cell>
          <cell r="G46">
            <v>3.71</v>
          </cell>
        </row>
        <row r="47">
          <cell r="A47" t="str">
            <v>04.511.01</v>
          </cell>
          <cell r="B47" t="str">
            <v>Boca de saída p/ dreno sub-superficial-BSD 03</v>
          </cell>
          <cell r="C47" t="str">
            <v/>
          </cell>
          <cell r="D47" t="str">
            <v/>
          </cell>
          <cell r="E47" t="str">
            <v>un</v>
          </cell>
          <cell r="F47">
            <v>4</v>
          </cell>
          <cell r="G47">
            <v>20.86</v>
          </cell>
        </row>
        <row r="48">
          <cell r="A48" t="str">
            <v>04.900.21</v>
          </cell>
          <cell r="B48" t="str">
            <v>Sarjeta de cant. central de concreto-SCC 01</v>
          </cell>
          <cell r="C48" t="str">
            <v>DNER-ES288/97</v>
          </cell>
          <cell r="D48" t="str">
            <v/>
          </cell>
          <cell r="E48" t="str">
            <v>m</v>
          </cell>
          <cell r="F48">
            <v>176</v>
          </cell>
          <cell r="G48">
            <v>13.85</v>
          </cell>
        </row>
        <row r="49">
          <cell r="A49" t="str">
            <v>04.910.05</v>
          </cell>
          <cell r="B49" t="str">
            <v>Meio-fio de concreto-MFC 05</v>
          </cell>
          <cell r="C49" t="str">
            <v>DNER-ES290/97</v>
          </cell>
          <cell r="D49" t="str">
            <v/>
          </cell>
          <cell r="E49" t="str">
            <v>m</v>
          </cell>
          <cell r="F49">
            <v>886</v>
          </cell>
          <cell r="G49">
            <v>10.54</v>
          </cell>
        </row>
        <row r="50">
          <cell r="A50" t="str">
            <v>DER78150b</v>
          </cell>
          <cell r="B50" t="str">
            <v>Caixa coletora de sarjeta - CCS, D=40cm E H=1,00m</v>
          </cell>
          <cell r="C50" t="str">
            <v/>
          </cell>
          <cell r="D50" t="str">
            <v/>
          </cell>
          <cell r="E50" t="str">
            <v>un</v>
          </cell>
          <cell r="F50">
            <v>2</v>
          </cell>
          <cell r="G50">
            <v>382.07</v>
          </cell>
        </row>
        <row r="51">
          <cell r="A51" t="str">
            <v>04.960.01</v>
          </cell>
          <cell r="B51" t="str">
            <v>Boca de lobo simples c/ grelha de concreto-BLS 01</v>
          </cell>
          <cell r="C51" t="str">
            <v/>
          </cell>
          <cell r="D51" t="str">
            <v/>
          </cell>
          <cell r="E51" t="str">
            <v>un</v>
          </cell>
          <cell r="F51">
            <v>4</v>
          </cell>
          <cell r="G51">
            <v>203.51</v>
          </cell>
        </row>
        <row r="52">
          <cell r="A52" t="str">
            <v>04.960.02</v>
          </cell>
          <cell r="B52" t="str">
            <v>Boca de lobo simples c/ grelha de concreto-BLS 02</v>
          </cell>
          <cell r="C52" t="str">
            <v/>
          </cell>
          <cell r="D52" t="str">
            <v/>
          </cell>
          <cell r="E52" t="str">
            <v>un</v>
          </cell>
          <cell r="F52">
            <v>7</v>
          </cell>
          <cell r="G52">
            <v>257.83999999999997</v>
          </cell>
        </row>
        <row r="53">
          <cell r="A53" t="str">
            <v>04.960.03</v>
          </cell>
          <cell r="B53" t="str">
            <v>Boca de lobo simples c/ grelha de concreto-BLS 03</v>
          </cell>
          <cell r="C53" t="str">
            <v/>
          </cell>
          <cell r="D53" t="str">
            <v/>
          </cell>
          <cell r="E53" t="str">
            <v>un</v>
          </cell>
          <cell r="F53">
            <v>4</v>
          </cell>
          <cell r="G53">
            <v>312.23</v>
          </cell>
        </row>
        <row r="54">
          <cell r="A54" t="str">
            <v>04.960.04</v>
          </cell>
          <cell r="B54" t="str">
            <v>Boca de lobo simples c/ grelha de concreto-BLS 04</v>
          </cell>
          <cell r="C54" t="str">
            <v/>
          </cell>
          <cell r="D54" t="str">
            <v/>
          </cell>
          <cell r="E54" t="str">
            <v>un</v>
          </cell>
          <cell r="F54">
            <v>1</v>
          </cell>
          <cell r="G54">
            <v>366.56</v>
          </cell>
        </row>
        <row r="55">
          <cell r="A55" t="str">
            <v>P 04.100.07</v>
          </cell>
          <cell r="B55" t="str">
            <v>Execução de galerias D=0,40 c/ lastro de brita</v>
          </cell>
          <cell r="C55" t="str">
            <v/>
          </cell>
          <cell r="D55" t="str">
            <v/>
          </cell>
          <cell r="E55" t="str">
            <v>m</v>
          </cell>
          <cell r="F55">
            <v>122</v>
          </cell>
          <cell r="G55">
            <v>41.68</v>
          </cell>
        </row>
        <row r="56">
          <cell r="A56" t="str">
            <v>P 04.100.08</v>
          </cell>
          <cell r="B56" t="str">
            <v>Execução de galerias D=0,40 c/ lastro de concreto</v>
          </cell>
          <cell r="C56" t="str">
            <v/>
          </cell>
          <cell r="D56" t="str">
            <v/>
          </cell>
          <cell r="E56" t="str">
            <v>m</v>
          </cell>
          <cell r="F56">
            <v>373</v>
          </cell>
          <cell r="G56">
            <v>58.65</v>
          </cell>
        </row>
        <row r="57">
          <cell r="A57" t="str">
            <v>P 04.100.10</v>
          </cell>
          <cell r="B57" t="str">
            <v>Execução de galerias D=0,60 c/ lastro de concreto</v>
          </cell>
          <cell r="C57" t="str">
            <v/>
          </cell>
          <cell r="D57" t="str">
            <v/>
          </cell>
          <cell r="E57" t="str">
            <v>m</v>
          </cell>
          <cell r="F57">
            <v>5</v>
          </cell>
          <cell r="G57">
            <v>131.66</v>
          </cell>
        </row>
        <row r="58">
          <cell r="A58" t="str">
            <v>DER72350b</v>
          </cell>
          <cell r="B58" t="str">
            <v>Boca para BSTC D=40cm - Normal</v>
          </cell>
          <cell r="C58" t="str">
            <v/>
          </cell>
          <cell r="D58" t="str">
            <v/>
          </cell>
          <cell r="E58" t="str">
            <v>un</v>
          </cell>
          <cell r="F58">
            <v>8</v>
          </cell>
          <cell r="G58">
            <v>147.57</v>
          </cell>
        </row>
        <row r="59">
          <cell r="A59" t="str">
            <v>P04.901.43</v>
          </cell>
          <cell r="B59" t="str">
            <v>Canaleta c/ grelha de concreto</v>
          </cell>
          <cell r="C59" t="str">
            <v/>
          </cell>
          <cell r="D59" t="str">
            <v/>
          </cell>
          <cell r="E59" t="str">
            <v>m</v>
          </cell>
          <cell r="F59">
            <v>121</v>
          </cell>
          <cell r="G59">
            <v>77.42</v>
          </cell>
        </row>
        <row r="60">
          <cell r="A60" t="str">
            <v>P.04.100.18</v>
          </cell>
          <cell r="B60" t="str">
            <v>Caixa coletora de canaleta c/ H=2,00m</v>
          </cell>
          <cell r="C60" t="str">
            <v/>
          </cell>
          <cell r="D60" t="str">
            <v/>
          </cell>
          <cell r="E60" t="str">
            <v>un</v>
          </cell>
          <cell r="F60">
            <v>1</v>
          </cell>
          <cell r="G60">
            <v>676.37</v>
          </cell>
        </row>
        <row r="61">
          <cell r="A61" t="str">
            <v>P04.931.00</v>
          </cell>
          <cell r="B61" t="str">
            <v>Caixa coletora de talvegue para BSTC D=40cm com H=1,0m</v>
          </cell>
          <cell r="C61" t="str">
            <v/>
          </cell>
          <cell r="D61" t="str">
            <v/>
          </cell>
          <cell r="E61" t="str">
            <v>un</v>
          </cell>
          <cell r="F61">
            <v>1</v>
          </cell>
          <cell r="G61">
            <v>178.75</v>
          </cell>
        </row>
        <row r="62">
          <cell r="F62" t="str">
            <v>SUB-TOTAL</v>
          </cell>
        </row>
        <row r="64">
          <cell r="B64" t="str">
            <v>OBRAS DE ARTE ESPECIAIS</v>
          </cell>
        </row>
        <row r="65">
          <cell r="A65" t="str">
            <v>03.371.01</v>
          </cell>
          <cell r="B65" t="str">
            <v>Formas de placa compensada resinada</v>
          </cell>
          <cell r="C65" t="str">
            <v/>
          </cell>
          <cell r="D65" t="str">
            <v/>
          </cell>
          <cell r="E65" t="str">
            <v>m2</v>
          </cell>
          <cell r="F65">
            <v>85</v>
          </cell>
          <cell r="G65">
            <v>21.86</v>
          </cell>
        </row>
        <row r="66">
          <cell r="A66" t="str">
            <v>03.371.02</v>
          </cell>
          <cell r="B66" t="str">
            <v>Formas de placa compensada plastificada</v>
          </cell>
          <cell r="C66" t="str">
            <v/>
          </cell>
          <cell r="D66" t="str">
            <v/>
          </cell>
          <cell r="E66" t="str">
            <v>m2</v>
          </cell>
          <cell r="F66">
            <v>2387</v>
          </cell>
          <cell r="G66">
            <v>30.76</v>
          </cell>
        </row>
        <row r="67">
          <cell r="A67" t="str">
            <v>03.353.00</v>
          </cell>
          <cell r="B67" t="str">
            <v>Forn., preparo e colocação nas formas, de aço CA-50</v>
          </cell>
          <cell r="C67" t="str">
            <v/>
          </cell>
          <cell r="D67" t="str">
            <v/>
          </cell>
          <cell r="E67" t="str">
            <v>kg</v>
          </cell>
          <cell r="F67">
            <v>37870</v>
          </cell>
          <cell r="G67">
            <v>2.59</v>
          </cell>
        </row>
        <row r="68">
          <cell r="A68" t="str">
            <v>OAE4</v>
          </cell>
          <cell r="B68" t="str">
            <v>Armadura de protensão, fornecimento, bainhas, ancoragens, operações de protensão</v>
          </cell>
          <cell r="C68" t="str">
            <v/>
          </cell>
          <cell r="D68" t="str">
            <v/>
          </cell>
          <cell r="E68" t="str">
            <v>kg</v>
          </cell>
          <cell r="F68">
            <v>13643</v>
          </cell>
          <cell r="G68">
            <v>19.28</v>
          </cell>
        </row>
        <row r="69">
          <cell r="A69" t="str">
            <v>OAE17</v>
          </cell>
          <cell r="B69" t="str">
            <v>Transporte e lançamento de pré-lages</v>
          </cell>
          <cell r="C69" t="str">
            <v/>
          </cell>
          <cell r="D69" t="str">
            <v/>
          </cell>
          <cell r="E69" t="str">
            <v>un</v>
          </cell>
          <cell r="F69">
            <v>576</v>
          </cell>
          <cell r="G69">
            <v>23.47</v>
          </cell>
        </row>
        <row r="70">
          <cell r="A70" t="str">
            <v>OAE18</v>
          </cell>
          <cell r="B70" t="str">
            <v>Transporte e lançamento de vigas pré-moldadas</v>
          </cell>
          <cell r="C70" t="str">
            <v/>
          </cell>
          <cell r="D70" t="str">
            <v/>
          </cell>
          <cell r="E70" t="str">
            <v>un</v>
          </cell>
          <cell r="F70">
            <v>40</v>
          </cell>
          <cell r="G70">
            <v>1281.27</v>
          </cell>
        </row>
        <row r="71">
          <cell r="A71" t="str">
            <v>OAE19</v>
          </cell>
          <cell r="B71" t="str">
            <v>Injeção de nata (cabos 12 varas 1/2")</v>
          </cell>
          <cell r="C71" t="str">
            <v/>
          </cell>
          <cell r="D71" t="str">
            <v/>
          </cell>
          <cell r="E71" t="str">
            <v>m</v>
          </cell>
          <cell r="F71">
            <v>2388</v>
          </cell>
          <cell r="G71">
            <v>3.65</v>
          </cell>
        </row>
        <row r="72">
          <cell r="A72" t="str">
            <v>03.330.00</v>
          </cell>
          <cell r="B72" t="str">
            <v>Concreto fck= 35 MPa-contr. raz. uso ger.</v>
          </cell>
          <cell r="C72" t="str">
            <v/>
          </cell>
          <cell r="D72" t="str">
            <v/>
          </cell>
          <cell r="E72" t="str">
            <v>m3</v>
          </cell>
          <cell r="F72">
            <v>326</v>
          </cell>
          <cell r="G72">
            <v>166.78</v>
          </cell>
        </row>
        <row r="73">
          <cell r="A73" t="str">
            <v>P 03.327.01</v>
          </cell>
          <cell r="B73" t="str">
            <v xml:space="preserve">Concreto fck= 25 MPa-contr. raz. uso ger. </v>
          </cell>
          <cell r="C73" t="str">
            <v/>
          </cell>
          <cell r="D73" t="str">
            <v/>
          </cell>
          <cell r="E73" t="str">
            <v>m3</v>
          </cell>
          <cell r="F73">
            <v>73</v>
          </cell>
          <cell r="G73">
            <v>163.22</v>
          </cell>
        </row>
        <row r="74">
          <cell r="A74" t="str">
            <v>03.510.00</v>
          </cell>
          <cell r="B74" t="str">
            <v>Aparelho de apoio em neoprene</v>
          </cell>
          <cell r="C74" t="str">
            <v/>
          </cell>
          <cell r="D74" t="str">
            <v/>
          </cell>
          <cell r="E74" t="str">
            <v>kg</v>
          </cell>
          <cell r="F74">
            <v>104</v>
          </cell>
          <cell r="G74">
            <v>86.94</v>
          </cell>
        </row>
        <row r="75">
          <cell r="B75" t="str">
            <v>Barreiras de segurança (C.A.) Tipo New Jersey (129,2 m)</v>
          </cell>
        </row>
        <row r="76">
          <cell r="A76" t="str">
            <v>03.371.00</v>
          </cell>
          <cell r="B76" t="str">
            <v>Formas de madeira compensada</v>
          </cell>
          <cell r="C76" t="str">
            <v/>
          </cell>
          <cell r="D76" t="str">
            <v/>
          </cell>
          <cell r="E76" t="str">
            <v>m2</v>
          </cell>
          <cell r="F76">
            <v>258.39999999999998</v>
          </cell>
          <cell r="G76">
            <v>21.86</v>
          </cell>
        </row>
        <row r="77">
          <cell r="A77" t="str">
            <v>03.353.00</v>
          </cell>
          <cell r="B77" t="str">
            <v>Forn., preparo e colocação nas formas, de aço CA-50</v>
          </cell>
          <cell r="C77" t="str">
            <v/>
          </cell>
          <cell r="D77" t="str">
            <v/>
          </cell>
          <cell r="E77" t="str">
            <v>kg</v>
          </cell>
          <cell r="F77">
            <v>2080.12</v>
          </cell>
          <cell r="G77">
            <v>2.59</v>
          </cell>
        </row>
        <row r="78">
          <cell r="A78" t="str">
            <v>03.326.00</v>
          </cell>
          <cell r="B78" t="str">
            <v xml:space="preserve">Concreto fck= 20 MPa-contr. raz. uso ger. </v>
          </cell>
          <cell r="C78" t="str">
            <v/>
          </cell>
          <cell r="D78" t="str">
            <v/>
          </cell>
          <cell r="E78" t="str">
            <v>m3</v>
          </cell>
          <cell r="F78">
            <v>30</v>
          </cell>
          <cell r="G78">
            <v>149.19999999999999</v>
          </cell>
        </row>
        <row r="79">
          <cell r="B79" t="str">
            <v>Placas de aproximação( 04 unidades)(dimensão 4,00m x 11,2m x 0,30m)</v>
          </cell>
        </row>
        <row r="80">
          <cell r="A80" t="str">
            <v>03.371.00</v>
          </cell>
          <cell r="B80" t="str">
            <v>Formas de madeira compensada</v>
          </cell>
          <cell r="C80" t="str">
            <v/>
          </cell>
          <cell r="D80" t="str">
            <v/>
          </cell>
          <cell r="E80" t="str">
            <v>m2</v>
          </cell>
          <cell r="F80">
            <v>40</v>
          </cell>
          <cell r="G80">
            <v>21.86</v>
          </cell>
        </row>
        <row r="81">
          <cell r="A81" t="str">
            <v>03.353.00</v>
          </cell>
          <cell r="B81" t="str">
            <v>Forn., preparo e colocação nas formas, de aço CA-50</v>
          </cell>
          <cell r="C81" t="str">
            <v/>
          </cell>
          <cell r="D81" t="str">
            <v/>
          </cell>
          <cell r="E81" t="str">
            <v>kg</v>
          </cell>
          <cell r="F81">
            <v>3720</v>
          </cell>
          <cell r="G81">
            <v>2.59</v>
          </cell>
        </row>
        <row r="82">
          <cell r="A82" t="str">
            <v>03.326.00</v>
          </cell>
          <cell r="B82" t="str">
            <v xml:space="preserve">Concreto fck= 20 MPa-contr. raz. uso ger. </v>
          </cell>
          <cell r="C82" t="str">
            <v/>
          </cell>
          <cell r="D82" t="str">
            <v/>
          </cell>
          <cell r="E82" t="str">
            <v>m3</v>
          </cell>
          <cell r="F82">
            <v>54</v>
          </cell>
          <cell r="G82">
            <v>149.19999999999999</v>
          </cell>
        </row>
        <row r="83">
          <cell r="B83" t="str">
            <v>Drenos</v>
          </cell>
        </row>
        <row r="84">
          <cell r="A84" t="str">
            <v>P 03.991.01d</v>
          </cell>
          <cell r="B84" t="str">
            <v>Dreno de FF D= 150 mm x 500mm</v>
          </cell>
          <cell r="C84" t="str">
            <v/>
          </cell>
          <cell r="D84" t="str">
            <v/>
          </cell>
          <cell r="E84" t="str">
            <v>un</v>
          </cell>
          <cell r="F84">
            <v>56</v>
          </cell>
          <cell r="G84">
            <v>24.91</v>
          </cell>
        </row>
        <row r="85">
          <cell r="A85" t="str">
            <v>P 03.991.01c</v>
          </cell>
          <cell r="B85" t="str">
            <v>Dreno de FF D= 100 mm x 500mm</v>
          </cell>
          <cell r="C85" t="str">
            <v/>
          </cell>
          <cell r="D85" t="str">
            <v/>
          </cell>
          <cell r="E85" t="str">
            <v>un</v>
          </cell>
          <cell r="F85">
            <v>8</v>
          </cell>
          <cell r="G85">
            <v>15.64</v>
          </cell>
        </row>
        <row r="86">
          <cell r="F86" t="str">
            <v>SUB-TOTAL</v>
          </cell>
        </row>
        <row r="87">
          <cell r="B87" t="str">
            <v>OBRAS COMPLEMENTARES</v>
          </cell>
        </row>
        <row r="88">
          <cell r="A88" t="str">
            <v>05.100.00</v>
          </cell>
          <cell r="B88" t="str">
            <v>Enleivamento</v>
          </cell>
          <cell r="C88" t="str">
            <v>DNER-ES341/97</v>
          </cell>
          <cell r="D88" t="str">
            <v/>
          </cell>
          <cell r="E88" t="str">
            <v>m2</v>
          </cell>
          <cell r="F88">
            <v>15972</v>
          </cell>
          <cell r="G88">
            <v>2.06</v>
          </cell>
        </row>
        <row r="89">
          <cell r="A89" t="str">
            <v>P 05.100.02</v>
          </cell>
          <cell r="B89" t="str">
            <v>Fornecimento e plantio de árvore selecionada</v>
          </cell>
          <cell r="C89" t="str">
            <v/>
          </cell>
          <cell r="D89" t="str">
            <v/>
          </cell>
          <cell r="E89" t="str">
            <v>un</v>
          </cell>
          <cell r="F89">
            <v>40</v>
          </cell>
          <cell r="G89">
            <v>6.02</v>
          </cell>
        </row>
        <row r="90">
          <cell r="A90" t="str">
            <v>P 06.030.00</v>
          </cell>
          <cell r="B90" t="str">
            <v>Barreira de segurança simples</v>
          </cell>
          <cell r="C90" t="str">
            <v/>
          </cell>
          <cell r="D90" t="str">
            <v/>
          </cell>
          <cell r="E90" t="str">
            <v>m</v>
          </cell>
          <cell r="F90">
            <v>668</v>
          </cell>
          <cell r="G90">
            <v>52.16</v>
          </cell>
        </row>
        <row r="91">
          <cell r="A91" t="str">
            <v>PI 60</v>
          </cell>
          <cell r="B91" t="str">
            <v>Lâmpada a vapor de mercúrio 250W</v>
          </cell>
          <cell r="C91" t="str">
            <v/>
          </cell>
          <cell r="D91" t="str">
            <v/>
          </cell>
          <cell r="E91" t="str">
            <v>un</v>
          </cell>
          <cell r="F91">
            <v>20</v>
          </cell>
          <cell r="G91">
            <v>16.3</v>
          </cell>
        </row>
        <row r="92">
          <cell r="A92" t="str">
            <v>PI 52</v>
          </cell>
          <cell r="B92" t="str">
            <v>Luminária IMB C-300 ou similar</v>
          </cell>
          <cell r="C92" t="str">
            <v/>
          </cell>
          <cell r="D92" t="str">
            <v/>
          </cell>
          <cell r="E92" t="str">
            <v>un</v>
          </cell>
          <cell r="F92">
            <v>4</v>
          </cell>
          <cell r="G92">
            <v>410</v>
          </cell>
        </row>
        <row r="93">
          <cell r="A93" t="str">
            <v>PI 13</v>
          </cell>
          <cell r="B93" t="str">
            <v>Eletroduto de aço 20mm, vara de 3m</v>
          </cell>
          <cell r="C93" t="str">
            <v/>
          </cell>
          <cell r="D93" t="str">
            <v/>
          </cell>
          <cell r="E93" t="str">
            <v>un</v>
          </cell>
          <cell r="F93">
            <v>8</v>
          </cell>
          <cell r="G93">
            <v>14.49</v>
          </cell>
        </row>
        <row r="94">
          <cell r="A94" t="str">
            <v>PI 62</v>
          </cell>
          <cell r="B94" t="str">
            <v>Caixa de passagem para instalação aparente D=20mm, tipo T</v>
          </cell>
          <cell r="C94" t="str">
            <v/>
          </cell>
          <cell r="D94" t="str">
            <v/>
          </cell>
          <cell r="E94" t="str">
            <v>un</v>
          </cell>
          <cell r="F94">
            <v>4</v>
          </cell>
          <cell r="G94">
            <v>20</v>
          </cell>
        </row>
        <row r="95">
          <cell r="A95" t="str">
            <v>PI 15</v>
          </cell>
          <cell r="B95" t="str">
            <v>Caixa de passagem para instalação aparente D=20mm, tipo LB</v>
          </cell>
          <cell r="C95" t="str">
            <v/>
          </cell>
          <cell r="D95" t="str">
            <v/>
          </cell>
          <cell r="E95" t="str">
            <v>un</v>
          </cell>
          <cell r="F95">
            <v>2</v>
          </cell>
          <cell r="G95">
            <v>3.62</v>
          </cell>
        </row>
        <row r="96">
          <cell r="A96" t="str">
            <v>PI 18</v>
          </cell>
          <cell r="B96" t="str">
            <v>Braço curvo p/ iluminação pública padrão CELESC</v>
          </cell>
          <cell r="C96" t="str">
            <v/>
          </cell>
          <cell r="D96" t="str">
            <v/>
          </cell>
          <cell r="E96" t="str">
            <v>un</v>
          </cell>
          <cell r="F96">
            <v>20</v>
          </cell>
          <cell r="G96">
            <v>6.33</v>
          </cell>
        </row>
        <row r="97">
          <cell r="A97" t="str">
            <v>PI 22</v>
          </cell>
          <cell r="B97" t="str">
            <v>Base completa com fusível Diazed, 6A, retardado, incluíndo tampa, anel de proteção e ajuste</v>
          </cell>
          <cell r="C97" t="str">
            <v/>
          </cell>
          <cell r="D97" t="str">
            <v/>
          </cell>
          <cell r="E97" t="str">
            <v>un</v>
          </cell>
          <cell r="F97">
            <v>22</v>
          </cell>
          <cell r="G97">
            <v>8.6300000000000008</v>
          </cell>
        </row>
        <row r="98">
          <cell r="A98" t="str">
            <v>PI 23</v>
          </cell>
          <cell r="B98" t="str">
            <v>Contator tripolar a seco, p/ corrente alternada - 55 A, para uso em rede 380/220V - 60Hz</v>
          </cell>
          <cell r="C98" t="str">
            <v/>
          </cell>
          <cell r="D98" t="str">
            <v/>
          </cell>
          <cell r="E98" t="str">
            <v>un</v>
          </cell>
          <cell r="F98">
            <v>2</v>
          </cell>
          <cell r="G98">
            <v>234.6</v>
          </cell>
        </row>
        <row r="99">
          <cell r="A99" t="str">
            <v>PI 24</v>
          </cell>
          <cell r="B99" t="str">
            <v>Fita elétrica auto fusão a base de borracha EPR</v>
          </cell>
          <cell r="C99" t="str">
            <v/>
          </cell>
          <cell r="D99" t="str">
            <v/>
          </cell>
          <cell r="E99" t="str">
            <v>un</v>
          </cell>
          <cell r="F99">
            <v>4</v>
          </cell>
          <cell r="G99">
            <v>6.39</v>
          </cell>
        </row>
        <row r="100">
          <cell r="A100" t="str">
            <v>PI 25</v>
          </cell>
          <cell r="B100" t="str">
            <v>Fita adesiva plástica isolante</v>
          </cell>
          <cell r="C100" t="str">
            <v/>
          </cell>
          <cell r="D100" t="str">
            <v/>
          </cell>
          <cell r="E100" t="str">
            <v>un</v>
          </cell>
          <cell r="F100">
            <v>6</v>
          </cell>
          <cell r="G100">
            <v>3.84</v>
          </cell>
        </row>
        <row r="101">
          <cell r="A101" t="str">
            <v>PI 26</v>
          </cell>
          <cell r="B101" t="str">
            <v>Relé fotoelétrico c/ suporte para fixação galv. com furo 18mm</v>
          </cell>
          <cell r="C101" t="str">
            <v/>
          </cell>
          <cell r="D101" t="str">
            <v/>
          </cell>
          <cell r="E101" t="str">
            <v>un</v>
          </cell>
          <cell r="F101">
            <v>22</v>
          </cell>
          <cell r="G101">
            <v>11.5</v>
          </cell>
        </row>
        <row r="102">
          <cell r="A102" t="str">
            <v>PI 56</v>
          </cell>
          <cell r="B102" t="str">
            <v>Cabo isolado p/ 1000V, 4 mm² de alumínio</v>
          </cell>
          <cell r="C102" t="str">
            <v/>
          </cell>
          <cell r="D102" t="str">
            <v/>
          </cell>
          <cell r="E102" t="str">
            <v>m</v>
          </cell>
          <cell r="F102">
            <v>110</v>
          </cell>
          <cell r="G102">
            <v>0.37</v>
          </cell>
        </row>
        <row r="103">
          <cell r="A103" t="str">
            <v>PI 28</v>
          </cell>
          <cell r="B103" t="str">
            <v>Eletroduto de aço tipo pesado 100mm</v>
          </cell>
          <cell r="C103" t="str">
            <v/>
          </cell>
          <cell r="D103" t="str">
            <v/>
          </cell>
          <cell r="E103" t="str">
            <v>m</v>
          </cell>
          <cell r="F103">
            <v>140</v>
          </cell>
          <cell r="G103">
            <v>28.55</v>
          </cell>
        </row>
        <row r="104">
          <cell r="A104" t="str">
            <v>PI 29</v>
          </cell>
          <cell r="B104" t="str">
            <v>Curva em alumínio fundido de alta resistência, fixação por encaixe,50mm</v>
          </cell>
          <cell r="C104" t="str">
            <v/>
          </cell>
          <cell r="D104" t="str">
            <v/>
          </cell>
          <cell r="E104" t="str">
            <v>un</v>
          </cell>
          <cell r="F104">
            <v>2</v>
          </cell>
          <cell r="G104">
            <v>18.75</v>
          </cell>
        </row>
        <row r="105">
          <cell r="A105" t="str">
            <v>PI 30</v>
          </cell>
          <cell r="B105" t="str">
            <v>Haste para aterramento aço-cobre D 13x2400mm</v>
          </cell>
          <cell r="C105" t="str">
            <v/>
          </cell>
          <cell r="D105" t="str">
            <v/>
          </cell>
          <cell r="E105" t="str">
            <v>un</v>
          </cell>
          <cell r="F105">
            <v>12</v>
          </cell>
          <cell r="G105">
            <v>6.04</v>
          </cell>
        </row>
        <row r="106">
          <cell r="A106" t="str">
            <v>PI 31</v>
          </cell>
          <cell r="B106" t="str">
            <v>Cabo de cobre nú meio duro, 7 fios 2AWG</v>
          </cell>
          <cell r="C106" t="str">
            <v/>
          </cell>
          <cell r="D106" t="str">
            <v/>
          </cell>
          <cell r="E106" t="str">
            <v>kg</v>
          </cell>
          <cell r="F106">
            <v>4</v>
          </cell>
          <cell r="G106">
            <v>7.02</v>
          </cell>
        </row>
        <row r="107">
          <cell r="A107" t="str">
            <v>PI 32</v>
          </cell>
          <cell r="B107" t="str">
            <v>Conetor paralelo, liga alumínio tronco 1/0-4 AWG e derivação 2-4AWG</v>
          </cell>
          <cell r="C107" t="str">
            <v/>
          </cell>
          <cell r="D107" t="str">
            <v/>
          </cell>
          <cell r="E107" t="str">
            <v>un</v>
          </cell>
          <cell r="F107">
            <v>5</v>
          </cell>
          <cell r="G107">
            <v>1.04</v>
          </cell>
        </row>
        <row r="108">
          <cell r="A108" t="str">
            <v>PI 20</v>
          </cell>
          <cell r="B108" t="str">
            <v>Poste de concreto duplo T 10m, 150 daN</v>
          </cell>
          <cell r="C108" t="str">
            <v/>
          </cell>
          <cell r="D108" t="str">
            <v/>
          </cell>
          <cell r="E108" t="str">
            <v>un</v>
          </cell>
          <cell r="F108">
            <v>10</v>
          </cell>
          <cell r="G108">
            <v>200</v>
          </cell>
        </row>
        <row r="109">
          <cell r="A109" t="str">
            <v>PI 48</v>
          </cell>
          <cell r="B109" t="str">
            <v>Armação secundária p/ 2 estribo</v>
          </cell>
          <cell r="C109" t="str">
            <v/>
          </cell>
          <cell r="D109" t="str">
            <v/>
          </cell>
          <cell r="E109" t="str">
            <v>un</v>
          </cell>
          <cell r="F109">
            <v>20</v>
          </cell>
          <cell r="G109">
            <v>7.5</v>
          </cell>
        </row>
        <row r="110">
          <cell r="A110" t="str">
            <v>PI 49</v>
          </cell>
          <cell r="B110" t="str">
            <v>Armação secundária p/ 1 estribo</v>
          </cell>
          <cell r="C110" t="str">
            <v/>
          </cell>
          <cell r="D110" t="str">
            <v/>
          </cell>
          <cell r="E110" t="str">
            <v>un</v>
          </cell>
          <cell r="F110">
            <v>10</v>
          </cell>
          <cell r="G110">
            <v>3.5</v>
          </cell>
        </row>
        <row r="111">
          <cell r="A111" t="str">
            <v>PI 33</v>
          </cell>
          <cell r="B111" t="str">
            <v>Tubo de aço galvanizado, vara de 6m e 50mm</v>
          </cell>
          <cell r="C111" t="str">
            <v/>
          </cell>
          <cell r="D111" t="str">
            <v/>
          </cell>
          <cell r="E111" t="str">
            <v>un</v>
          </cell>
          <cell r="F111">
            <v>2</v>
          </cell>
          <cell r="G111">
            <v>74.06</v>
          </cell>
        </row>
        <row r="112">
          <cell r="A112" t="str">
            <v>PI 34</v>
          </cell>
          <cell r="B112" t="str">
            <v>Construção de caixa tipo SP, ou pré-instalada com as mesmas características</v>
          </cell>
          <cell r="C112" t="str">
            <v/>
          </cell>
          <cell r="D112" t="str">
            <v/>
          </cell>
          <cell r="E112" t="str">
            <v>un</v>
          </cell>
          <cell r="F112">
            <v>6</v>
          </cell>
          <cell r="G112">
            <v>180</v>
          </cell>
        </row>
        <row r="113">
          <cell r="A113" t="str">
            <v>PI 36</v>
          </cell>
          <cell r="B113" t="str">
            <v>Construção de embasamento p/ poste tipo engastado, concreto duplo T, 10m de altura</v>
          </cell>
          <cell r="C113" t="str">
            <v/>
          </cell>
          <cell r="D113" t="str">
            <v/>
          </cell>
          <cell r="E113" t="str">
            <v>un</v>
          </cell>
          <cell r="F113">
            <v>10</v>
          </cell>
          <cell r="G113">
            <v>285</v>
          </cell>
        </row>
        <row r="114">
          <cell r="A114" t="str">
            <v>PI 37</v>
          </cell>
          <cell r="B114" t="str">
            <v>Lançamento de cabos em dutos de aço, classe 1000V, circuito trifásico mais neutro, e monofásico</v>
          </cell>
          <cell r="C114" t="str">
            <v/>
          </cell>
          <cell r="D114" t="str">
            <v/>
          </cell>
          <cell r="E114" t="str">
            <v>m</v>
          </cell>
          <cell r="F114">
            <v>70</v>
          </cell>
          <cell r="G114">
            <v>4</v>
          </cell>
        </row>
        <row r="115">
          <cell r="A115" t="str">
            <v>PI 38</v>
          </cell>
          <cell r="B115" t="str">
            <v>Confecção de emendas retas ou derivação em cabos classe 1000V, c/ conector à compressão</v>
          </cell>
          <cell r="C115" t="str">
            <v/>
          </cell>
          <cell r="D115" t="str">
            <v/>
          </cell>
          <cell r="E115" t="str">
            <v>un</v>
          </cell>
          <cell r="F115">
            <v>2</v>
          </cell>
          <cell r="G115">
            <v>4.5</v>
          </cell>
        </row>
        <row r="116">
          <cell r="A116" t="str">
            <v>PI 39</v>
          </cell>
          <cell r="B116" t="str">
            <v>Fixação de haste de terra e conexão ao neutro</v>
          </cell>
          <cell r="C116" t="str">
            <v/>
          </cell>
          <cell r="D116" t="str">
            <v/>
          </cell>
          <cell r="E116" t="str">
            <v>un</v>
          </cell>
          <cell r="F116">
            <v>12</v>
          </cell>
          <cell r="G116">
            <v>35</v>
          </cell>
        </row>
        <row r="117">
          <cell r="A117" t="str">
            <v>PI 41</v>
          </cell>
          <cell r="B117" t="str">
            <v>Instalação de tubo de aço vara de 6m e curva de entrada de cabos na lateral do poste c/ fix. dutos</v>
          </cell>
          <cell r="C117" t="str">
            <v/>
          </cell>
          <cell r="D117" t="str">
            <v/>
          </cell>
          <cell r="E117" t="str">
            <v>un</v>
          </cell>
          <cell r="F117">
            <v>2</v>
          </cell>
          <cell r="G117">
            <v>200</v>
          </cell>
        </row>
        <row r="118">
          <cell r="A118" t="str">
            <v>PI 43</v>
          </cell>
          <cell r="B118" t="str">
            <v>Travessia de pista asfáltica p/ lançamento dutos aço tipo pesado 100mm</v>
          </cell>
          <cell r="C118" t="str">
            <v/>
          </cell>
          <cell r="D118" t="str">
            <v/>
          </cell>
          <cell r="E118" t="str">
            <v>m</v>
          </cell>
          <cell r="F118">
            <v>70</v>
          </cell>
          <cell r="G118">
            <v>70</v>
          </cell>
        </row>
        <row r="119">
          <cell r="A119" t="str">
            <v>PI 44</v>
          </cell>
          <cell r="B119" t="str">
            <v>Montagem eletromecânica de luminária 10,0m de altura, c/ fixação dos equip.e conexões elétricos</v>
          </cell>
          <cell r="C119" t="str">
            <v/>
          </cell>
          <cell r="D119" t="str">
            <v/>
          </cell>
          <cell r="E119" t="str">
            <v>un</v>
          </cell>
          <cell r="F119">
            <v>10</v>
          </cell>
          <cell r="G119">
            <v>60</v>
          </cell>
        </row>
        <row r="120">
          <cell r="A120" t="str">
            <v>PI 58</v>
          </cell>
          <cell r="B120" t="str">
            <v>Fixação de caixas de passagem p/ instalação aparente D=20mm</v>
          </cell>
          <cell r="C120" t="str">
            <v/>
          </cell>
          <cell r="D120" t="str">
            <v/>
          </cell>
          <cell r="E120" t="str">
            <v>un</v>
          </cell>
          <cell r="F120">
            <v>4</v>
          </cell>
          <cell r="G120">
            <v>10</v>
          </cell>
        </row>
        <row r="121">
          <cell r="A121" t="str">
            <v>PI 59</v>
          </cell>
          <cell r="B121" t="str">
            <v>Instalação de luminária blindada para lâmpada a vapor de mercúrio 250W</v>
          </cell>
          <cell r="C121" t="str">
            <v/>
          </cell>
          <cell r="D121" t="str">
            <v/>
          </cell>
          <cell r="E121" t="str">
            <v>un</v>
          </cell>
          <cell r="F121">
            <v>4</v>
          </cell>
          <cell r="G121">
            <v>20</v>
          </cell>
        </row>
        <row r="122">
          <cell r="A122" t="str">
            <v>PI 01</v>
          </cell>
          <cell r="B122" t="str">
            <v>Poste de aço galv. a fogo, c/ 20,0m de alt. p/ instal. tipo engastado</v>
          </cell>
          <cell r="C122" t="str">
            <v/>
          </cell>
          <cell r="D122" t="str">
            <v/>
          </cell>
          <cell r="E122" t="str">
            <v>un</v>
          </cell>
          <cell r="F122">
            <v>1</v>
          </cell>
          <cell r="G122">
            <v>2662.25</v>
          </cell>
        </row>
        <row r="123">
          <cell r="A123" t="str">
            <v>PI 07</v>
          </cell>
          <cell r="B123" t="str">
            <v>Suporte p/ luminária tipo ZGP402 da Philips ou similar</v>
          </cell>
          <cell r="C123" t="str">
            <v/>
          </cell>
          <cell r="D123" t="str">
            <v/>
          </cell>
          <cell r="E123" t="str">
            <v>un</v>
          </cell>
          <cell r="F123">
            <v>1</v>
          </cell>
          <cell r="G123">
            <v>100</v>
          </cell>
        </row>
        <row r="124">
          <cell r="A124" t="str">
            <v>PI 04</v>
          </cell>
          <cell r="B124" t="str">
            <v xml:space="preserve">Luminária p/ iluminação pública ref.SRC-612 da Philips ou similar </v>
          </cell>
          <cell r="C124" t="str">
            <v/>
          </cell>
          <cell r="D124" t="str">
            <v/>
          </cell>
          <cell r="E124" t="str">
            <v>un</v>
          </cell>
          <cell r="F124">
            <v>2</v>
          </cell>
          <cell r="G124">
            <v>425.5</v>
          </cell>
        </row>
        <row r="125">
          <cell r="A125" t="str">
            <v>PI 03</v>
          </cell>
          <cell r="B125" t="str">
            <v xml:space="preserve">Luminária p/ iluminação pública ref.HRC-612 da Philips ou similar </v>
          </cell>
          <cell r="C125" t="str">
            <v/>
          </cell>
          <cell r="D125" t="str">
            <v/>
          </cell>
          <cell r="E125" t="str">
            <v>un</v>
          </cell>
          <cell r="F125">
            <v>20</v>
          </cell>
          <cell r="G125">
            <v>400</v>
          </cell>
        </row>
        <row r="126">
          <cell r="A126" t="str">
            <v>PI 09</v>
          </cell>
          <cell r="B126" t="str">
            <v>Lâmpada a vapor de sódio 400W, alta pressão, base E40</v>
          </cell>
          <cell r="C126" t="str">
            <v/>
          </cell>
          <cell r="D126" t="str">
            <v/>
          </cell>
          <cell r="E126" t="str">
            <v>un</v>
          </cell>
          <cell r="F126">
            <v>2</v>
          </cell>
          <cell r="G126">
            <v>33.35</v>
          </cell>
        </row>
        <row r="127">
          <cell r="A127" t="str">
            <v>PI 35</v>
          </cell>
          <cell r="B127" t="str">
            <v>Construção de embasamento p/ poste tipo engastado, 20m de altura</v>
          </cell>
          <cell r="C127" t="str">
            <v/>
          </cell>
          <cell r="D127" t="str">
            <v/>
          </cell>
          <cell r="E127" t="str">
            <v>un</v>
          </cell>
          <cell r="F127">
            <v>1</v>
          </cell>
          <cell r="G127">
            <v>494</v>
          </cell>
        </row>
        <row r="128">
          <cell r="A128" t="str">
            <v>PI 42</v>
          </cell>
          <cell r="B128" t="str">
            <v>Instalação de poste de aço de 20m de altura engastado</v>
          </cell>
          <cell r="C128" t="str">
            <v/>
          </cell>
          <cell r="D128" t="str">
            <v/>
          </cell>
          <cell r="E128" t="str">
            <v>un</v>
          </cell>
          <cell r="F128">
            <v>1</v>
          </cell>
          <cell r="G128">
            <v>250</v>
          </cell>
        </row>
        <row r="129">
          <cell r="A129" t="str">
            <v>PI 69</v>
          </cell>
          <cell r="B129" t="str">
            <v>Instalação de poste concreto duplo T, 10m de altura, engastado</v>
          </cell>
          <cell r="C129" t="str">
            <v/>
          </cell>
          <cell r="D129" t="str">
            <v/>
          </cell>
          <cell r="E129" t="str">
            <v>un</v>
          </cell>
          <cell r="F129">
            <v>10</v>
          </cell>
          <cell r="G129">
            <v>200</v>
          </cell>
        </row>
        <row r="130">
          <cell r="A130" t="str">
            <v>PI 27</v>
          </cell>
          <cell r="B130" t="str">
            <v>Cabo isolado p/ 1000V, bitola 35mm²</v>
          </cell>
          <cell r="C130" t="str">
            <v/>
          </cell>
          <cell r="D130" t="str">
            <v/>
          </cell>
          <cell r="E130" t="str">
            <v>m</v>
          </cell>
          <cell r="F130">
            <v>200</v>
          </cell>
          <cell r="G130">
            <v>1.55</v>
          </cell>
        </row>
        <row r="131">
          <cell r="A131" t="str">
            <v>PI 65</v>
          </cell>
          <cell r="B131" t="str">
            <v>Cabo de alumínio 1/0</v>
          </cell>
          <cell r="C131" t="str">
            <v/>
          </cell>
          <cell r="D131" t="str">
            <v/>
          </cell>
          <cell r="E131" t="str">
            <v>m</v>
          </cell>
          <cell r="F131">
            <v>2650</v>
          </cell>
          <cell r="G131">
            <v>1.7</v>
          </cell>
        </row>
        <row r="132">
          <cell r="A132" t="str">
            <v>PI 66</v>
          </cell>
          <cell r="B132" t="str">
            <v>Cabo isolado p/ 1000 V, 6 mm2 de alumínio</v>
          </cell>
          <cell r="C132" t="str">
            <v/>
          </cell>
          <cell r="D132" t="str">
            <v/>
          </cell>
          <cell r="E132" t="str">
            <v>m</v>
          </cell>
          <cell r="F132">
            <v>20</v>
          </cell>
          <cell r="G132">
            <v>1</v>
          </cell>
        </row>
        <row r="133">
          <cell r="A133" t="str">
            <v>PI 67</v>
          </cell>
          <cell r="B133" t="str">
            <v>Cabo isolado p/ 1000 V, 2,5 mm2 de alumínio</v>
          </cell>
          <cell r="C133" t="str">
            <v/>
          </cell>
          <cell r="D133" t="str">
            <v/>
          </cell>
          <cell r="E133" t="str">
            <v>m</v>
          </cell>
          <cell r="F133">
            <v>60</v>
          </cell>
          <cell r="G133">
            <v>0.6</v>
          </cell>
        </row>
        <row r="134">
          <cell r="A134" t="str">
            <v>R1</v>
          </cell>
          <cell r="B134" t="str">
            <v>Remanejamento de Rede de Baixa Tensão (220/380V)</v>
          </cell>
          <cell r="C134" t="str">
            <v/>
          </cell>
          <cell r="D134" t="str">
            <v/>
          </cell>
          <cell r="E134" t="str">
            <v>m</v>
          </cell>
          <cell r="F134">
            <v>200</v>
          </cell>
          <cell r="G134">
            <v>4.7</v>
          </cell>
        </row>
        <row r="135">
          <cell r="A135" t="str">
            <v>R2</v>
          </cell>
          <cell r="B135" t="str">
            <v>Remanejamento de Rede de Alta Tensão (138kV)</v>
          </cell>
          <cell r="C135" t="str">
            <v/>
          </cell>
          <cell r="D135" t="str">
            <v/>
          </cell>
          <cell r="E135" t="str">
            <v>m</v>
          </cell>
          <cell r="F135">
            <v>400</v>
          </cell>
          <cell r="G135">
            <v>6.2</v>
          </cell>
        </row>
        <row r="136">
          <cell r="A136" t="str">
            <v>R10</v>
          </cell>
          <cell r="B136" t="str">
            <v>Remanejamento de Poste de Concreto 10/150</v>
          </cell>
          <cell r="C136" t="str">
            <v/>
          </cell>
          <cell r="D136" t="str">
            <v/>
          </cell>
          <cell r="E136" t="str">
            <v>un</v>
          </cell>
          <cell r="F136">
            <v>5</v>
          </cell>
          <cell r="G136">
            <v>75</v>
          </cell>
        </row>
        <row r="137">
          <cell r="A137" t="str">
            <v>R3</v>
          </cell>
          <cell r="B137" t="str">
            <v>Remanejamento de Rede de Telefonia</v>
          </cell>
          <cell r="C137" t="str">
            <v/>
          </cell>
          <cell r="D137" t="str">
            <v/>
          </cell>
          <cell r="E137" t="str">
            <v>m</v>
          </cell>
          <cell r="F137">
            <v>200</v>
          </cell>
          <cell r="G137">
            <v>2</v>
          </cell>
        </row>
        <row r="138">
          <cell r="A138" t="str">
            <v/>
          </cell>
        </row>
      </sheetData>
      <sheetData sheetId="14" refreshError="1">
        <row r="14">
          <cell r="A14" t="str">
            <v>01.000.00</v>
          </cell>
          <cell r="B14" t="str">
            <v>Desmatamento,destocamento e limpeza de área com árvore até 0,15m</v>
          </cell>
          <cell r="C14" t="str">
            <v>DNER-ES278/97</v>
          </cell>
          <cell r="D14" t="str">
            <v/>
          </cell>
          <cell r="E14" t="str">
            <v>m2</v>
          </cell>
          <cell r="F14">
            <v>20000</v>
          </cell>
          <cell r="G14">
            <v>7.0000000000000007E-2</v>
          </cell>
        </row>
        <row r="15">
          <cell r="A15" t="str">
            <v>01.010.00</v>
          </cell>
          <cell r="B15" t="str">
            <v>Desmatamento e destocamento árvores de 0,15m a 0,30m</v>
          </cell>
          <cell r="C15" t="str">
            <v>DNER-ES278/97</v>
          </cell>
          <cell r="D15" t="str">
            <v/>
          </cell>
          <cell r="E15" t="str">
            <v>un</v>
          </cell>
          <cell r="F15">
            <v>100</v>
          </cell>
          <cell r="G15">
            <v>8.92</v>
          </cell>
        </row>
        <row r="16">
          <cell r="A16" t="str">
            <v>01.011.00</v>
          </cell>
          <cell r="B16" t="str">
            <v>Desmatamento e destocamento árvores superior a 0,30m</v>
          </cell>
          <cell r="C16" t="str">
            <v>DNER-ES278/97</v>
          </cell>
          <cell r="D16" t="str">
            <v/>
          </cell>
          <cell r="E16" t="str">
            <v>un</v>
          </cell>
          <cell r="F16">
            <v>50</v>
          </cell>
          <cell r="G16">
            <v>26.75</v>
          </cell>
        </row>
        <row r="17">
          <cell r="A17" t="str">
            <v>01.100.15</v>
          </cell>
          <cell r="B17" t="str">
            <v>Escavação,carga e transportes de material de 1a categoria DMT= 1200 a 1400m</v>
          </cell>
          <cell r="C17" t="str">
            <v>DNER-ES280/97</v>
          </cell>
          <cell r="D17" t="str">
            <v/>
          </cell>
          <cell r="E17" t="str">
            <v>m3</v>
          </cell>
          <cell r="F17">
            <v>5853</v>
          </cell>
          <cell r="G17">
            <v>2.62</v>
          </cell>
        </row>
        <row r="18">
          <cell r="A18" t="str">
            <v>01.101.15</v>
          </cell>
          <cell r="B18" t="str">
            <v>Escavação,carga e transportes de material de 2a categoria,c/CB,  DMT 1200 a 1400m</v>
          </cell>
          <cell r="C18" t="str">
            <v>DNER-ES280/97</v>
          </cell>
          <cell r="D18" t="str">
            <v/>
          </cell>
          <cell r="E18" t="str">
            <v>m3</v>
          </cell>
          <cell r="F18">
            <v>650</v>
          </cell>
          <cell r="G18">
            <v>3.73</v>
          </cell>
        </row>
        <row r="19">
          <cell r="A19" t="str">
            <v>01.510.00</v>
          </cell>
          <cell r="B19" t="str">
            <v>Compactação de aterros a 95% Proctor Normal</v>
          </cell>
          <cell r="C19" t="str">
            <v>DNER-ES282/97</v>
          </cell>
          <cell r="D19" t="str">
            <v/>
          </cell>
          <cell r="E19" t="str">
            <v>m3</v>
          </cell>
          <cell r="F19">
            <v>1593</v>
          </cell>
          <cell r="G19">
            <v>0.79</v>
          </cell>
        </row>
        <row r="20">
          <cell r="A20" t="str">
            <v>01.511.00</v>
          </cell>
          <cell r="B20" t="str">
            <v>Compactação de aterros a 100% Proctor Normal</v>
          </cell>
          <cell r="C20" t="str">
            <v>DNER-ES282/97</v>
          </cell>
          <cell r="D20" t="str">
            <v/>
          </cell>
          <cell r="E20" t="str">
            <v>m3</v>
          </cell>
          <cell r="F20">
            <v>3827</v>
          </cell>
          <cell r="G20">
            <v>1.36</v>
          </cell>
        </row>
        <row r="21">
          <cell r="A21" t="str">
            <v>P 10.000.06</v>
          </cell>
          <cell r="B21" t="str">
            <v>Aterro reforçado c/ elementos Terramesh (0,50x1,00x4,00m)(malha 8x10) ou similar</v>
          </cell>
          <cell r="C21" t="str">
            <v/>
          </cell>
          <cell r="D21" t="str">
            <v/>
          </cell>
          <cell r="E21" t="str">
            <v>un</v>
          </cell>
          <cell r="F21">
            <v>2638</v>
          </cell>
          <cell r="G21">
            <v>321.67</v>
          </cell>
        </row>
        <row r="22">
          <cell r="A22" t="str">
            <v>P 10.000.05</v>
          </cell>
          <cell r="B22" t="str">
            <v>Aterro reforçado c/ elementos Terramesh (1,00x1,00x4,00m)(malha 8x10) ou similar</v>
          </cell>
          <cell r="C22" t="str">
            <v/>
          </cell>
          <cell r="D22" t="str">
            <v/>
          </cell>
          <cell r="E22" t="str">
            <v>un</v>
          </cell>
          <cell r="F22">
            <v>1782</v>
          </cell>
          <cell r="G22">
            <v>414.83</v>
          </cell>
        </row>
        <row r="23">
          <cell r="A23" t="str">
            <v>DER82610</v>
          </cell>
          <cell r="B23" t="str">
            <v>Gabião caixa em PVC c/ h=50cm</v>
          </cell>
          <cell r="C23" t="str">
            <v/>
          </cell>
          <cell r="D23" t="str">
            <v/>
          </cell>
          <cell r="E23" t="str">
            <v>m3</v>
          </cell>
          <cell r="F23">
            <v>313</v>
          </cell>
          <cell r="G23">
            <v>153.77000000000001</v>
          </cell>
        </row>
        <row r="24">
          <cell r="A24" t="str">
            <v>DER82660</v>
          </cell>
          <cell r="B24" t="str">
            <v>Gabião caixa em PVC c/ h=100cm</v>
          </cell>
          <cell r="C24" t="str">
            <v/>
          </cell>
          <cell r="D24" t="str">
            <v/>
          </cell>
          <cell r="E24" t="str">
            <v>m3</v>
          </cell>
          <cell r="F24">
            <v>895</v>
          </cell>
          <cell r="G24">
            <v>122.97</v>
          </cell>
        </row>
        <row r="25">
          <cell r="A25" t="str">
            <v>09.517.04</v>
          </cell>
          <cell r="B25" t="str">
            <v>Pedra de mão</v>
          </cell>
          <cell r="C25" t="str">
            <v/>
          </cell>
          <cell r="D25" t="str">
            <v/>
          </cell>
          <cell r="E25" t="str">
            <v>m3</v>
          </cell>
          <cell r="F25">
            <v>8521</v>
          </cell>
          <cell r="G25">
            <v>11.92</v>
          </cell>
        </row>
        <row r="26">
          <cell r="A26">
            <v>9000032</v>
          </cell>
          <cell r="B26" t="str">
            <v>Manta Geotextil 200g/m2</v>
          </cell>
          <cell r="C26">
            <v>0</v>
          </cell>
          <cell r="D26">
            <v>0</v>
          </cell>
          <cell r="E26" t="str">
            <v>m2</v>
          </cell>
          <cell r="F26">
            <v>12255</v>
          </cell>
          <cell r="G26">
            <v>5.83</v>
          </cell>
        </row>
        <row r="27">
          <cell r="A27" t="str">
            <v>P 10.000.07</v>
          </cell>
          <cell r="B27" t="str">
            <v>Geogrelha Paralink 400m ou similar</v>
          </cell>
          <cell r="C27" t="str">
            <v/>
          </cell>
          <cell r="D27" t="str">
            <v/>
          </cell>
          <cell r="E27" t="str">
            <v>m2</v>
          </cell>
          <cell r="F27">
            <v>1475</v>
          </cell>
          <cell r="G27">
            <v>52.09</v>
          </cell>
        </row>
        <row r="28">
          <cell r="A28" t="str">
            <v>P 10.000.08</v>
          </cell>
          <cell r="B28" t="str">
            <v>Geogrelha Paralink 800m ou similar</v>
          </cell>
          <cell r="C28" t="str">
            <v/>
          </cell>
          <cell r="D28" t="str">
            <v/>
          </cell>
          <cell r="E28" t="str">
            <v>m2</v>
          </cell>
          <cell r="F28">
            <v>900</v>
          </cell>
          <cell r="G28">
            <v>91.8</v>
          </cell>
        </row>
        <row r="29">
          <cell r="F29" t="str">
            <v>SUB-TOTAL</v>
          </cell>
        </row>
        <row r="31">
          <cell r="B31" t="str">
            <v>PAVIMENTAÇÃO</v>
          </cell>
        </row>
        <row r="32">
          <cell r="A32" t="str">
            <v>02.000.00</v>
          </cell>
          <cell r="B32" t="str">
            <v>Regularização do subleito</v>
          </cell>
          <cell r="C32" t="str">
            <v/>
          </cell>
          <cell r="D32" t="str">
            <v/>
          </cell>
          <cell r="E32" t="str">
            <v>m2</v>
          </cell>
          <cell r="F32">
            <v>19615</v>
          </cell>
          <cell r="G32">
            <v>0.3</v>
          </cell>
        </row>
        <row r="33">
          <cell r="A33" t="str">
            <v>DER53130</v>
          </cell>
          <cell r="B33" t="str">
            <v>Camada de macadame seco</v>
          </cell>
          <cell r="C33" t="str">
            <v/>
          </cell>
          <cell r="D33" t="str">
            <v/>
          </cell>
          <cell r="E33" t="str">
            <v>m3</v>
          </cell>
          <cell r="F33">
            <v>3732</v>
          </cell>
          <cell r="G33">
            <v>21.86</v>
          </cell>
        </row>
        <row r="34">
          <cell r="A34" t="str">
            <v>02.230.00</v>
          </cell>
          <cell r="B34" t="str">
            <v>Base brita graduada</v>
          </cell>
          <cell r="C34" t="str">
            <v>DNER-ES303/97</v>
          </cell>
          <cell r="D34" t="str">
            <v/>
          </cell>
          <cell r="E34" t="str">
            <v>m3</v>
          </cell>
          <cell r="F34">
            <v>2736</v>
          </cell>
          <cell r="G34">
            <v>28.06</v>
          </cell>
        </row>
        <row r="35">
          <cell r="A35" t="str">
            <v>02.300.00</v>
          </cell>
          <cell r="B35" t="str">
            <v>Imprimação - Fornecimento, transporte e execução</v>
          </cell>
          <cell r="C35" t="str">
            <v>DNER-ES306/97</v>
          </cell>
          <cell r="D35" t="str">
            <v/>
          </cell>
          <cell r="E35" t="str">
            <v>m2</v>
          </cell>
          <cell r="F35">
            <v>17941</v>
          </cell>
          <cell r="G35">
            <v>1.1100000000000001</v>
          </cell>
        </row>
        <row r="36">
          <cell r="A36" t="str">
            <v>02.400.00</v>
          </cell>
          <cell r="B36" t="str">
            <v>Pintura de ligação - Fornec., transporte e execução</v>
          </cell>
          <cell r="C36" t="str">
            <v>DNER-ES307/97</v>
          </cell>
          <cell r="D36" t="str">
            <v/>
          </cell>
          <cell r="E36" t="str">
            <v>m2</v>
          </cell>
          <cell r="F36">
            <v>46266</v>
          </cell>
          <cell r="G36">
            <v>0.41</v>
          </cell>
        </row>
        <row r="37">
          <cell r="A37" t="str">
            <v>02.540.01</v>
          </cell>
          <cell r="B37" t="str">
            <v>Concreto betuminoso usinado a quente - usina 100/140 t/h</v>
          </cell>
          <cell r="C37" t="str">
            <v>DNER-ES313/97</v>
          </cell>
          <cell r="D37" t="str">
            <v/>
          </cell>
          <cell r="E37" t="str">
            <v>t</v>
          </cell>
          <cell r="F37">
            <v>5664</v>
          </cell>
          <cell r="G37">
            <v>67.64</v>
          </cell>
        </row>
        <row r="38">
          <cell r="A38" t="str">
            <v>DER82200</v>
          </cell>
          <cell r="B38" t="str">
            <v>Remoção de revestimento de CBUQ</v>
          </cell>
          <cell r="C38" t="str">
            <v/>
          </cell>
          <cell r="D38" t="str">
            <v/>
          </cell>
          <cell r="E38" t="str">
            <v>m3</v>
          </cell>
          <cell r="F38">
            <v>380</v>
          </cell>
          <cell r="G38">
            <v>5.73</v>
          </cell>
        </row>
        <row r="39">
          <cell r="A39" t="str">
            <v>DER82200a</v>
          </cell>
          <cell r="B39" t="str">
            <v>Remoção de camada granular</v>
          </cell>
          <cell r="C39" t="str">
            <v/>
          </cell>
          <cell r="D39" t="str">
            <v/>
          </cell>
          <cell r="E39" t="str">
            <v>m3</v>
          </cell>
          <cell r="F39">
            <v>380</v>
          </cell>
          <cell r="G39">
            <v>4.67</v>
          </cell>
        </row>
        <row r="40">
          <cell r="F40" t="str">
            <v>SUB-TOTAL</v>
          </cell>
        </row>
        <row r="42">
          <cell r="B42" t="str">
            <v>DRENAGEM</v>
          </cell>
        </row>
        <row r="43">
          <cell r="A43" t="str">
            <v>04.000.00</v>
          </cell>
          <cell r="B43" t="str">
            <v>Escavação manual em material de 1a categoria</v>
          </cell>
          <cell r="C43" t="str">
            <v/>
          </cell>
          <cell r="D43" t="str">
            <v/>
          </cell>
          <cell r="E43" t="str">
            <v>m3</v>
          </cell>
          <cell r="F43">
            <v>35</v>
          </cell>
          <cell r="G43">
            <v>17.57</v>
          </cell>
        </row>
        <row r="44">
          <cell r="A44" t="str">
            <v>04.001.00</v>
          </cell>
          <cell r="B44" t="str">
            <v>Escavação mecânica em material de 1a categoria</v>
          </cell>
          <cell r="C44" t="str">
            <v/>
          </cell>
          <cell r="D44" t="str">
            <v/>
          </cell>
          <cell r="E44" t="str">
            <v>m3</v>
          </cell>
          <cell r="F44">
            <v>184</v>
          </cell>
          <cell r="G44">
            <v>2.09</v>
          </cell>
        </row>
        <row r="45">
          <cell r="A45" t="str">
            <v>04.001.01</v>
          </cell>
          <cell r="B45" t="str">
            <v>Escavação mecânica,reaterro e compactação (material de 1a categoria)</v>
          </cell>
          <cell r="C45" t="str">
            <v/>
          </cell>
          <cell r="D45" t="str">
            <v/>
          </cell>
          <cell r="E45" t="str">
            <v>m3</v>
          </cell>
          <cell r="F45">
            <v>695</v>
          </cell>
          <cell r="G45">
            <v>3.03</v>
          </cell>
        </row>
        <row r="46">
          <cell r="A46" t="str">
            <v>04.510.03</v>
          </cell>
          <cell r="B46" t="str">
            <v>Dreno sub- superficial- DSS 03</v>
          </cell>
          <cell r="C46" t="str">
            <v>DNER-ES294/97</v>
          </cell>
          <cell r="D46" t="str">
            <v/>
          </cell>
          <cell r="E46" t="str">
            <v>m</v>
          </cell>
          <cell r="F46">
            <v>242</v>
          </cell>
          <cell r="G46">
            <v>3.71</v>
          </cell>
        </row>
        <row r="47">
          <cell r="A47" t="str">
            <v>04.511.01</v>
          </cell>
          <cell r="B47" t="str">
            <v>Boca de saída p/ dreno sub-superficial-BSD 03</v>
          </cell>
          <cell r="C47" t="str">
            <v/>
          </cell>
          <cell r="D47" t="str">
            <v/>
          </cell>
          <cell r="E47" t="str">
            <v>un</v>
          </cell>
          <cell r="F47">
            <v>8</v>
          </cell>
          <cell r="G47">
            <v>20.86</v>
          </cell>
        </row>
        <row r="48">
          <cell r="A48" t="str">
            <v>04.900.21</v>
          </cell>
          <cell r="B48" t="str">
            <v>Sarjeta de cant. central de concreto-SCC 01</v>
          </cell>
          <cell r="C48" t="str">
            <v>DNER-ES288/97</v>
          </cell>
          <cell r="D48" t="str">
            <v/>
          </cell>
          <cell r="E48" t="str">
            <v>m</v>
          </cell>
          <cell r="F48">
            <v>336</v>
          </cell>
          <cell r="G48">
            <v>13.85</v>
          </cell>
        </row>
        <row r="49">
          <cell r="A49" t="str">
            <v>04.900.22</v>
          </cell>
          <cell r="B49" t="str">
            <v>Sarjeta de cant. central de concreto-SCC 02</v>
          </cell>
          <cell r="C49" t="str">
            <v>DNER-ES288/97</v>
          </cell>
          <cell r="D49" t="str">
            <v/>
          </cell>
          <cell r="E49" t="str">
            <v>m</v>
          </cell>
          <cell r="F49">
            <v>451</v>
          </cell>
          <cell r="G49">
            <v>19.170000000000002</v>
          </cell>
        </row>
        <row r="50">
          <cell r="A50" t="str">
            <v>04.900.03</v>
          </cell>
          <cell r="B50" t="str">
            <v>Sarjeta triangular de concreto-STC 03</v>
          </cell>
          <cell r="C50" t="str">
            <v>DNER-ES288/97</v>
          </cell>
          <cell r="D50" t="str">
            <v/>
          </cell>
          <cell r="E50" t="str">
            <v>m</v>
          </cell>
          <cell r="F50">
            <v>55</v>
          </cell>
          <cell r="G50">
            <v>16.02</v>
          </cell>
        </row>
        <row r="51">
          <cell r="A51" t="str">
            <v>04.910.05</v>
          </cell>
          <cell r="B51" t="str">
            <v>Meio-fio de concreto-MFC 05</v>
          </cell>
          <cell r="C51" t="str">
            <v>DNER-ES290/97</v>
          </cell>
          <cell r="D51" t="str">
            <v/>
          </cell>
          <cell r="E51" t="str">
            <v>m</v>
          </cell>
          <cell r="F51">
            <v>682</v>
          </cell>
          <cell r="G51">
            <v>10.54</v>
          </cell>
        </row>
        <row r="52">
          <cell r="A52" t="str">
            <v>04.960.01</v>
          </cell>
          <cell r="B52" t="str">
            <v>Boca de lobo simples c/ grelha de concreto-BLS 01</v>
          </cell>
          <cell r="C52" t="str">
            <v/>
          </cell>
          <cell r="D52" t="str">
            <v/>
          </cell>
          <cell r="E52" t="str">
            <v>un</v>
          </cell>
          <cell r="F52">
            <v>3</v>
          </cell>
          <cell r="G52">
            <v>203.51</v>
          </cell>
        </row>
        <row r="53">
          <cell r="A53" t="str">
            <v>04.960.02</v>
          </cell>
          <cell r="B53" t="str">
            <v>Boca de lobo simples c/ grelha de concreto-BLS 02</v>
          </cell>
          <cell r="C53" t="str">
            <v/>
          </cell>
          <cell r="D53" t="str">
            <v/>
          </cell>
          <cell r="E53" t="str">
            <v>un</v>
          </cell>
          <cell r="F53">
            <v>5</v>
          </cell>
          <cell r="G53">
            <v>257.83999999999997</v>
          </cell>
        </row>
        <row r="54">
          <cell r="A54" t="str">
            <v>P 04.100.07</v>
          </cell>
          <cell r="B54" t="str">
            <v>Execução de galerias D=0,40 c/ lastro de brita</v>
          </cell>
          <cell r="C54" t="str">
            <v/>
          </cell>
          <cell r="D54" t="str">
            <v/>
          </cell>
          <cell r="E54" t="str">
            <v>m</v>
          </cell>
          <cell r="F54">
            <v>281</v>
          </cell>
          <cell r="G54">
            <v>41.68</v>
          </cell>
        </row>
        <row r="55">
          <cell r="A55" t="str">
            <v>P 04.100.08</v>
          </cell>
          <cell r="B55" t="str">
            <v>Execução de galerias D=0,40 c/ lastro de concreto</v>
          </cell>
          <cell r="C55" t="str">
            <v/>
          </cell>
          <cell r="D55" t="str">
            <v/>
          </cell>
          <cell r="E55" t="str">
            <v>m</v>
          </cell>
          <cell r="F55">
            <v>28</v>
          </cell>
          <cell r="G55">
            <v>58.65</v>
          </cell>
        </row>
        <row r="56">
          <cell r="A56" t="str">
            <v>DER72350b</v>
          </cell>
          <cell r="B56" t="str">
            <v>Boca para BSTC D=40cm - Normal</v>
          </cell>
          <cell r="C56" t="str">
            <v/>
          </cell>
          <cell r="D56" t="str">
            <v/>
          </cell>
          <cell r="E56" t="str">
            <v>un</v>
          </cell>
          <cell r="F56">
            <v>3</v>
          </cell>
          <cell r="G56">
            <v>147.57</v>
          </cell>
        </row>
        <row r="57">
          <cell r="F57" t="str">
            <v>SUB-TOTAL</v>
          </cell>
        </row>
        <row r="59">
          <cell r="B59" t="str">
            <v>OBRAS DE ARTE ESPECIAIS</v>
          </cell>
        </row>
        <row r="60">
          <cell r="A60" t="str">
            <v>03.371.01</v>
          </cell>
          <cell r="B60" t="str">
            <v>Formas de placa compensada resinada</v>
          </cell>
          <cell r="C60" t="str">
            <v/>
          </cell>
          <cell r="D60" t="str">
            <v/>
          </cell>
          <cell r="E60" t="str">
            <v>m2</v>
          </cell>
          <cell r="F60">
            <v>85</v>
          </cell>
          <cell r="G60">
            <v>21.86</v>
          </cell>
        </row>
        <row r="61">
          <cell r="A61" t="str">
            <v>03.371.02</v>
          </cell>
          <cell r="B61" t="str">
            <v>Formas de placa compensada plastificada</v>
          </cell>
          <cell r="C61" t="str">
            <v/>
          </cell>
          <cell r="D61" t="str">
            <v/>
          </cell>
          <cell r="E61" t="str">
            <v>m2</v>
          </cell>
          <cell r="F61">
            <v>2387</v>
          </cell>
          <cell r="G61">
            <v>30.76</v>
          </cell>
        </row>
        <row r="62">
          <cell r="A62" t="str">
            <v>03.353.00</v>
          </cell>
          <cell r="B62" t="str">
            <v>Forn., preparo e colocação nas formas, de aço CA-50</v>
          </cell>
          <cell r="C62" t="str">
            <v/>
          </cell>
          <cell r="D62" t="str">
            <v/>
          </cell>
          <cell r="E62" t="str">
            <v>kg</v>
          </cell>
          <cell r="F62">
            <v>37870</v>
          </cell>
          <cell r="G62">
            <v>2.59</v>
          </cell>
        </row>
        <row r="63">
          <cell r="A63" t="str">
            <v>OAE4</v>
          </cell>
          <cell r="B63" t="str">
            <v>Armadura de protensão, fornecimento, bainhas, ancoragens, operações de protensão</v>
          </cell>
          <cell r="C63" t="str">
            <v/>
          </cell>
          <cell r="D63" t="str">
            <v/>
          </cell>
          <cell r="E63" t="str">
            <v>kg</v>
          </cell>
          <cell r="F63">
            <v>13643</v>
          </cell>
          <cell r="G63">
            <v>19.28</v>
          </cell>
        </row>
        <row r="64">
          <cell r="A64" t="str">
            <v>OAE17</v>
          </cell>
          <cell r="B64" t="str">
            <v>Transporte e lançamento de pré-lages</v>
          </cell>
          <cell r="C64" t="str">
            <v/>
          </cell>
          <cell r="D64" t="str">
            <v/>
          </cell>
          <cell r="E64" t="str">
            <v>un</v>
          </cell>
          <cell r="F64">
            <v>576</v>
          </cell>
          <cell r="G64">
            <v>23.47</v>
          </cell>
        </row>
        <row r="65">
          <cell r="A65" t="str">
            <v>OAE18</v>
          </cell>
          <cell r="B65" t="str">
            <v>Transporte e lançamento de vigas pré-moldadas</v>
          </cell>
          <cell r="C65" t="str">
            <v/>
          </cell>
          <cell r="D65" t="str">
            <v/>
          </cell>
          <cell r="E65" t="str">
            <v>un</v>
          </cell>
          <cell r="F65">
            <v>40</v>
          </cell>
          <cell r="G65">
            <v>1281.27</v>
          </cell>
        </row>
        <row r="66">
          <cell r="A66" t="str">
            <v>OAE19</v>
          </cell>
          <cell r="B66" t="str">
            <v>Injeção de nata (cabos 12 varas 1/2")</v>
          </cell>
          <cell r="C66" t="str">
            <v/>
          </cell>
          <cell r="D66" t="str">
            <v/>
          </cell>
          <cell r="E66" t="str">
            <v>m</v>
          </cell>
          <cell r="F66">
            <v>2388</v>
          </cell>
          <cell r="G66">
            <v>3.65</v>
          </cell>
        </row>
        <row r="67">
          <cell r="A67" t="str">
            <v>03.330.00</v>
          </cell>
          <cell r="B67" t="str">
            <v>Concreto fck= 35 MPa-contr. raz. uso ger.</v>
          </cell>
          <cell r="C67" t="str">
            <v/>
          </cell>
          <cell r="D67" t="str">
            <v/>
          </cell>
          <cell r="E67" t="str">
            <v>m3</v>
          </cell>
          <cell r="F67">
            <v>326</v>
          </cell>
          <cell r="G67">
            <v>166.78</v>
          </cell>
        </row>
        <row r="68">
          <cell r="A68" t="str">
            <v>P 03.327.01</v>
          </cell>
          <cell r="B68" t="str">
            <v xml:space="preserve">Concreto fck= 25 MPa-contr. raz. uso ger. </v>
          </cell>
          <cell r="C68" t="str">
            <v/>
          </cell>
          <cell r="D68" t="str">
            <v/>
          </cell>
          <cell r="E68" t="str">
            <v>m3</v>
          </cell>
          <cell r="F68">
            <v>73</v>
          </cell>
          <cell r="G68">
            <v>163.22</v>
          </cell>
        </row>
        <row r="69">
          <cell r="A69" t="str">
            <v>03.510.00</v>
          </cell>
          <cell r="B69" t="str">
            <v>Aparelho de apoio em neoprene</v>
          </cell>
          <cell r="C69" t="str">
            <v/>
          </cell>
          <cell r="D69" t="str">
            <v/>
          </cell>
          <cell r="E69" t="str">
            <v>kg</v>
          </cell>
          <cell r="F69">
            <v>104</v>
          </cell>
          <cell r="G69">
            <v>86.94</v>
          </cell>
        </row>
        <row r="70">
          <cell r="B70" t="str">
            <v>Barreiras de segurança (C.A.) Tipo New Jersey (129,2 m)</v>
          </cell>
        </row>
        <row r="71">
          <cell r="A71" t="str">
            <v>03.371.00</v>
          </cell>
          <cell r="B71" t="str">
            <v>Formas de madeira compensada</v>
          </cell>
          <cell r="C71" t="str">
            <v/>
          </cell>
          <cell r="D71" t="str">
            <v/>
          </cell>
          <cell r="E71" t="str">
            <v>m2</v>
          </cell>
          <cell r="F71">
            <v>258.39999999999998</v>
          </cell>
          <cell r="G71">
            <v>21.86</v>
          </cell>
        </row>
        <row r="72">
          <cell r="A72" t="str">
            <v>03.353.00</v>
          </cell>
          <cell r="B72" t="str">
            <v>Forn., preparo e colocação nas formas, de aço CA-50</v>
          </cell>
          <cell r="C72" t="str">
            <v/>
          </cell>
          <cell r="D72" t="str">
            <v/>
          </cell>
          <cell r="E72" t="str">
            <v>kg</v>
          </cell>
          <cell r="F72">
            <v>2080.12</v>
          </cell>
          <cell r="G72">
            <v>2.59</v>
          </cell>
        </row>
        <row r="73">
          <cell r="A73" t="str">
            <v>03.326.00</v>
          </cell>
          <cell r="B73" t="str">
            <v xml:space="preserve">Concreto fck= 20 MPa-contr. raz. uso ger. </v>
          </cell>
          <cell r="C73" t="str">
            <v/>
          </cell>
          <cell r="D73" t="str">
            <v/>
          </cell>
          <cell r="E73" t="str">
            <v>m3</v>
          </cell>
          <cell r="F73">
            <v>30</v>
          </cell>
          <cell r="G73">
            <v>149.19999999999999</v>
          </cell>
        </row>
        <row r="74">
          <cell r="B74" t="str">
            <v>Placas de aproximação( 04 unidades)(dimensão 4,00m x 11,2m x 0,30m)</v>
          </cell>
        </row>
        <row r="75">
          <cell r="A75" t="str">
            <v>03.371.00</v>
          </cell>
          <cell r="B75" t="str">
            <v>Formas de madeira compensada</v>
          </cell>
          <cell r="C75" t="str">
            <v/>
          </cell>
          <cell r="D75" t="str">
            <v/>
          </cell>
          <cell r="E75" t="str">
            <v>m2</v>
          </cell>
          <cell r="F75">
            <v>40</v>
          </cell>
          <cell r="G75">
            <v>21.86</v>
          </cell>
        </row>
        <row r="76">
          <cell r="A76" t="str">
            <v>03.353.00</v>
          </cell>
          <cell r="B76" t="str">
            <v>Forn., preparo e colocação nas formas, de aço CA-50</v>
          </cell>
          <cell r="C76" t="str">
            <v/>
          </cell>
          <cell r="D76" t="str">
            <v/>
          </cell>
          <cell r="E76" t="str">
            <v>kg</v>
          </cell>
          <cell r="F76">
            <v>3720</v>
          </cell>
          <cell r="G76">
            <v>2.59</v>
          </cell>
        </row>
        <row r="77">
          <cell r="A77" t="str">
            <v>03.326.00</v>
          </cell>
          <cell r="B77" t="str">
            <v xml:space="preserve">Concreto fck= 20 MPa-contr. raz. uso ger. </v>
          </cell>
          <cell r="C77" t="str">
            <v/>
          </cell>
          <cell r="D77" t="str">
            <v/>
          </cell>
          <cell r="E77" t="str">
            <v>m3</v>
          </cell>
          <cell r="F77">
            <v>54</v>
          </cell>
          <cell r="G77">
            <v>149.19999999999999</v>
          </cell>
        </row>
        <row r="78">
          <cell r="B78" t="str">
            <v>Drenos</v>
          </cell>
        </row>
        <row r="79">
          <cell r="A79" t="str">
            <v>P 03.991.01d</v>
          </cell>
          <cell r="B79" t="str">
            <v>Dreno de FF D= 150 mm x 500mm</v>
          </cell>
          <cell r="C79" t="str">
            <v/>
          </cell>
          <cell r="D79" t="str">
            <v/>
          </cell>
          <cell r="E79" t="str">
            <v>un</v>
          </cell>
          <cell r="F79">
            <v>56</v>
          </cell>
          <cell r="G79">
            <v>24.91</v>
          </cell>
        </row>
        <row r="80">
          <cell r="A80" t="str">
            <v>P 03.991.01c</v>
          </cell>
          <cell r="B80" t="str">
            <v>Dreno de FF D= 100 mm x 500mm</v>
          </cell>
          <cell r="C80" t="str">
            <v/>
          </cell>
          <cell r="D80" t="str">
            <v/>
          </cell>
          <cell r="E80" t="str">
            <v>un</v>
          </cell>
          <cell r="F80">
            <v>8</v>
          </cell>
          <cell r="G80">
            <v>15.64</v>
          </cell>
        </row>
        <row r="81">
          <cell r="F81" t="str">
            <v>SUB-TOTAL</v>
          </cell>
        </row>
        <row r="82">
          <cell r="B82" t="str">
            <v>OBRAS COMPLEMENTARES</v>
          </cell>
        </row>
        <row r="83">
          <cell r="A83" t="str">
            <v>05.100.00</v>
          </cell>
          <cell r="B83" t="str">
            <v>Enleivamento</v>
          </cell>
          <cell r="C83" t="str">
            <v>DNER-ES341/97</v>
          </cell>
          <cell r="D83" t="str">
            <v/>
          </cell>
          <cell r="E83" t="str">
            <v>m2</v>
          </cell>
          <cell r="F83">
            <v>2557</v>
          </cell>
          <cell r="G83">
            <v>2.06</v>
          </cell>
        </row>
        <row r="84">
          <cell r="A84" t="str">
            <v>P 06.030.00</v>
          </cell>
          <cell r="B84" t="str">
            <v>Barreira de segurança simples</v>
          </cell>
          <cell r="C84" t="str">
            <v/>
          </cell>
          <cell r="D84" t="str">
            <v/>
          </cell>
          <cell r="E84" t="str">
            <v>m</v>
          </cell>
          <cell r="F84">
            <v>1274</v>
          </cell>
          <cell r="G84">
            <v>52.16</v>
          </cell>
        </row>
        <row r="85">
          <cell r="A85" t="str">
            <v>PI 01</v>
          </cell>
          <cell r="B85" t="str">
            <v>Poste de aço galv. a fogo, c/ 20,0m de alt. p/ instal. tipo engastado</v>
          </cell>
          <cell r="C85" t="str">
            <v/>
          </cell>
          <cell r="D85" t="str">
            <v/>
          </cell>
          <cell r="E85" t="str">
            <v>un</v>
          </cell>
          <cell r="F85">
            <v>20</v>
          </cell>
          <cell r="G85">
            <v>2662.25</v>
          </cell>
        </row>
        <row r="86">
          <cell r="A86" t="str">
            <v>PI 03</v>
          </cell>
          <cell r="B86" t="str">
            <v xml:space="preserve">Luminária p/ iluminação pública ref.HRC-612 da Philips ou similar </v>
          </cell>
          <cell r="C86" t="str">
            <v/>
          </cell>
          <cell r="D86" t="str">
            <v/>
          </cell>
          <cell r="E86" t="str">
            <v>un</v>
          </cell>
          <cell r="F86">
            <v>83</v>
          </cell>
          <cell r="G86">
            <v>400</v>
          </cell>
        </row>
        <row r="87">
          <cell r="A87" t="str">
            <v>PI 04</v>
          </cell>
          <cell r="B87" t="str">
            <v xml:space="preserve">Luminária p/ iluminação pública ref.SRC-612 da Philips ou similar </v>
          </cell>
          <cell r="C87" t="str">
            <v/>
          </cell>
          <cell r="D87" t="str">
            <v/>
          </cell>
          <cell r="E87" t="str">
            <v>un</v>
          </cell>
          <cell r="F87">
            <v>4</v>
          </cell>
          <cell r="G87">
            <v>425.5</v>
          </cell>
        </row>
        <row r="88">
          <cell r="A88" t="str">
            <v>PI 07</v>
          </cell>
          <cell r="B88" t="str">
            <v>Suporte p/ luminária tipo ZGP402 da Philips ou similar</v>
          </cell>
          <cell r="C88" t="str">
            <v/>
          </cell>
          <cell r="D88" t="str">
            <v/>
          </cell>
          <cell r="E88" t="str">
            <v>un</v>
          </cell>
          <cell r="F88">
            <v>2</v>
          </cell>
          <cell r="G88">
            <v>100</v>
          </cell>
        </row>
        <row r="89">
          <cell r="A89" t="str">
            <v>PI 09</v>
          </cell>
          <cell r="B89" t="str">
            <v>Lâmpada a vapor de sódio 400W, alta pressão, base E40</v>
          </cell>
          <cell r="C89" t="str">
            <v/>
          </cell>
          <cell r="D89" t="str">
            <v/>
          </cell>
          <cell r="E89" t="str">
            <v>un</v>
          </cell>
          <cell r="F89">
            <v>4</v>
          </cell>
          <cell r="G89">
            <v>33.35</v>
          </cell>
        </row>
        <row r="90">
          <cell r="A90" t="str">
            <v>PI 10</v>
          </cell>
          <cell r="B90" t="str">
            <v>Lâmpada a vapor de mercúrio 250W, alta pressão, base E40</v>
          </cell>
          <cell r="C90" t="str">
            <v/>
          </cell>
          <cell r="D90" t="str">
            <v/>
          </cell>
          <cell r="E90" t="str">
            <v>un</v>
          </cell>
          <cell r="F90">
            <v>83</v>
          </cell>
          <cell r="G90">
            <v>28.75</v>
          </cell>
        </row>
        <row r="91">
          <cell r="A91" t="str">
            <v>PI 14</v>
          </cell>
          <cell r="B91" t="str">
            <v>Caixa de passagem para instalação aparente D=50mm, tipo T</v>
          </cell>
          <cell r="C91" t="str">
            <v/>
          </cell>
          <cell r="D91" t="str">
            <v/>
          </cell>
          <cell r="E91" t="str">
            <v>un</v>
          </cell>
          <cell r="F91">
            <v>4</v>
          </cell>
          <cell r="G91">
            <v>4.08</v>
          </cell>
        </row>
        <row r="92">
          <cell r="A92" t="str">
            <v>PI 15</v>
          </cell>
          <cell r="B92" t="str">
            <v>Caixa de passagem para instalação aparente D=20mm, tipo LB</v>
          </cell>
          <cell r="C92" t="str">
            <v/>
          </cell>
          <cell r="D92" t="str">
            <v/>
          </cell>
          <cell r="E92" t="str">
            <v>un</v>
          </cell>
          <cell r="F92">
            <v>4</v>
          </cell>
          <cell r="G92">
            <v>3.62</v>
          </cell>
        </row>
        <row r="93">
          <cell r="A93" t="str">
            <v>PI 20</v>
          </cell>
          <cell r="B93" t="str">
            <v>Poste de concreto duplo T 10m, 150 daN</v>
          </cell>
          <cell r="C93" t="str">
            <v/>
          </cell>
          <cell r="D93" t="str">
            <v/>
          </cell>
          <cell r="E93" t="str">
            <v>un</v>
          </cell>
          <cell r="F93">
            <v>29</v>
          </cell>
          <cell r="G93">
            <v>200</v>
          </cell>
        </row>
        <row r="94">
          <cell r="A94" t="str">
            <v>PI 22</v>
          </cell>
          <cell r="B94" t="str">
            <v>Base completa com fusível Diazed, 6A, retardado, incluíndo tampa, anel de proteção e ajuste</v>
          </cell>
          <cell r="C94" t="str">
            <v/>
          </cell>
          <cell r="D94" t="str">
            <v/>
          </cell>
          <cell r="E94" t="str">
            <v>un</v>
          </cell>
          <cell r="F94">
            <v>87</v>
          </cell>
          <cell r="G94">
            <v>8.6300000000000008</v>
          </cell>
        </row>
        <row r="95">
          <cell r="A95" t="str">
            <v>PI 23</v>
          </cell>
          <cell r="B95" t="str">
            <v>Contator tripolar a seco, p/ corrente alternada - 55 A, para uso em rede 380/220V - 60Hz</v>
          </cell>
          <cell r="C95" t="str">
            <v/>
          </cell>
          <cell r="D95" t="str">
            <v/>
          </cell>
          <cell r="E95" t="str">
            <v>un</v>
          </cell>
          <cell r="F95">
            <v>6</v>
          </cell>
          <cell r="G95">
            <v>234.6</v>
          </cell>
        </row>
        <row r="96">
          <cell r="A96" t="str">
            <v>PI 24</v>
          </cell>
          <cell r="B96" t="str">
            <v>Fita elétrica auto fusão a base de borracha EPR</v>
          </cell>
          <cell r="C96" t="str">
            <v/>
          </cell>
          <cell r="D96" t="str">
            <v/>
          </cell>
          <cell r="E96" t="str">
            <v>un</v>
          </cell>
          <cell r="F96">
            <v>8</v>
          </cell>
          <cell r="G96">
            <v>6.39</v>
          </cell>
        </row>
        <row r="97">
          <cell r="A97" t="str">
            <v>PI 25</v>
          </cell>
          <cell r="B97" t="str">
            <v>Fita adesiva plástica isolante</v>
          </cell>
          <cell r="C97" t="str">
            <v/>
          </cell>
          <cell r="D97" t="str">
            <v/>
          </cell>
          <cell r="E97" t="str">
            <v>un</v>
          </cell>
          <cell r="F97">
            <v>10</v>
          </cell>
          <cell r="G97">
            <v>3.84</v>
          </cell>
        </row>
        <row r="98">
          <cell r="A98" t="str">
            <v>PI 26</v>
          </cell>
          <cell r="B98" t="str">
            <v>Relé fotoelétrico c/ suporte para fixação galv. com furo 18mm</v>
          </cell>
          <cell r="C98" t="str">
            <v/>
          </cell>
          <cell r="D98" t="str">
            <v/>
          </cell>
          <cell r="E98" t="str">
            <v>un</v>
          </cell>
          <cell r="F98">
            <v>6</v>
          </cell>
          <cell r="G98">
            <v>11.5</v>
          </cell>
        </row>
        <row r="99">
          <cell r="A99" t="str">
            <v>PI 27</v>
          </cell>
          <cell r="B99" t="str">
            <v>Cabo isolado p/ 1000V, bitola 35mm²</v>
          </cell>
          <cell r="C99" t="str">
            <v/>
          </cell>
          <cell r="D99" t="str">
            <v/>
          </cell>
          <cell r="E99" t="str">
            <v>m</v>
          </cell>
          <cell r="F99">
            <v>100</v>
          </cell>
          <cell r="G99">
            <v>1.55</v>
          </cell>
        </row>
        <row r="100">
          <cell r="A100" t="str">
            <v>PI 28</v>
          </cell>
          <cell r="B100" t="str">
            <v>Eletroduto de aço tipo pesado 100mm</v>
          </cell>
          <cell r="C100" t="str">
            <v/>
          </cell>
          <cell r="D100" t="str">
            <v/>
          </cell>
          <cell r="E100" t="str">
            <v>m</v>
          </cell>
          <cell r="F100">
            <v>40</v>
          </cell>
          <cell r="G100">
            <v>28.55</v>
          </cell>
        </row>
        <row r="101">
          <cell r="A101" t="str">
            <v>PI 30</v>
          </cell>
          <cell r="B101" t="str">
            <v>Haste para aterramento aço-cobre D 13x2400mm</v>
          </cell>
          <cell r="C101" t="str">
            <v/>
          </cell>
          <cell r="D101" t="str">
            <v/>
          </cell>
          <cell r="E101" t="str">
            <v>un</v>
          </cell>
          <cell r="F101">
            <v>29</v>
          </cell>
          <cell r="G101">
            <v>6.04</v>
          </cell>
        </row>
        <row r="102">
          <cell r="A102" t="str">
            <v>PI 31</v>
          </cell>
          <cell r="B102" t="str">
            <v>Cabo de cobre nú meio duro, 7 fios 2AWG</v>
          </cell>
          <cell r="C102" t="str">
            <v/>
          </cell>
          <cell r="D102" t="str">
            <v/>
          </cell>
          <cell r="E102" t="str">
            <v>kg</v>
          </cell>
          <cell r="F102">
            <v>15</v>
          </cell>
          <cell r="G102">
            <v>7.02</v>
          </cell>
        </row>
        <row r="103">
          <cell r="A103" t="str">
            <v>PI 34</v>
          </cell>
          <cell r="B103" t="str">
            <v>Construção de caixa tipo SP, ou pré-instalada com as mesmas características</v>
          </cell>
          <cell r="C103" t="str">
            <v/>
          </cell>
          <cell r="D103" t="str">
            <v/>
          </cell>
          <cell r="E103" t="str">
            <v>un</v>
          </cell>
          <cell r="F103">
            <v>6</v>
          </cell>
          <cell r="G103">
            <v>180</v>
          </cell>
        </row>
        <row r="104">
          <cell r="A104" t="str">
            <v>PI 35</v>
          </cell>
          <cell r="B104" t="str">
            <v>Construção de embasamento p/ poste tipo engastado, 20m de altura</v>
          </cell>
          <cell r="C104" t="str">
            <v/>
          </cell>
          <cell r="D104" t="str">
            <v/>
          </cell>
          <cell r="E104" t="str">
            <v>un</v>
          </cell>
          <cell r="F104">
            <v>2</v>
          </cell>
          <cell r="G104">
            <v>494</v>
          </cell>
        </row>
        <row r="105">
          <cell r="A105" t="str">
            <v>PI 36</v>
          </cell>
          <cell r="B105" t="str">
            <v>Construção de embasamento p/ poste tipo engastado, concreto duplo T, 10m de altura</v>
          </cell>
          <cell r="C105" t="str">
            <v/>
          </cell>
          <cell r="D105" t="str">
            <v/>
          </cell>
          <cell r="E105" t="str">
            <v>un</v>
          </cell>
          <cell r="F105">
            <v>29</v>
          </cell>
          <cell r="G105">
            <v>285</v>
          </cell>
        </row>
        <row r="106">
          <cell r="A106" t="str">
            <v>PI 37</v>
          </cell>
          <cell r="B106" t="str">
            <v>Lançamento de cabos em dutos de aço, classe 1000V, circuito trifásico mais neutro, e monofásico</v>
          </cell>
          <cell r="C106" t="str">
            <v/>
          </cell>
          <cell r="D106" t="str">
            <v/>
          </cell>
          <cell r="E106" t="str">
            <v>m</v>
          </cell>
          <cell r="F106">
            <v>20</v>
          </cell>
          <cell r="G106">
            <v>4</v>
          </cell>
        </row>
        <row r="107">
          <cell r="A107" t="str">
            <v>PI 38</v>
          </cell>
          <cell r="B107" t="str">
            <v>Confecção de emendas retas ou derivação em cabos classe 1000V, c/ conector à compressão</v>
          </cell>
          <cell r="C107" t="str">
            <v/>
          </cell>
          <cell r="D107" t="str">
            <v/>
          </cell>
          <cell r="E107" t="str">
            <v>un</v>
          </cell>
          <cell r="F107">
            <v>4</v>
          </cell>
          <cell r="G107">
            <v>4.5</v>
          </cell>
        </row>
        <row r="108">
          <cell r="A108" t="str">
            <v>PI 39</v>
          </cell>
          <cell r="B108" t="str">
            <v>Fixação de haste de terra e conexão ao neutro</v>
          </cell>
          <cell r="C108" t="str">
            <v/>
          </cell>
          <cell r="D108" t="str">
            <v/>
          </cell>
          <cell r="E108" t="str">
            <v>un</v>
          </cell>
          <cell r="F108">
            <v>29</v>
          </cell>
          <cell r="G108">
            <v>35</v>
          </cell>
        </row>
        <row r="109">
          <cell r="A109" t="str">
            <v>PI 40</v>
          </cell>
          <cell r="B109" t="str">
            <v>Montagem eletromecân.de iluminação a 17,5m de alt., formada p/2 pétalas, c/ fixação dos equip.</v>
          </cell>
          <cell r="C109" t="str">
            <v/>
          </cell>
          <cell r="D109" t="str">
            <v/>
          </cell>
          <cell r="E109" t="str">
            <v>un</v>
          </cell>
          <cell r="F109">
            <v>4</v>
          </cell>
          <cell r="G109">
            <v>550</v>
          </cell>
        </row>
        <row r="110">
          <cell r="A110" t="str">
            <v>PI 41</v>
          </cell>
          <cell r="B110" t="str">
            <v>Instalação de tubo de aço vara de 6m e curva de entrada de cabos na lateral do poste c/ fix. dutos</v>
          </cell>
          <cell r="C110" t="str">
            <v/>
          </cell>
          <cell r="D110" t="str">
            <v/>
          </cell>
          <cell r="E110" t="str">
            <v>un</v>
          </cell>
          <cell r="F110">
            <v>3</v>
          </cell>
          <cell r="G110">
            <v>200</v>
          </cell>
        </row>
        <row r="111">
          <cell r="A111" t="str">
            <v>PI 42</v>
          </cell>
          <cell r="B111" t="str">
            <v>Instalação de poste de aço de 20m de altura engastado</v>
          </cell>
          <cell r="C111" t="str">
            <v/>
          </cell>
          <cell r="D111" t="str">
            <v/>
          </cell>
          <cell r="E111" t="str">
            <v>un</v>
          </cell>
          <cell r="F111">
            <v>2</v>
          </cell>
          <cell r="G111">
            <v>250</v>
          </cell>
        </row>
        <row r="112">
          <cell r="A112" t="str">
            <v>PI 43</v>
          </cell>
          <cell r="B112" t="str">
            <v>Travessia de pista asfáltica p/ lançamento dutos aço tipo pesado 100mm</v>
          </cell>
          <cell r="C112" t="str">
            <v/>
          </cell>
          <cell r="D112" t="str">
            <v/>
          </cell>
          <cell r="E112" t="str">
            <v>m</v>
          </cell>
          <cell r="F112">
            <v>40</v>
          </cell>
          <cell r="G112">
            <v>70</v>
          </cell>
        </row>
        <row r="113">
          <cell r="A113" t="str">
            <v>PI 44</v>
          </cell>
          <cell r="B113" t="str">
            <v>Montagem eletromecânica de luminária 10,0m de altura, c/ fixação dos equip.e conexões elétricos</v>
          </cell>
          <cell r="C113" t="str">
            <v/>
          </cell>
          <cell r="D113" t="str">
            <v/>
          </cell>
          <cell r="E113" t="str">
            <v>un</v>
          </cell>
          <cell r="F113">
            <v>83</v>
          </cell>
          <cell r="G113">
            <v>60</v>
          </cell>
        </row>
        <row r="114">
          <cell r="A114" t="str">
            <v>PI 48</v>
          </cell>
          <cell r="B114" t="str">
            <v>Armação secundária p/ 2 estribo</v>
          </cell>
          <cell r="C114" t="str">
            <v/>
          </cell>
          <cell r="D114" t="str">
            <v/>
          </cell>
          <cell r="E114" t="str">
            <v>un</v>
          </cell>
          <cell r="F114">
            <v>58</v>
          </cell>
          <cell r="G114">
            <v>7.5</v>
          </cell>
        </row>
        <row r="115">
          <cell r="A115" t="str">
            <v>PI 49</v>
          </cell>
          <cell r="B115" t="str">
            <v>Armação secundária p/ 1 estribo</v>
          </cell>
          <cell r="C115" t="str">
            <v/>
          </cell>
          <cell r="D115" t="str">
            <v/>
          </cell>
          <cell r="E115" t="str">
            <v>un</v>
          </cell>
          <cell r="F115">
            <v>29</v>
          </cell>
          <cell r="G115">
            <v>3.5</v>
          </cell>
        </row>
        <row r="116">
          <cell r="A116" t="str">
            <v>PI 50</v>
          </cell>
          <cell r="B116" t="str">
            <v>Cabo isolado, de alumínio singelo, bitola 4 mm² - estimada</v>
          </cell>
          <cell r="C116" t="str">
            <v/>
          </cell>
          <cell r="D116" t="str">
            <v/>
          </cell>
          <cell r="E116" t="str">
            <v>m</v>
          </cell>
          <cell r="F116">
            <v>120</v>
          </cell>
          <cell r="G116">
            <v>0.35</v>
          </cell>
        </row>
        <row r="117">
          <cell r="A117" t="str">
            <v>PI 51</v>
          </cell>
          <cell r="B117" t="str">
            <v>Eletoduto de PVC corrugado tipo Kanalex ou similar, 50 mm</v>
          </cell>
          <cell r="C117" t="str">
            <v/>
          </cell>
          <cell r="D117" t="str">
            <v/>
          </cell>
          <cell r="E117" t="str">
            <v>m</v>
          </cell>
          <cell r="F117">
            <v>20</v>
          </cell>
          <cell r="G117">
            <v>3.02</v>
          </cell>
        </row>
        <row r="118">
          <cell r="A118" t="str">
            <v>PI 52</v>
          </cell>
          <cell r="B118" t="str">
            <v>Luminária IMB C-300 ou similar</v>
          </cell>
          <cell r="C118" t="str">
            <v/>
          </cell>
          <cell r="D118" t="str">
            <v/>
          </cell>
          <cell r="E118" t="str">
            <v>un</v>
          </cell>
          <cell r="F118">
            <v>4</v>
          </cell>
          <cell r="G118">
            <v>410</v>
          </cell>
        </row>
        <row r="119">
          <cell r="A119" t="str">
            <v>PI 67</v>
          </cell>
          <cell r="B119" t="str">
            <v>Cabo isolado p/ 1000 V, 2,5 mm2 de alumínio</v>
          </cell>
          <cell r="C119" t="str">
            <v/>
          </cell>
          <cell r="D119" t="str">
            <v/>
          </cell>
          <cell r="E119" t="str">
            <v>m</v>
          </cell>
          <cell r="F119">
            <v>170</v>
          </cell>
          <cell r="G119">
            <v>0.6</v>
          </cell>
        </row>
        <row r="120">
          <cell r="A120" t="str">
            <v>PI 66</v>
          </cell>
          <cell r="B120" t="str">
            <v>Cabo isolado p/ 1000 V, 6 mm2 de alumínio</v>
          </cell>
          <cell r="C120" t="str">
            <v/>
          </cell>
          <cell r="D120" t="str">
            <v/>
          </cell>
          <cell r="E120" t="str">
            <v>m</v>
          </cell>
          <cell r="F120">
            <v>40</v>
          </cell>
          <cell r="G120">
            <v>1</v>
          </cell>
        </row>
        <row r="121">
          <cell r="A121" t="str">
            <v>PI 57</v>
          </cell>
          <cell r="B121" t="str">
            <v>Lançamento de cabos em eletroduto de PVC corrugado</v>
          </cell>
          <cell r="C121" t="str">
            <v/>
          </cell>
          <cell r="D121" t="str">
            <v/>
          </cell>
          <cell r="E121" t="str">
            <v>m</v>
          </cell>
          <cell r="F121">
            <v>20</v>
          </cell>
          <cell r="G121">
            <v>3</v>
          </cell>
        </row>
        <row r="122">
          <cell r="A122" t="str">
            <v>PI 58</v>
          </cell>
          <cell r="B122" t="str">
            <v>Fixação de caixas de passagem p/ instalação aparente D=20mm</v>
          </cell>
          <cell r="C122" t="str">
            <v/>
          </cell>
          <cell r="D122" t="str">
            <v/>
          </cell>
          <cell r="E122" t="str">
            <v>un</v>
          </cell>
          <cell r="F122">
            <v>4</v>
          </cell>
          <cell r="G122">
            <v>10</v>
          </cell>
        </row>
        <row r="123">
          <cell r="A123" t="str">
            <v>PI 59</v>
          </cell>
          <cell r="B123" t="str">
            <v>Instalação de luminária blindada para lâmpada a vapor de mercúrio 250W</v>
          </cell>
          <cell r="C123" t="str">
            <v/>
          </cell>
          <cell r="D123" t="str">
            <v/>
          </cell>
          <cell r="E123" t="str">
            <v>un</v>
          </cell>
          <cell r="F123">
            <v>4</v>
          </cell>
          <cell r="G123">
            <v>20</v>
          </cell>
        </row>
        <row r="124">
          <cell r="A124" t="str">
            <v>PI 61</v>
          </cell>
          <cell r="B124" t="str">
            <v>Isolador de roldana</v>
          </cell>
          <cell r="C124" t="str">
            <v/>
          </cell>
          <cell r="D124" t="str">
            <v/>
          </cell>
          <cell r="E124" t="str">
            <v>un</v>
          </cell>
          <cell r="F124">
            <v>145</v>
          </cell>
          <cell r="G124">
            <v>4.5</v>
          </cell>
        </row>
        <row r="125">
          <cell r="A125" t="str">
            <v>PI 65</v>
          </cell>
          <cell r="B125" t="str">
            <v>Cabo de alumínio 1/0</v>
          </cell>
          <cell r="C125" t="str">
            <v/>
          </cell>
          <cell r="D125" t="str">
            <v/>
          </cell>
          <cell r="E125" t="str">
            <v>m</v>
          </cell>
          <cell r="F125">
            <v>4625</v>
          </cell>
          <cell r="G125">
            <v>1.7</v>
          </cell>
        </row>
        <row r="126">
          <cell r="A126" t="str">
            <v>R1</v>
          </cell>
          <cell r="B126" t="str">
            <v>Remanejamento de Rede de Baixa Tensão (220/380V)</v>
          </cell>
          <cell r="C126" t="str">
            <v/>
          </cell>
          <cell r="D126" t="str">
            <v/>
          </cell>
          <cell r="E126" t="str">
            <v>m</v>
          </cell>
          <cell r="F126">
            <v>180</v>
          </cell>
          <cell r="G126">
            <v>4.7</v>
          </cell>
        </row>
        <row r="127">
          <cell r="A127" t="str">
            <v>R2</v>
          </cell>
          <cell r="B127" t="str">
            <v>Remanejamento de Rede de Alta Tensão (138kV)</v>
          </cell>
          <cell r="C127" t="str">
            <v/>
          </cell>
          <cell r="D127" t="str">
            <v/>
          </cell>
          <cell r="E127" t="str">
            <v>m</v>
          </cell>
          <cell r="F127">
            <v>450</v>
          </cell>
          <cell r="G127">
            <v>6.2</v>
          </cell>
        </row>
        <row r="128">
          <cell r="A128" t="str">
            <v>R10</v>
          </cell>
          <cell r="B128" t="str">
            <v>Remanejamento de Poste de Concreto 10/150</v>
          </cell>
          <cell r="C128" t="str">
            <v/>
          </cell>
          <cell r="D128" t="str">
            <v/>
          </cell>
          <cell r="E128" t="str">
            <v>un</v>
          </cell>
          <cell r="F128">
            <v>2</v>
          </cell>
          <cell r="G128">
            <v>75</v>
          </cell>
        </row>
        <row r="129">
          <cell r="A129" t="str">
            <v>R14</v>
          </cell>
          <cell r="B129" t="str">
            <v>Remanejamento de Poste de Concreto 11/300</v>
          </cell>
          <cell r="C129" t="str">
            <v/>
          </cell>
          <cell r="D129" t="str">
            <v/>
          </cell>
          <cell r="E129" t="str">
            <v>un</v>
          </cell>
          <cell r="F129">
            <v>2</v>
          </cell>
          <cell r="G129">
            <v>75</v>
          </cell>
        </row>
        <row r="130">
          <cell r="A130" t="str">
            <v>R15</v>
          </cell>
          <cell r="B130" t="str">
            <v>Remanejamento de Poste de Concreto 11/500</v>
          </cell>
          <cell r="C130" t="str">
            <v/>
          </cell>
          <cell r="D130" t="str">
            <v/>
          </cell>
          <cell r="E130" t="str">
            <v>un</v>
          </cell>
          <cell r="F130">
            <v>2</v>
          </cell>
          <cell r="G130">
            <v>75</v>
          </cell>
        </row>
        <row r="131">
          <cell r="A131" t="str">
            <v>R17</v>
          </cell>
          <cell r="B131" t="str">
            <v>Remanejamento de Poste de Concreto 10/150 c/ 2 pétala (400W) instalado</v>
          </cell>
          <cell r="C131" t="str">
            <v/>
          </cell>
          <cell r="D131" t="str">
            <v/>
          </cell>
          <cell r="E131" t="str">
            <v>un</v>
          </cell>
          <cell r="F131">
            <v>3</v>
          </cell>
          <cell r="G131">
            <v>200</v>
          </cell>
        </row>
        <row r="132">
          <cell r="A132" t="str">
            <v>R20A</v>
          </cell>
          <cell r="B132" t="str">
            <v>Remanejamento de Poste de Concreto 11/300 c/ 3 pétalas (400W) instalado</v>
          </cell>
          <cell r="C132" t="str">
            <v/>
          </cell>
          <cell r="D132" t="str">
            <v/>
          </cell>
          <cell r="E132" t="str">
            <v>un</v>
          </cell>
          <cell r="F132">
            <v>2</v>
          </cell>
          <cell r="G132">
            <v>250</v>
          </cell>
        </row>
        <row r="133">
          <cell r="A133" t="str">
            <v>R3</v>
          </cell>
          <cell r="B133" t="str">
            <v>Remanejamento de Rede de Telefonia</v>
          </cell>
          <cell r="C133" t="str">
            <v/>
          </cell>
          <cell r="D133" t="str">
            <v/>
          </cell>
          <cell r="E133" t="str">
            <v>m</v>
          </cell>
          <cell r="F133">
            <v>360</v>
          </cell>
          <cell r="G133">
            <v>2</v>
          </cell>
        </row>
      </sheetData>
      <sheetData sheetId="15" refreshError="1">
        <row r="14">
          <cell r="A14" t="str">
            <v>01.000.00</v>
          </cell>
          <cell r="B14" t="str">
            <v>Desmatamento,destocamento e limpeza de área com árvore até 0,15m</v>
          </cell>
          <cell r="C14" t="str">
            <v>DNER-ES278/97</v>
          </cell>
          <cell r="D14" t="str">
            <v/>
          </cell>
          <cell r="E14" t="str">
            <v>m2</v>
          </cell>
          <cell r="F14">
            <v>32976</v>
          </cell>
          <cell r="G14">
            <v>7.0000000000000007E-2</v>
          </cell>
        </row>
        <row r="15">
          <cell r="A15" t="str">
            <v>01.010.00</v>
          </cell>
          <cell r="B15" t="str">
            <v>Desmatamento e destocamento árvores de 0,15m a 0,30m</v>
          </cell>
          <cell r="C15" t="str">
            <v>DNER-ES278/97</v>
          </cell>
          <cell r="D15" t="str">
            <v/>
          </cell>
          <cell r="E15" t="str">
            <v>un</v>
          </cell>
          <cell r="F15">
            <v>300</v>
          </cell>
          <cell r="G15">
            <v>8.92</v>
          </cell>
        </row>
        <row r="16">
          <cell r="A16" t="str">
            <v>01.011.00</v>
          </cell>
          <cell r="B16" t="str">
            <v>Desmatamento e destocamento árvores superior a 0,30m</v>
          </cell>
          <cell r="C16" t="str">
            <v>DNER-ES278/97</v>
          </cell>
          <cell r="D16" t="str">
            <v/>
          </cell>
          <cell r="E16" t="str">
            <v>un</v>
          </cell>
          <cell r="F16">
            <v>100</v>
          </cell>
          <cell r="G16">
            <v>26.75</v>
          </cell>
        </row>
        <row r="17">
          <cell r="A17" t="str">
            <v>01.100.09</v>
          </cell>
          <cell r="B17" t="str">
            <v>Escavação,carga e transportes de material de 1a categoria DMT= 50 a 200m</v>
          </cell>
          <cell r="C17" t="str">
            <v>DNER-ES280/97</v>
          </cell>
          <cell r="D17" t="str">
            <v/>
          </cell>
          <cell r="E17" t="str">
            <v>m3</v>
          </cell>
          <cell r="F17">
            <v>1549</v>
          </cell>
          <cell r="G17">
            <v>1.89</v>
          </cell>
        </row>
        <row r="18">
          <cell r="A18" t="str">
            <v>01.100.10</v>
          </cell>
          <cell r="B18" t="str">
            <v>Escavação,carga e transportes de material de 1a categoria DMT= 200 a 400m</v>
          </cell>
          <cell r="C18" t="str">
            <v>DNER-ES280/97</v>
          </cell>
          <cell r="D18" t="str">
            <v/>
          </cell>
          <cell r="E18" t="str">
            <v>m3</v>
          </cell>
          <cell r="F18">
            <v>1285</v>
          </cell>
          <cell r="G18">
            <v>1.98</v>
          </cell>
        </row>
        <row r="19">
          <cell r="A19" t="str">
            <v>01.100.11</v>
          </cell>
          <cell r="B19" t="str">
            <v>Escavação,carga e transportes de material de 1a categoria DMT= 400 a 600m</v>
          </cell>
          <cell r="C19" t="str">
            <v>DNER-ES280/97</v>
          </cell>
          <cell r="D19" t="str">
            <v/>
          </cell>
          <cell r="E19" t="str">
            <v>m3</v>
          </cell>
          <cell r="F19">
            <v>1718</v>
          </cell>
          <cell r="G19">
            <v>2.12</v>
          </cell>
        </row>
        <row r="20">
          <cell r="A20" t="str">
            <v>DER50290</v>
          </cell>
          <cell r="B20" t="str">
            <v>Esc.  Carga e Transp. de mat. 1a cat. c/ CB 8000&lt;DMT&lt;9000m</v>
          </cell>
          <cell r="C20" t="str">
            <v/>
          </cell>
          <cell r="D20" t="str">
            <v/>
          </cell>
          <cell r="E20" t="str">
            <v>m3</v>
          </cell>
          <cell r="F20">
            <v>49008</v>
          </cell>
          <cell r="G20">
            <v>5.79</v>
          </cell>
        </row>
        <row r="21">
          <cell r="A21" t="str">
            <v>DER50300</v>
          </cell>
          <cell r="B21" t="str">
            <v>Esc.  Carga e Transp. de mat. 1a cat. c/ CB 9000&lt;DMT&lt;10000m</v>
          </cell>
          <cell r="C21" t="str">
            <v/>
          </cell>
          <cell r="D21" t="str">
            <v/>
          </cell>
          <cell r="E21" t="str">
            <v>m3</v>
          </cell>
          <cell r="F21">
            <v>6244</v>
          </cell>
          <cell r="G21">
            <v>6.3</v>
          </cell>
        </row>
        <row r="22">
          <cell r="A22" t="str">
            <v>DER51280</v>
          </cell>
          <cell r="B22" t="str">
            <v>Escavação,carga e transportes de material de 2a categoria DMT 8000 a 9000m</v>
          </cell>
          <cell r="C22" t="str">
            <v/>
          </cell>
          <cell r="D22" t="str">
            <v/>
          </cell>
          <cell r="E22" t="str">
            <v>m3</v>
          </cell>
          <cell r="F22">
            <v>32672</v>
          </cell>
          <cell r="G22">
            <v>7.48</v>
          </cell>
        </row>
        <row r="23">
          <cell r="A23" t="str">
            <v>DER51290</v>
          </cell>
          <cell r="B23" t="str">
            <v>Escavação,carga e transportes de material de 2a categoria DMT 9000 a 10000m</v>
          </cell>
          <cell r="C23" t="str">
            <v/>
          </cell>
          <cell r="D23" t="str">
            <v/>
          </cell>
          <cell r="E23" t="str">
            <v>m3</v>
          </cell>
          <cell r="F23">
            <v>4162</v>
          </cell>
          <cell r="G23">
            <v>8.11</v>
          </cell>
        </row>
        <row r="24">
          <cell r="A24" t="str">
            <v>01.510.00</v>
          </cell>
          <cell r="B24" t="str">
            <v>Compactação de aterros a 95% Proctor Normal</v>
          </cell>
          <cell r="C24" t="str">
            <v>DNER-ES282/97</v>
          </cell>
          <cell r="D24" t="str">
            <v/>
          </cell>
          <cell r="E24" t="str">
            <v>m3</v>
          </cell>
          <cell r="F24">
            <v>71860</v>
          </cell>
          <cell r="G24">
            <v>0.79</v>
          </cell>
        </row>
        <row r="25">
          <cell r="A25" t="str">
            <v>01.511.00</v>
          </cell>
          <cell r="B25" t="str">
            <v>Compactação de aterros a 100% Proctor Normal</v>
          </cell>
          <cell r="C25" t="str">
            <v>DNER-ES282/97</v>
          </cell>
          <cell r="D25" t="str">
            <v/>
          </cell>
          <cell r="E25" t="str">
            <v>m3</v>
          </cell>
          <cell r="F25">
            <v>8672</v>
          </cell>
          <cell r="G25">
            <v>1.36</v>
          </cell>
        </row>
        <row r="26">
          <cell r="F26" t="str">
            <v>SUB-TOTAL</v>
          </cell>
        </row>
        <row r="28">
          <cell r="B28" t="str">
            <v>PAVIMENTAÇÃO</v>
          </cell>
        </row>
        <row r="29">
          <cell r="A29" t="str">
            <v>02.000.00</v>
          </cell>
          <cell r="B29" t="str">
            <v>Regularização do subleito</v>
          </cell>
          <cell r="C29" t="str">
            <v/>
          </cell>
          <cell r="D29" t="str">
            <v/>
          </cell>
          <cell r="E29" t="str">
            <v>m2</v>
          </cell>
          <cell r="F29">
            <v>40505</v>
          </cell>
          <cell r="G29">
            <v>0.3</v>
          </cell>
        </row>
        <row r="30">
          <cell r="A30" t="str">
            <v>DER53130</v>
          </cell>
          <cell r="B30" t="str">
            <v>Camada de macadame seco</v>
          </cell>
          <cell r="C30" t="str">
            <v/>
          </cell>
          <cell r="D30" t="str">
            <v/>
          </cell>
          <cell r="E30" t="str">
            <v>m3</v>
          </cell>
          <cell r="F30">
            <v>7888</v>
          </cell>
          <cell r="G30">
            <v>21.86</v>
          </cell>
        </row>
        <row r="31">
          <cell r="A31" t="str">
            <v>02.230.00</v>
          </cell>
          <cell r="B31" t="str">
            <v>Base brita graduada</v>
          </cell>
          <cell r="C31" t="str">
            <v>DNER-ES303/97</v>
          </cell>
          <cell r="D31" t="str">
            <v/>
          </cell>
          <cell r="E31" t="str">
            <v>m3</v>
          </cell>
          <cell r="F31">
            <v>5636</v>
          </cell>
          <cell r="G31">
            <v>28.06</v>
          </cell>
        </row>
        <row r="32">
          <cell r="A32" t="str">
            <v>02.300.00</v>
          </cell>
          <cell r="B32" t="str">
            <v>Imprimação - Fornecimento, transporte e execução</v>
          </cell>
          <cell r="C32" t="str">
            <v>DNER-ES306/97</v>
          </cell>
          <cell r="D32" t="str">
            <v/>
          </cell>
          <cell r="E32" t="str">
            <v>m2</v>
          </cell>
          <cell r="F32">
            <v>36771</v>
          </cell>
          <cell r="G32">
            <v>1.1100000000000001</v>
          </cell>
        </row>
        <row r="33">
          <cell r="A33" t="str">
            <v>02.400.00</v>
          </cell>
          <cell r="B33" t="str">
            <v>Pintura de ligação - Fornec., transporte e execução</v>
          </cell>
          <cell r="C33" t="str">
            <v>DNER-ES307/97</v>
          </cell>
          <cell r="D33" t="str">
            <v/>
          </cell>
          <cell r="E33" t="str">
            <v>m2</v>
          </cell>
          <cell r="F33">
            <v>95149</v>
          </cell>
          <cell r="G33">
            <v>0.41</v>
          </cell>
        </row>
        <row r="34">
          <cell r="A34" t="str">
            <v>02.540.01</v>
          </cell>
          <cell r="B34" t="str">
            <v>Concreto betuminoso usinado a quente - usina 100/140 t/h</v>
          </cell>
          <cell r="C34" t="str">
            <v>DNER-ES313/97</v>
          </cell>
          <cell r="D34" t="str">
            <v/>
          </cell>
          <cell r="E34" t="str">
            <v>t</v>
          </cell>
          <cell r="F34">
            <v>11655</v>
          </cell>
          <cell r="G34">
            <v>67.64</v>
          </cell>
        </row>
        <row r="35">
          <cell r="A35" t="str">
            <v>DER82200a</v>
          </cell>
          <cell r="B35" t="str">
            <v>Remoção de camada granular</v>
          </cell>
          <cell r="C35" t="str">
            <v/>
          </cell>
          <cell r="D35" t="str">
            <v/>
          </cell>
          <cell r="E35" t="str">
            <v>m3</v>
          </cell>
          <cell r="F35">
            <v>1540</v>
          </cell>
          <cell r="G35">
            <v>4.67</v>
          </cell>
        </row>
        <row r="36">
          <cell r="A36" t="str">
            <v>DER82200</v>
          </cell>
          <cell r="B36" t="str">
            <v>Remoção de revestimento de CBUQ</v>
          </cell>
          <cell r="C36" t="str">
            <v/>
          </cell>
          <cell r="D36" t="str">
            <v/>
          </cell>
          <cell r="E36" t="str">
            <v>m3</v>
          </cell>
          <cell r="F36">
            <v>1540</v>
          </cell>
          <cell r="G36">
            <v>5.73</v>
          </cell>
        </row>
        <row r="37">
          <cell r="F37" t="str">
            <v>SUB-TOTAL</v>
          </cell>
        </row>
        <row r="39">
          <cell r="B39" t="str">
            <v>DRENAGEM</v>
          </cell>
        </row>
        <row r="40">
          <cell r="A40" t="str">
            <v>04.000.00</v>
          </cell>
          <cell r="B40" t="str">
            <v>Escavação manual em material de 1a categoria</v>
          </cell>
          <cell r="C40" t="str">
            <v/>
          </cell>
          <cell r="D40" t="str">
            <v/>
          </cell>
          <cell r="E40" t="str">
            <v>m3</v>
          </cell>
          <cell r="F40">
            <v>86</v>
          </cell>
          <cell r="G40">
            <v>17.57</v>
          </cell>
        </row>
        <row r="41">
          <cell r="A41" t="str">
            <v>04.001.00</v>
          </cell>
          <cell r="B41" t="str">
            <v>Escavação mecânica em material de 1a categoria</v>
          </cell>
          <cell r="C41" t="str">
            <v/>
          </cell>
          <cell r="D41" t="str">
            <v/>
          </cell>
          <cell r="E41" t="str">
            <v>m3</v>
          </cell>
          <cell r="F41">
            <v>378</v>
          </cell>
          <cell r="G41">
            <v>2.09</v>
          </cell>
        </row>
        <row r="42">
          <cell r="A42" t="str">
            <v>04.001.01</v>
          </cell>
          <cell r="B42" t="str">
            <v>Escavação mecânica,reaterro e compactação (material de 1a categoria)</v>
          </cell>
          <cell r="C42" t="str">
            <v/>
          </cell>
          <cell r="D42" t="str">
            <v/>
          </cell>
          <cell r="E42" t="str">
            <v>m3</v>
          </cell>
          <cell r="F42">
            <v>543</v>
          </cell>
          <cell r="G42">
            <v>3.03</v>
          </cell>
        </row>
        <row r="43">
          <cell r="A43" t="str">
            <v>04.401.01</v>
          </cell>
          <cell r="B43" t="str">
            <v>Valeta de prot. de aterro c/ revest. vegetal VPA 01</v>
          </cell>
          <cell r="C43" t="str">
            <v/>
          </cell>
          <cell r="D43" t="str">
            <v/>
          </cell>
          <cell r="E43" t="str">
            <v>m</v>
          </cell>
          <cell r="F43">
            <v>1683</v>
          </cell>
          <cell r="G43">
            <v>31.98</v>
          </cell>
        </row>
        <row r="44">
          <cell r="A44" t="str">
            <v>04.510.03</v>
          </cell>
          <cell r="B44" t="str">
            <v>Dreno sub- superficial- DSS 03</v>
          </cell>
          <cell r="C44" t="str">
            <v>DNER-ES294/97</v>
          </cell>
          <cell r="D44" t="str">
            <v/>
          </cell>
          <cell r="E44" t="str">
            <v>m</v>
          </cell>
          <cell r="F44">
            <v>115</v>
          </cell>
          <cell r="G44">
            <v>3.71</v>
          </cell>
        </row>
        <row r="45">
          <cell r="A45" t="str">
            <v>04.511.01</v>
          </cell>
          <cell r="B45" t="str">
            <v>Boca de saída p/ dreno sub-superficial-BSD 03</v>
          </cell>
          <cell r="C45" t="str">
            <v/>
          </cell>
          <cell r="D45" t="str">
            <v/>
          </cell>
          <cell r="E45" t="str">
            <v>un</v>
          </cell>
          <cell r="F45">
            <v>6</v>
          </cell>
          <cell r="G45">
            <v>20.86</v>
          </cell>
        </row>
        <row r="46">
          <cell r="A46" t="str">
            <v>04.900.21</v>
          </cell>
          <cell r="B46" t="str">
            <v>Sarjeta de cant. central de concreto-SCC 01</v>
          </cell>
          <cell r="C46" t="str">
            <v>DNER-ES288/97</v>
          </cell>
          <cell r="D46" t="str">
            <v/>
          </cell>
          <cell r="E46" t="str">
            <v>m</v>
          </cell>
          <cell r="F46">
            <v>1694</v>
          </cell>
          <cell r="G46">
            <v>13.85</v>
          </cell>
        </row>
        <row r="47">
          <cell r="A47" t="str">
            <v>04.900.22</v>
          </cell>
          <cell r="B47" t="str">
            <v>Sarjeta de cant. central de concreto-SCC 02</v>
          </cell>
          <cell r="C47" t="str">
            <v>DNER-ES288/97</v>
          </cell>
          <cell r="D47" t="str">
            <v/>
          </cell>
          <cell r="E47" t="str">
            <v>m</v>
          </cell>
          <cell r="F47">
            <v>616</v>
          </cell>
          <cell r="G47">
            <v>19.170000000000002</v>
          </cell>
        </row>
        <row r="48">
          <cell r="A48" t="str">
            <v>04.910.05</v>
          </cell>
          <cell r="B48" t="str">
            <v>Meio-fio de concreto-MFC 05</v>
          </cell>
          <cell r="C48" t="str">
            <v>DNER-ES290/97</v>
          </cell>
          <cell r="D48" t="str">
            <v/>
          </cell>
          <cell r="E48" t="str">
            <v>m</v>
          </cell>
          <cell r="F48">
            <v>132</v>
          </cell>
          <cell r="G48">
            <v>10.54</v>
          </cell>
        </row>
        <row r="49">
          <cell r="A49" t="str">
            <v>DER78150b</v>
          </cell>
          <cell r="B49" t="str">
            <v>Caixa coletora de sarjeta - CCS, D=40cm E H=1,00m</v>
          </cell>
          <cell r="C49" t="str">
            <v/>
          </cell>
          <cell r="D49" t="str">
            <v/>
          </cell>
          <cell r="E49" t="str">
            <v>un</v>
          </cell>
          <cell r="F49">
            <v>3</v>
          </cell>
          <cell r="G49">
            <v>382.07</v>
          </cell>
        </row>
        <row r="50">
          <cell r="A50" t="str">
            <v>DER78150c</v>
          </cell>
          <cell r="B50" t="str">
            <v>Caixa coletora de sarjeta - CCS, D=40cm E H=1,50m</v>
          </cell>
          <cell r="C50" t="str">
            <v/>
          </cell>
          <cell r="D50" t="str">
            <v/>
          </cell>
          <cell r="E50" t="str">
            <v>un</v>
          </cell>
          <cell r="F50">
            <v>1</v>
          </cell>
          <cell r="G50">
            <v>503.68</v>
          </cell>
        </row>
        <row r="51">
          <cell r="A51" t="str">
            <v>DER78150</v>
          </cell>
          <cell r="B51" t="str">
            <v>Caixa coletora de sarjeta - CCS, D=60cm e H = 1,00m</v>
          </cell>
          <cell r="C51" t="str">
            <v/>
          </cell>
          <cell r="D51" t="str">
            <v/>
          </cell>
          <cell r="E51" t="str">
            <v>un</v>
          </cell>
          <cell r="F51">
            <v>1</v>
          </cell>
          <cell r="G51">
            <v>313.7</v>
          </cell>
        </row>
        <row r="52">
          <cell r="A52" t="str">
            <v>04.930.01</v>
          </cell>
          <cell r="B52" t="str">
            <v>Caixa coletora de sarjeta-CCS 01</v>
          </cell>
          <cell r="C52" t="str">
            <v>DNER-ES287/97</v>
          </cell>
          <cell r="D52" t="str">
            <v/>
          </cell>
          <cell r="E52" t="str">
            <v>un</v>
          </cell>
          <cell r="F52">
            <v>1</v>
          </cell>
          <cell r="G52">
            <v>568.85</v>
          </cell>
        </row>
        <row r="53">
          <cell r="A53" t="str">
            <v>04.930.02</v>
          </cell>
          <cell r="B53" t="str">
            <v>Caixa coletora de sarjeta-CCS 02</v>
          </cell>
          <cell r="C53" t="str">
            <v>DNER-ES287/97</v>
          </cell>
          <cell r="D53" t="str">
            <v/>
          </cell>
          <cell r="E53" t="str">
            <v>un</v>
          </cell>
          <cell r="F53">
            <v>1</v>
          </cell>
          <cell r="G53">
            <v>555.63</v>
          </cell>
        </row>
        <row r="54">
          <cell r="A54" t="str">
            <v>P 04.100.08</v>
          </cell>
          <cell r="B54" t="str">
            <v>Execução de galerias D=0,40 c/ lastro de concreto</v>
          </cell>
          <cell r="C54" t="str">
            <v/>
          </cell>
          <cell r="D54" t="str">
            <v/>
          </cell>
          <cell r="E54" t="str">
            <v>m</v>
          </cell>
          <cell r="F54">
            <v>28</v>
          </cell>
          <cell r="G54">
            <v>58.65</v>
          </cell>
        </row>
        <row r="55">
          <cell r="A55" t="str">
            <v>P 04.100.10</v>
          </cell>
          <cell r="B55" t="str">
            <v>Execução de galerias D=0,60 c/ lastro de concreto</v>
          </cell>
          <cell r="C55" t="str">
            <v/>
          </cell>
          <cell r="D55" t="str">
            <v/>
          </cell>
          <cell r="E55" t="str">
            <v>m</v>
          </cell>
          <cell r="F55">
            <v>70</v>
          </cell>
          <cell r="G55">
            <v>131.66</v>
          </cell>
        </row>
        <row r="56">
          <cell r="A56" t="str">
            <v>P 04.100.40</v>
          </cell>
          <cell r="B56" t="str">
            <v>Execução de galerias D=0,80m c/ lastro de concreto</v>
          </cell>
          <cell r="C56" t="str">
            <v/>
          </cell>
          <cell r="D56" t="str">
            <v/>
          </cell>
          <cell r="E56" t="str">
            <v>m</v>
          </cell>
          <cell r="F56">
            <v>12</v>
          </cell>
          <cell r="G56">
            <v>197.36</v>
          </cell>
        </row>
        <row r="57">
          <cell r="A57" t="str">
            <v>DER72350b</v>
          </cell>
          <cell r="B57" t="str">
            <v>Boca para BSTC D=40cm - Normal</v>
          </cell>
          <cell r="C57" t="str">
            <v/>
          </cell>
          <cell r="D57" t="str">
            <v/>
          </cell>
          <cell r="E57" t="str">
            <v>un</v>
          </cell>
          <cell r="F57">
            <v>3</v>
          </cell>
          <cell r="G57">
            <v>147.57</v>
          </cell>
        </row>
        <row r="58">
          <cell r="A58" t="str">
            <v>04.101.01</v>
          </cell>
          <cell r="B58" t="str">
            <v>Boca de BSTC D=0.60m-normal</v>
          </cell>
          <cell r="C58" t="str">
            <v>DNER-ES284/97</v>
          </cell>
          <cell r="D58" t="str">
            <v/>
          </cell>
          <cell r="E58" t="str">
            <v>un</v>
          </cell>
          <cell r="F58">
            <v>2</v>
          </cell>
          <cell r="G58">
            <v>299.62</v>
          </cell>
        </row>
        <row r="59">
          <cell r="A59" t="str">
            <v>P 04.100.06</v>
          </cell>
          <cell r="B59" t="str">
            <v>Galeria D=0,40m envelopada</v>
          </cell>
          <cell r="C59" t="str">
            <v/>
          </cell>
          <cell r="D59" t="str">
            <v/>
          </cell>
          <cell r="E59" t="str">
            <v>m</v>
          </cell>
          <cell r="F59">
            <v>40</v>
          </cell>
          <cell r="G59">
            <v>103.37</v>
          </cell>
        </row>
        <row r="60">
          <cell r="F60" t="str">
            <v>SUB-TOTAL</v>
          </cell>
        </row>
        <row r="62">
          <cell r="B62" t="str">
            <v>OBRAS DE ARTE CORRENTES</v>
          </cell>
        </row>
        <row r="63">
          <cell r="A63" t="str">
            <v>04.001.01</v>
          </cell>
          <cell r="B63" t="str">
            <v>Escavação mecânica,reaterro e compactação (material de 1a categoria)</v>
          </cell>
          <cell r="C63" t="str">
            <v/>
          </cell>
          <cell r="D63" t="str">
            <v/>
          </cell>
          <cell r="E63" t="str">
            <v>m3</v>
          </cell>
          <cell r="F63">
            <v>2170.4</v>
          </cell>
          <cell r="G63">
            <v>3.03</v>
          </cell>
        </row>
        <row r="64">
          <cell r="A64" t="str">
            <v>DER66050</v>
          </cell>
          <cell r="B64" t="str">
            <v>Corpo de BSTC D=50cm c/ lastro de brita</v>
          </cell>
          <cell r="C64" t="str">
            <v/>
          </cell>
          <cell r="D64" t="str">
            <v/>
          </cell>
          <cell r="E64" t="str">
            <v>m</v>
          </cell>
          <cell r="F64">
            <v>27</v>
          </cell>
          <cell r="G64">
            <v>54.42</v>
          </cell>
        </row>
        <row r="65">
          <cell r="A65" t="str">
            <v>04.100.02</v>
          </cell>
          <cell r="B65" t="str">
            <v>Corpo de BSTC D=0.80m</v>
          </cell>
          <cell r="C65" t="str">
            <v>DNER-ES284/97</v>
          </cell>
          <cell r="D65" t="str">
            <v/>
          </cell>
          <cell r="E65" t="str">
            <v xml:space="preserve">m </v>
          </cell>
          <cell r="F65">
            <v>113</v>
          </cell>
          <cell r="G65">
            <v>201.98</v>
          </cell>
        </row>
        <row r="66">
          <cell r="A66" t="str">
            <v>DER72350a</v>
          </cell>
          <cell r="B66" t="str">
            <v>Boca para BSTC D=50cm - Normal</v>
          </cell>
          <cell r="C66" t="str">
            <v/>
          </cell>
          <cell r="D66" t="str">
            <v/>
          </cell>
          <cell r="E66" t="str">
            <v>un</v>
          </cell>
          <cell r="F66">
            <v>1</v>
          </cell>
          <cell r="G66">
            <v>157.56</v>
          </cell>
        </row>
        <row r="67">
          <cell r="A67" t="str">
            <v>04.101.02</v>
          </cell>
          <cell r="B67" t="str">
            <v>Boca de BSTC D=0.80m-normal</v>
          </cell>
          <cell r="C67" t="str">
            <v>DNER-ES284/97</v>
          </cell>
          <cell r="D67" t="str">
            <v/>
          </cell>
          <cell r="E67" t="str">
            <v>un</v>
          </cell>
          <cell r="F67">
            <v>4</v>
          </cell>
          <cell r="G67">
            <v>494.05</v>
          </cell>
        </row>
        <row r="68">
          <cell r="A68" t="str">
            <v>04.101.05</v>
          </cell>
          <cell r="B68" t="str">
            <v>Boca de BSTC D=1.50m-normal</v>
          </cell>
          <cell r="C68" t="str">
            <v>DNER-ES284/97</v>
          </cell>
          <cell r="D68" t="str">
            <v/>
          </cell>
          <cell r="E68" t="str">
            <v>un</v>
          </cell>
          <cell r="F68">
            <v>2</v>
          </cell>
          <cell r="G68">
            <v>1942.12</v>
          </cell>
        </row>
        <row r="69">
          <cell r="A69" t="str">
            <v>04.110.01</v>
          </cell>
          <cell r="B69" t="str">
            <v>Corpo de BDTC D=1.00m</v>
          </cell>
          <cell r="C69" t="str">
            <v>DNER-ES284/97</v>
          </cell>
          <cell r="D69" t="str">
            <v/>
          </cell>
          <cell r="E69" t="str">
            <v>m</v>
          </cell>
          <cell r="F69">
            <v>118</v>
          </cell>
          <cell r="G69">
            <v>572.14</v>
          </cell>
        </row>
        <row r="70">
          <cell r="A70" t="str">
            <v>04.111.01</v>
          </cell>
          <cell r="B70" t="str">
            <v>Boca de BDTC D=1.00m-normal</v>
          </cell>
          <cell r="C70" t="str">
            <v>DNER-ES284/97</v>
          </cell>
          <cell r="D70" t="str">
            <v/>
          </cell>
          <cell r="E70" t="str">
            <v>un</v>
          </cell>
          <cell r="F70">
            <v>4</v>
          </cell>
          <cell r="G70">
            <v>1056.6199999999999</v>
          </cell>
        </row>
        <row r="71">
          <cell r="A71" t="str">
            <v>DER67700</v>
          </cell>
          <cell r="B71" t="str">
            <v>Corpo de BTTC D=0.80m c/enrocamento e laje</v>
          </cell>
          <cell r="C71" t="str">
            <v/>
          </cell>
          <cell r="D71" t="str">
            <v/>
          </cell>
          <cell r="E71" t="str">
            <v>m</v>
          </cell>
          <cell r="F71">
            <v>51</v>
          </cell>
          <cell r="G71">
            <v>599.96</v>
          </cell>
        </row>
        <row r="72">
          <cell r="A72" t="str">
            <v>DER73550</v>
          </cell>
          <cell r="B72" t="str">
            <v>Boca de BTTC D=0,80m-normal</v>
          </cell>
          <cell r="C72" t="str">
            <v/>
          </cell>
          <cell r="D72" t="str">
            <v/>
          </cell>
          <cell r="E72" t="str">
            <v>un</v>
          </cell>
          <cell r="F72">
            <v>2</v>
          </cell>
          <cell r="G72">
            <v>685.42</v>
          </cell>
        </row>
        <row r="73">
          <cell r="A73" t="str">
            <v>04.999.01</v>
          </cell>
          <cell r="B73" t="str">
            <v>Remoção de bueiros existentes</v>
          </cell>
          <cell r="C73" t="str">
            <v/>
          </cell>
          <cell r="D73" t="str">
            <v/>
          </cell>
          <cell r="E73" t="str">
            <v>m</v>
          </cell>
          <cell r="F73">
            <v>143</v>
          </cell>
          <cell r="G73">
            <v>13.06</v>
          </cell>
        </row>
        <row r="74">
          <cell r="A74" t="str">
            <v>04.999.02</v>
          </cell>
          <cell r="B74" t="str">
            <v>Demolição de dispositivos de concreto</v>
          </cell>
          <cell r="C74" t="str">
            <v>DNER-ES296/97</v>
          </cell>
          <cell r="D74" t="str">
            <v/>
          </cell>
          <cell r="E74" t="str">
            <v>m3</v>
          </cell>
          <cell r="F74">
            <v>48.8</v>
          </cell>
          <cell r="G74">
            <v>12.58</v>
          </cell>
        </row>
        <row r="75">
          <cell r="A75" t="str">
            <v>P 04.100.23</v>
          </cell>
          <cell r="B75" t="str">
            <v>Bueiro Met.Corrug.circular, T.Armco,  c/Epoxy-bonded, MP-100, D=1,50 m, E=2,0mm</v>
          </cell>
          <cell r="C75" t="str">
            <v/>
          </cell>
          <cell r="D75" t="str">
            <v/>
          </cell>
          <cell r="E75" t="str">
            <v>m</v>
          </cell>
          <cell r="F75">
            <v>60</v>
          </cell>
          <cell r="G75">
            <v>510.8</v>
          </cell>
        </row>
        <row r="76">
          <cell r="F76" t="str">
            <v>SUB-TOTAL</v>
          </cell>
        </row>
        <row r="78">
          <cell r="B78" t="str">
            <v>OBRAS DE ARTE ESPECIAIS</v>
          </cell>
        </row>
        <row r="79">
          <cell r="B79" t="str">
            <v>(Quatro tabuleiros)</v>
          </cell>
        </row>
        <row r="80">
          <cell r="B80" t="str">
            <v>Infra e Mesoestrutura</v>
          </cell>
        </row>
        <row r="81">
          <cell r="A81" t="str">
            <v>03.000.02</v>
          </cell>
          <cell r="B81" t="str">
            <v>Escavação manual de cavas em mat. 1a  categoria</v>
          </cell>
          <cell r="C81" t="str">
            <v/>
          </cell>
          <cell r="D81" t="str">
            <v/>
          </cell>
          <cell r="E81" t="str">
            <v>m3</v>
          </cell>
          <cell r="F81">
            <v>65</v>
          </cell>
          <cell r="G81">
            <v>19.760000000000002</v>
          </cell>
        </row>
        <row r="82">
          <cell r="A82" t="str">
            <v>OAE5</v>
          </cell>
          <cell r="B82" t="str">
            <v>Estaca metálica - tipo CS 300 x 130 - Fornecimento e cravação</v>
          </cell>
          <cell r="C82" t="str">
            <v/>
          </cell>
          <cell r="D82" t="str">
            <v/>
          </cell>
          <cell r="E82" t="str">
            <v>m</v>
          </cell>
          <cell r="F82">
            <v>480</v>
          </cell>
          <cell r="G82">
            <v>176.68</v>
          </cell>
        </row>
        <row r="83">
          <cell r="A83" t="str">
            <v>03.371.01</v>
          </cell>
          <cell r="B83" t="str">
            <v>Formas de placa compensada resinada</v>
          </cell>
          <cell r="C83" t="str">
            <v/>
          </cell>
          <cell r="D83" t="str">
            <v/>
          </cell>
          <cell r="E83" t="str">
            <v>m2</v>
          </cell>
          <cell r="F83">
            <v>284</v>
          </cell>
          <cell r="G83">
            <v>21.86</v>
          </cell>
        </row>
        <row r="84">
          <cell r="A84" t="str">
            <v>03.353.00</v>
          </cell>
          <cell r="B84" t="str">
            <v>Forn., preparo e colocação nas formas, de aço CA-50</v>
          </cell>
          <cell r="C84" t="str">
            <v/>
          </cell>
          <cell r="D84" t="str">
            <v/>
          </cell>
          <cell r="E84" t="str">
            <v>kg</v>
          </cell>
          <cell r="F84">
            <v>7377</v>
          </cell>
          <cell r="G84">
            <v>2.59</v>
          </cell>
        </row>
        <row r="85">
          <cell r="A85" t="str">
            <v>P 03.327.01</v>
          </cell>
          <cell r="B85" t="str">
            <v xml:space="preserve">Concreto fck= 25 MPa-contr. raz. uso ger. </v>
          </cell>
          <cell r="C85" t="str">
            <v/>
          </cell>
          <cell r="D85" t="str">
            <v/>
          </cell>
          <cell r="E85" t="str">
            <v>m3</v>
          </cell>
          <cell r="F85">
            <v>99</v>
          </cell>
          <cell r="G85">
            <v>163.22</v>
          </cell>
        </row>
        <row r="86">
          <cell r="B86" t="str">
            <v>Superestrutura</v>
          </cell>
        </row>
        <row r="87">
          <cell r="A87" t="str">
            <v>03.371.02</v>
          </cell>
          <cell r="B87" t="str">
            <v>Formas de placa compensada plastificada</v>
          </cell>
          <cell r="C87" t="str">
            <v/>
          </cell>
          <cell r="D87" t="str">
            <v/>
          </cell>
          <cell r="E87" t="str">
            <v>m2</v>
          </cell>
          <cell r="F87">
            <v>2564</v>
          </cell>
          <cell r="G87">
            <v>30.76</v>
          </cell>
        </row>
        <row r="88">
          <cell r="A88" t="str">
            <v>03.353.00</v>
          </cell>
          <cell r="B88" t="str">
            <v>Forn., preparo e colocação nas formas, de aço CA-50</v>
          </cell>
          <cell r="C88" t="str">
            <v/>
          </cell>
          <cell r="D88" t="str">
            <v/>
          </cell>
          <cell r="E88" t="str">
            <v>kg</v>
          </cell>
          <cell r="F88">
            <v>71840</v>
          </cell>
          <cell r="G88">
            <v>2.59</v>
          </cell>
        </row>
        <row r="89">
          <cell r="A89" t="str">
            <v>OAE17</v>
          </cell>
          <cell r="B89" t="str">
            <v>Transporte e lançamento de pré-lages</v>
          </cell>
          <cell r="C89" t="str">
            <v/>
          </cell>
          <cell r="D89" t="str">
            <v/>
          </cell>
          <cell r="E89" t="str">
            <v>un</v>
          </cell>
          <cell r="F89">
            <v>684</v>
          </cell>
          <cell r="G89">
            <v>23.47</v>
          </cell>
        </row>
        <row r="90">
          <cell r="A90" t="str">
            <v>OAE18</v>
          </cell>
          <cell r="B90" t="str">
            <v>Transporte e lançamento de vigas pré-moldadas</v>
          </cell>
          <cell r="C90" t="str">
            <v/>
          </cell>
          <cell r="D90" t="str">
            <v/>
          </cell>
          <cell r="E90" t="str">
            <v>un</v>
          </cell>
          <cell r="F90">
            <v>40</v>
          </cell>
          <cell r="G90">
            <v>1281.27</v>
          </cell>
        </row>
        <row r="91">
          <cell r="A91" t="str">
            <v>03.330.00</v>
          </cell>
          <cell r="B91" t="str">
            <v>Concreto fck= 35 MPa-contr. raz. uso ger.</v>
          </cell>
          <cell r="C91" t="str">
            <v/>
          </cell>
          <cell r="D91" t="str">
            <v/>
          </cell>
          <cell r="E91" t="str">
            <v>m3</v>
          </cell>
          <cell r="F91">
            <v>378</v>
          </cell>
          <cell r="G91">
            <v>166.78</v>
          </cell>
        </row>
        <row r="92">
          <cell r="B92" t="str">
            <v>Diversos</v>
          </cell>
        </row>
        <row r="93">
          <cell r="B93" t="str">
            <v>Barreiras de segurança (C.A.) Tipo New Jersey (156 m)</v>
          </cell>
        </row>
        <row r="94">
          <cell r="A94" t="str">
            <v>03.371.00</v>
          </cell>
          <cell r="B94" t="str">
            <v>Formas de madeira compensada</v>
          </cell>
          <cell r="C94" t="str">
            <v/>
          </cell>
          <cell r="D94" t="str">
            <v/>
          </cell>
          <cell r="E94" t="str">
            <v>m2</v>
          </cell>
          <cell r="F94">
            <v>280</v>
          </cell>
          <cell r="G94">
            <v>21.86</v>
          </cell>
        </row>
        <row r="95">
          <cell r="A95" t="str">
            <v>03.353.00</v>
          </cell>
          <cell r="B95" t="str">
            <v>Forn., preparo e colocação nas formas, de aço CA-50</v>
          </cell>
          <cell r="C95" t="str">
            <v/>
          </cell>
          <cell r="D95" t="str">
            <v/>
          </cell>
          <cell r="E95" t="str">
            <v>kg</v>
          </cell>
          <cell r="F95">
            <v>2328</v>
          </cell>
          <cell r="G95">
            <v>2.59</v>
          </cell>
        </row>
        <row r="96">
          <cell r="A96" t="str">
            <v>P 03.327.01</v>
          </cell>
          <cell r="B96" t="str">
            <v xml:space="preserve">Concreto fck= 25 MPa-contr. raz. uso ger. </v>
          </cell>
          <cell r="C96" t="str">
            <v/>
          </cell>
          <cell r="D96" t="str">
            <v/>
          </cell>
          <cell r="E96" t="str">
            <v>m3</v>
          </cell>
          <cell r="F96">
            <v>36</v>
          </cell>
          <cell r="G96">
            <v>163.22</v>
          </cell>
        </row>
        <row r="97">
          <cell r="B97" t="str">
            <v>Placas de aproximação( 04 unidades) (dimensão 4,0m x 11,2m x 0,3m)</v>
          </cell>
        </row>
        <row r="98">
          <cell r="A98" t="str">
            <v>03.371.00</v>
          </cell>
          <cell r="B98" t="str">
            <v>Formas de madeira compensada</v>
          </cell>
          <cell r="C98" t="str">
            <v/>
          </cell>
          <cell r="D98" t="str">
            <v/>
          </cell>
          <cell r="E98" t="str">
            <v>m2</v>
          </cell>
          <cell r="F98">
            <v>37</v>
          </cell>
          <cell r="G98">
            <v>21.86</v>
          </cell>
        </row>
        <row r="99">
          <cell r="A99" t="str">
            <v>03.353.00</v>
          </cell>
          <cell r="B99" t="str">
            <v>Forn., preparo e colocação nas formas, de aço CA-50</v>
          </cell>
          <cell r="C99" t="str">
            <v/>
          </cell>
          <cell r="D99" t="str">
            <v/>
          </cell>
          <cell r="E99" t="str">
            <v>kg</v>
          </cell>
          <cell r="F99">
            <v>3716</v>
          </cell>
          <cell r="G99">
            <v>2.59</v>
          </cell>
        </row>
        <row r="100">
          <cell r="A100" t="str">
            <v>P 03.327.01</v>
          </cell>
          <cell r="B100" t="str">
            <v xml:space="preserve">Concreto fck= 25 MPa-contr. raz. uso ger. </v>
          </cell>
          <cell r="C100" t="str">
            <v/>
          </cell>
          <cell r="D100" t="str">
            <v/>
          </cell>
          <cell r="E100" t="str">
            <v>m3</v>
          </cell>
          <cell r="F100">
            <v>54</v>
          </cell>
          <cell r="G100">
            <v>163.22</v>
          </cell>
        </row>
        <row r="101">
          <cell r="B101" t="str">
            <v>Drenos</v>
          </cell>
        </row>
        <row r="102">
          <cell r="A102" t="str">
            <v>P 03.991.01f</v>
          </cell>
          <cell r="B102" t="str">
            <v>Dreno de FF D= 150 mm x 400mm</v>
          </cell>
          <cell r="C102" t="str">
            <v/>
          </cell>
          <cell r="D102" t="str">
            <v/>
          </cell>
          <cell r="E102" t="str">
            <v>un</v>
          </cell>
          <cell r="F102">
            <v>18</v>
          </cell>
          <cell r="G102">
            <v>20.37</v>
          </cell>
        </row>
        <row r="103">
          <cell r="F103" t="str">
            <v>SUB-TOTAL</v>
          </cell>
        </row>
        <row r="105">
          <cell r="B105" t="str">
            <v>OBRAS COMPLEMENTARES</v>
          </cell>
        </row>
        <row r="106">
          <cell r="A106" t="str">
            <v>05.100.00</v>
          </cell>
          <cell r="B106" t="str">
            <v>Enleivamento</v>
          </cell>
          <cell r="C106" t="str">
            <v>DNER-ES341/97</v>
          </cell>
          <cell r="D106" t="str">
            <v/>
          </cell>
          <cell r="E106" t="str">
            <v>m2</v>
          </cell>
          <cell r="F106">
            <v>37800</v>
          </cell>
          <cell r="G106">
            <v>2.06</v>
          </cell>
        </row>
        <row r="107">
          <cell r="A107" t="str">
            <v>DER53460a</v>
          </cell>
          <cell r="B107" t="str">
            <v>Calçamento com briquetes de 6 cm</v>
          </cell>
          <cell r="C107" t="str">
            <v/>
          </cell>
          <cell r="D107" t="str">
            <v/>
          </cell>
          <cell r="E107" t="str">
            <v>m2</v>
          </cell>
          <cell r="F107">
            <v>700</v>
          </cell>
          <cell r="G107">
            <v>20.48</v>
          </cell>
        </row>
        <row r="108">
          <cell r="A108" t="str">
            <v>P 05.100.01</v>
          </cell>
          <cell r="B108" t="str">
            <v>Fornecimento e plantio de lírio amarelo</v>
          </cell>
          <cell r="C108" t="str">
            <v/>
          </cell>
          <cell r="D108" t="str">
            <v/>
          </cell>
          <cell r="E108" t="str">
            <v>m2</v>
          </cell>
          <cell r="F108">
            <v>544</v>
          </cell>
          <cell r="G108">
            <v>14.14</v>
          </cell>
        </row>
        <row r="109">
          <cell r="A109" t="str">
            <v>P 05.100.02</v>
          </cell>
          <cell r="B109" t="str">
            <v>Fornecimento e plantio de árvore selecionada</v>
          </cell>
          <cell r="C109" t="str">
            <v/>
          </cell>
          <cell r="D109" t="str">
            <v/>
          </cell>
          <cell r="E109" t="str">
            <v>un</v>
          </cell>
          <cell r="F109">
            <v>404</v>
          </cell>
          <cell r="G109">
            <v>6.02</v>
          </cell>
        </row>
        <row r="110">
          <cell r="A110" t="str">
            <v>05.102.00</v>
          </cell>
          <cell r="B110" t="str">
            <v>Hidrossemeadura</v>
          </cell>
          <cell r="C110" t="str">
            <v>DNER-ES341/97</v>
          </cell>
          <cell r="D110" t="str">
            <v/>
          </cell>
          <cell r="E110" t="str">
            <v>m2</v>
          </cell>
          <cell r="F110">
            <v>3618</v>
          </cell>
          <cell r="G110">
            <v>0.49</v>
          </cell>
        </row>
        <row r="111">
          <cell r="A111" t="str">
            <v>PI 60</v>
          </cell>
          <cell r="B111" t="str">
            <v>Lâmpada a vapor de mercúrio 250W</v>
          </cell>
          <cell r="C111" t="str">
            <v/>
          </cell>
          <cell r="D111" t="str">
            <v/>
          </cell>
          <cell r="E111" t="str">
            <v>un</v>
          </cell>
          <cell r="F111">
            <v>20</v>
          </cell>
          <cell r="G111">
            <v>16.3</v>
          </cell>
        </row>
        <row r="112">
          <cell r="A112" t="str">
            <v>PI 52</v>
          </cell>
          <cell r="B112" t="str">
            <v>Luminária IMB C-300 ou similar</v>
          </cell>
          <cell r="C112" t="str">
            <v/>
          </cell>
          <cell r="D112" t="str">
            <v/>
          </cell>
          <cell r="E112" t="str">
            <v>un</v>
          </cell>
          <cell r="F112">
            <v>4</v>
          </cell>
          <cell r="G112">
            <v>410</v>
          </cell>
        </row>
        <row r="113">
          <cell r="A113" t="str">
            <v>PI 13</v>
          </cell>
          <cell r="B113" t="str">
            <v>Eletroduto de aço 20mm, vara de 3m</v>
          </cell>
          <cell r="C113" t="str">
            <v/>
          </cell>
          <cell r="D113" t="str">
            <v/>
          </cell>
          <cell r="E113" t="str">
            <v>un</v>
          </cell>
          <cell r="F113">
            <v>8</v>
          </cell>
          <cell r="G113">
            <v>14.49</v>
          </cell>
        </row>
        <row r="114">
          <cell r="A114" t="str">
            <v>PI 62</v>
          </cell>
          <cell r="B114" t="str">
            <v>Caixa de passagem para instalação aparente D=20mm, tipo T</v>
          </cell>
          <cell r="C114" t="str">
            <v/>
          </cell>
          <cell r="D114" t="str">
            <v/>
          </cell>
          <cell r="E114" t="str">
            <v>un</v>
          </cell>
          <cell r="F114">
            <v>4</v>
          </cell>
          <cell r="G114">
            <v>20</v>
          </cell>
        </row>
        <row r="115">
          <cell r="A115" t="str">
            <v>PI 15</v>
          </cell>
          <cell r="B115" t="str">
            <v>Caixa de passagem para instalação aparente D=20mm, tipo LB</v>
          </cell>
          <cell r="C115" t="str">
            <v/>
          </cell>
          <cell r="D115" t="str">
            <v/>
          </cell>
          <cell r="E115" t="str">
            <v>un</v>
          </cell>
          <cell r="F115">
            <v>2</v>
          </cell>
          <cell r="G115">
            <v>3.62</v>
          </cell>
        </row>
        <row r="116">
          <cell r="A116" t="str">
            <v>PI 18</v>
          </cell>
          <cell r="B116" t="str">
            <v>Braço curvo p/ iluminação pública padrão CELESC</v>
          </cell>
          <cell r="C116" t="str">
            <v/>
          </cell>
          <cell r="D116" t="str">
            <v/>
          </cell>
          <cell r="E116" t="str">
            <v>un</v>
          </cell>
          <cell r="F116">
            <v>20</v>
          </cell>
          <cell r="G116">
            <v>6.33</v>
          </cell>
        </row>
        <row r="117">
          <cell r="A117" t="str">
            <v>PI 22</v>
          </cell>
          <cell r="B117" t="str">
            <v>Base completa com fusível Diazed, 6A, retardado, incluíndo tampa, anel de proteção e ajuste</v>
          </cell>
          <cell r="C117" t="str">
            <v/>
          </cell>
          <cell r="D117" t="str">
            <v/>
          </cell>
          <cell r="E117" t="str">
            <v>un</v>
          </cell>
          <cell r="F117">
            <v>22</v>
          </cell>
          <cell r="G117">
            <v>8.6300000000000008</v>
          </cell>
        </row>
        <row r="118">
          <cell r="A118" t="str">
            <v>PI 23</v>
          </cell>
          <cell r="B118" t="str">
            <v>Contator tripolar a seco, p/ corrente alternada - 55 A, para uso em rede 380/220V - 60Hz</v>
          </cell>
          <cell r="C118" t="str">
            <v/>
          </cell>
          <cell r="D118" t="str">
            <v/>
          </cell>
          <cell r="E118" t="str">
            <v>un</v>
          </cell>
          <cell r="F118">
            <v>2</v>
          </cell>
          <cell r="G118">
            <v>234.6</v>
          </cell>
        </row>
        <row r="119">
          <cell r="A119" t="str">
            <v>PI 24</v>
          </cell>
          <cell r="B119" t="str">
            <v>Fita elétrica auto fusão a base de borracha EPR</v>
          </cell>
          <cell r="C119" t="str">
            <v/>
          </cell>
          <cell r="D119" t="str">
            <v/>
          </cell>
          <cell r="E119" t="str">
            <v>un</v>
          </cell>
          <cell r="F119">
            <v>4</v>
          </cell>
          <cell r="G119">
            <v>6.39</v>
          </cell>
        </row>
        <row r="120">
          <cell r="A120" t="str">
            <v>PI 25</v>
          </cell>
          <cell r="B120" t="str">
            <v>Fita adesiva plástica isolante</v>
          </cell>
          <cell r="C120" t="str">
            <v/>
          </cell>
          <cell r="D120" t="str">
            <v/>
          </cell>
          <cell r="E120" t="str">
            <v>un</v>
          </cell>
          <cell r="F120">
            <v>6</v>
          </cell>
          <cell r="G120">
            <v>3.84</v>
          </cell>
        </row>
        <row r="121">
          <cell r="A121" t="str">
            <v>PI 26</v>
          </cell>
          <cell r="B121" t="str">
            <v>Relé fotoelétrico c/ suporte para fixação galv. com furo 18mm</v>
          </cell>
          <cell r="C121" t="str">
            <v/>
          </cell>
          <cell r="D121" t="str">
            <v/>
          </cell>
          <cell r="E121" t="str">
            <v>un</v>
          </cell>
          <cell r="F121">
            <v>22</v>
          </cell>
          <cell r="G121">
            <v>11.5</v>
          </cell>
        </row>
        <row r="122">
          <cell r="A122" t="str">
            <v>PI 56</v>
          </cell>
          <cell r="B122" t="str">
            <v>Cabo isolado p/ 1000V, 4 mm² de alumínio</v>
          </cell>
          <cell r="C122" t="str">
            <v/>
          </cell>
          <cell r="D122" t="str">
            <v/>
          </cell>
          <cell r="E122" t="str">
            <v>m</v>
          </cell>
          <cell r="F122">
            <v>110</v>
          </cell>
          <cell r="G122">
            <v>0.37</v>
          </cell>
        </row>
        <row r="123">
          <cell r="A123" t="str">
            <v>PI 28</v>
          </cell>
          <cell r="B123" t="str">
            <v>Eletroduto de aço tipo pesado 100mm</v>
          </cell>
          <cell r="C123" t="str">
            <v/>
          </cell>
          <cell r="D123" t="str">
            <v/>
          </cell>
          <cell r="E123" t="str">
            <v>m</v>
          </cell>
          <cell r="F123">
            <v>140</v>
          </cell>
          <cell r="G123">
            <v>28.55</v>
          </cell>
        </row>
        <row r="124">
          <cell r="A124" t="str">
            <v>PI 29</v>
          </cell>
          <cell r="B124" t="str">
            <v>Curva em alumínio fundido de alta resistência, fixação por encaixe,50mm</v>
          </cell>
          <cell r="C124" t="str">
            <v/>
          </cell>
          <cell r="D124" t="str">
            <v/>
          </cell>
          <cell r="E124" t="str">
            <v>un</v>
          </cell>
          <cell r="F124">
            <v>2</v>
          </cell>
          <cell r="G124">
            <v>18.75</v>
          </cell>
        </row>
        <row r="125">
          <cell r="A125" t="str">
            <v>PI 30</v>
          </cell>
          <cell r="B125" t="str">
            <v>Haste para aterramento aço-cobre D 13x2400mm</v>
          </cell>
          <cell r="C125" t="str">
            <v/>
          </cell>
          <cell r="D125" t="str">
            <v/>
          </cell>
          <cell r="E125" t="str">
            <v>un</v>
          </cell>
          <cell r="F125">
            <v>12</v>
          </cell>
          <cell r="G125">
            <v>6.04</v>
          </cell>
        </row>
        <row r="126">
          <cell r="A126" t="str">
            <v>PI 31</v>
          </cell>
          <cell r="B126" t="str">
            <v>Cabo de cobre nú meio duro, 7 fios 2AWG</v>
          </cell>
          <cell r="C126" t="str">
            <v/>
          </cell>
          <cell r="D126" t="str">
            <v/>
          </cell>
          <cell r="E126" t="str">
            <v>kg</v>
          </cell>
          <cell r="F126">
            <v>4</v>
          </cell>
          <cell r="G126">
            <v>7.02</v>
          </cell>
        </row>
        <row r="127">
          <cell r="A127" t="str">
            <v>PI 32</v>
          </cell>
          <cell r="B127" t="str">
            <v>Conetor paralelo, liga alumínio tronco 1/0-4 AWG e derivação 2-4AWG</v>
          </cell>
          <cell r="C127" t="str">
            <v/>
          </cell>
          <cell r="D127" t="str">
            <v/>
          </cell>
          <cell r="E127" t="str">
            <v>un</v>
          </cell>
          <cell r="F127">
            <v>5</v>
          </cell>
          <cell r="G127">
            <v>1.04</v>
          </cell>
        </row>
        <row r="128">
          <cell r="A128" t="str">
            <v>PI 20</v>
          </cell>
          <cell r="B128" t="str">
            <v>Poste de concreto duplo T 10m, 150 daN</v>
          </cell>
          <cell r="C128" t="str">
            <v/>
          </cell>
          <cell r="D128" t="str">
            <v/>
          </cell>
          <cell r="E128" t="str">
            <v>un</v>
          </cell>
          <cell r="F128">
            <v>10</v>
          </cell>
          <cell r="G128">
            <v>200</v>
          </cell>
        </row>
        <row r="129">
          <cell r="A129" t="str">
            <v>PI 48</v>
          </cell>
          <cell r="B129" t="str">
            <v>Armação secundária p/ 2 estribo</v>
          </cell>
          <cell r="C129" t="str">
            <v/>
          </cell>
          <cell r="D129" t="str">
            <v/>
          </cell>
          <cell r="E129" t="str">
            <v>un</v>
          </cell>
          <cell r="F129">
            <v>20</v>
          </cell>
          <cell r="G129">
            <v>7.5</v>
          </cell>
        </row>
        <row r="130">
          <cell r="A130" t="str">
            <v>PI 49</v>
          </cell>
          <cell r="B130" t="str">
            <v>Armação secundária p/ 1 estribo</v>
          </cell>
          <cell r="C130" t="str">
            <v/>
          </cell>
          <cell r="D130" t="str">
            <v/>
          </cell>
          <cell r="E130" t="str">
            <v>un</v>
          </cell>
          <cell r="F130">
            <v>10</v>
          </cell>
          <cell r="G130">
            <v>3.5</v>
          </cell>
        </row>
        <row r="131">
          <cell r="A131" t="str">
            <v>PI 33</v>
          </cell>
          <cell r="B131" t="str">
            <v>Tubo de aço galvanizado, vara de 6m e 50mm</v>
          </cell>
          <cell r="C131" t="str">
            <v/>
          </cell>
          <cell r="D131" t="str">
            <v/>
          </cell>
          <cell r="E131" t="str">
            <v>un</v>
          </cell>
          <cell r="F131">
            <v>2</v>
          </cell>
          <cell r="G131">
            <v>74.06</v>
          </cell>
        </row>
        <row r="132">
          <cell r="A132" t="str">
            <v>PI 34</v>
          </cell>
          <cell r="B132" t="str">
            <v>Construção de caixa tipo SP, ou pré-instalada com as mesmas características</v>
          </cell>
          <cell r="C132" t="str">
            <v/>
          </cell>
          <cell r="D132" t="str">
            <v/>
          </cell>
          <cell r="E132" t="str">
            <v>un</v>
          </cell>
          <cell r="F132">
            <v>6</v>
          </cell>
          <cell r="G132">
            <v>180</v>
          </cell>
        </row>
        <row r="133">
          <cell r="A133" t="str">
            <v>PI 36</v>
          </cell>
          <cell r="B133" t="str">
            <v>Construção de embasamento p/ poste tipo engastado, concreto duplo T, 10m de altura</v>
          </cell>
          <cell r="C133" t="str">
            <v/>
          </cell>
          <cell r="D133" t="str">
            <v/>
          </cell>
          <cell r="E133" t="str">
            <v>un</v>
          </cell>
          <cell r="F133">
            <v>10</v>
          </cell>
          <cell r="G133">
            <v>285</v>
          </cell>
        </row>
        <row r="134">
          <cell r="A134" t="str">
            <v>PI 37</v>
          </cell>
          <cell r="B134" t="str">
            <v>Lançamento de cabos em dutos de aço, classe 1000V, circuito trifásico mais neutro, e monofásico</v>
          </cell>
          <cell r="C134" t="str">
            <v/>
          </cell>
          <cell r="D134" t="str">
            <v/>
          </cell>
          <cell r="E134" t="str">
            <v>m</v>
          </cell>
          <cell r="F134">
            <v>70</v>
          </cell>
          <cell r="G134">
            <v>4</v>
          </cell>
        </row>
        <row r="135">
          <cell r="A135" t="str">
            <v>PI 38</v>
          </cell>
          <cell r="B135" t="str">
            <v>Confecção de emendas retas ou derivação em cabos classe 1000V, c/ conector à compressão</v>
          </cell>
          <cell r="C135" t="str">
            <v/>
          </cell>
          <cell r="D135" t="str">
            <v/>
          </cell>
          <cell r="E135" t="str">
            <v>un</v>
          </cell>
          <cell r="F135">
            <v>2</v>
          </cell>
          <cell r="G135">
            <v>4.5</v>
          </cell>
        </row>
        <row r="136">
          <cell r="A136" t="str">
            <v>PI 39</v>
          </cell>
          <cell r="B136" t="str">
            <v>Fixação de haste de terra e conexão ao neutro</v>
          </cell>
          <cell r="C136" t="str">
            <v/>
          </cell>
          <cell r="D136" t="str">
            <v/>
          </cell>
          <cell r="E136" t="str">
            <v>un</v>
          </cell>
          <cell r="F136">
            <v>12</v>
          </cell>
          <cell r="G136">
            <v>35</v>
          </cell>
        </row>
        <row r="137">
          <cell r="A137" t="str">
            <v>PI 41</v>
          </cell>
          <cell r="B137" t="str">
            <v>Instalação de tubo de aço vara de 6m e curva de entrada de cabos na lateral do poste c/ fix. dutos</v>
          </cell>
          <cell r="C137" t="str">
            <v/>
          </cell>
          <cell r="D137" t="str">
            <v/>
          </cell>
          <cell r="E137" t="str">
            <v>un</v>
          </cell>
          <cell r="F137">
            <v>2</v>
          </cell>
          <cell r="G137">
            <v>200</v>
          </cell>
        </row>
        <row r="138">
          <cell r="A138" t="str">
            <v>PI 43</v>
          </cell>
          <cell r="B138" t="str">
            <v>Travessia de pista asfáltica p/ lançamento dutos aço tipo pesado 100mm</v>
          </cell>
          <cell r="C138" t="str">
            <v/>
          </cell>
          <cell r="D138" t="str">
            <v/>
          </cell>
          <cell r="E138" t="str">
            <v>m</v>
          </cell>
          <cell r="F138">
            <v>70</v>
          </cell>
          <cell r="G138">
            <v>70</v>
          </cell>
        </row>
        <row r="139">
          <cell r="A139" t="str">
            <v>PI 44</v>
          </cell>
          <cell r="B139" t="str">
            <v>Montagem eletromecânica de luminária 10,0m de altura, c/ fixação dos equip.e conexões elétricos</v>
          </cell>
          <cell r="C139" t="str">
            <v/>
          </cell>
          <cell r="D139" t="str">
            <v/>
          </cell>
          <cell r="E139" t="str">
            <v>un</v>
          </cell>
          <cell r="F139">
            <v>10</v>
          </cell>
          <cell r="G139">
            <v>60</v>
          </cell>
        </row>
        <row r="140">
          <cell r="A140" t="str">
            <v>PI 58</v>
          </cell>
          <cell r="B140" t="str">
            <v>Fixação de caixas de passagem p/ instalação aparente D=20mm</v>
          </cell>
          <cell r="C140" t="str">
            <v/>
          </cell>
          <cell r="D140" t="str">
            <v/>
          </cell>
          <cell r="E140" t="str">
            <v>un</v>
          </cell>
          <cell r="F140">
            <v>4</v>
          </cell>
          <cell r="G140">
            <v>10</v>
          </cell>
        </row>
        <row r="141">
          <cell r="A141" t="str">
            <v>PI 59</v>
          </cell>
          <cell r="B141" t="str">
            <v>Instalação de luminária blindada para lâmpada a vapor de mercúrio 250W</v>
          </cell>
          <cell r="C141" t="str">
            <v/>
          </cell>
          <cell r="D141" t="str">
            <v/>
          </cell>
          <cell r="E141" t="str">
            <v>un</v>
          </cell>
          <cell r="F141">
            <v>4</v>
          </cell>
          <cell r="G141">
            <v>20</v>
          </cell>
        </row>
        <row r="142">
          <cell r="A142" t="str">
            <v>PI 01</v>
          </cell>
          <cell r="B142" t="str">
            <v>Poste de aço galv. a fogo, c/ 20,0m de alt. p/ instal. tipo engastado</v>
          </cell>
          <cell r="C142" t="str">
            <v/>
          </cell>
          <cell r="D142" t="str">
            <v/>
          </cell>
          <cell r="E142" t="str">
            <v>un</v>
          </cell>
          <cell r="F142">
            <v>1</v>
          </cell>
          <cell r="G142">
            <v>2662.25</v>
          </cell>
        </row>
        <row r="143">
          <cell r="A143" t="str">
            <v>PI 07</v>
          </cell>
          <cell r="B143" t="str">
            <v>Suporte p/ luminária tipo ZGP402 da Philips ou similar</v>
          </cell>
          <cell r="C143" t="str">
            <v/>
          </cell>
          <cell r="D143" t="str">
            <v/>
          </cell>
          <cell r="E143" t="str">
            <v>un</v>
          </cell>
          <cell r="F143">
            <v>1</v>
          </cell>
          <cell r="G143">
            <v>100</v>
          </cell>
        </row>
        <row r="144">
          <cell r="A144" t="str">
            <v>PI 04</v>
          </cell>
          <cell r="B144" t="str">
            <v xml:space="preserve">Luminária p/ iluminação pública ref.SRC-612 da Philips ou similar </v>
          </cell>
          <cell r="C144" t="str">
            <v/>
          </cell>
          <cell r="D144" t="str">
            <v/>
          </cell>
          <cell r="E144" t="str">
            <v>un</v>
          </cell>
          <cell r="F144">
            <v>2</v>
          </cell>
          <cell r="G144">
            <v>425.5</v>
          </cell>
        </row>
        <row r="145">
          <cell r="A145" t="str">
            <v>PI 03</v>
          </cell>
          <cell r="B145" t="str">
            <v xml:space="preserve">Luminária p/ iluminação pública ref.HRC-612 da Philips ou similar </v>
          </cell>
          <cell r="C145" t="str">
            <v/>
          </cell>
          <cell r="D145" t="str">
            <v/>
          </cell>
          <cell r="E145" t="str">
            <v>un</v>
          </cell>
          <cell r="F145">
            <v>20</v>
          </cell>
          <cell r="G145">
            <v>400</v>
          </cell>
        </row>
        <row r="146">
          <cell r="A146" t="str">
            <v>PI 09</v>
          </cell>
          <cell r="B146" t="str">
            <v>Lâmpada a vapor de sódio 400W, alta pressão, base E40</v>
          </cell>
          <cell r="C146" t="str">
            <v/>
          </cell>
          <cell r="D146" t="str">
            <v/>
          </cell>
          <cell r="E146" t="str">
            <v>un</v>
          </cell>
          <cell r="F146">
            <v>2</v>
          </cell>
          <cell r="G146">
            <v>33.35</v>
          </cell>
        </row>
        <row r="147">
          <cell r="A147" t="str">
            <v>PI 35</v>
          </cell>
          <cell r="B147" t="str">
            <v>Construção de embasamento p/ poste tipo engastado, 20m de altura</v>
          </cell>
          <cell r="C147" t="str">
            <v/>
          </cell>
          <cell r="D147" t="str">
            <v/>
          </cell>
          <cell r="E147" t="str">
            <v>un</v>
          </cell>
          <cell r="F147">
            <v>1</v>
          </cell>
          <cell r="G147">
            <v>494</v>
          </cell>
        </row>
        <row r="148">
          <cell r="A148" t="str">
            <v>PI 42</v>
          </cell>
          <cell r="B148" t="str">
            <v>Instalação de poste de aço de 20m de altura engastado</v>
          </cell>
          <cell r="C148" t="str">
            <v/>
          </cell>
          <cell r="D148" t="str">
            <v/>
          </cell>
          <cell r="E148" t="str">
            <v>un</v>
          </cell>
          <cell r="F148">
            <v>1</v>
          </cell>
          <cell r="G148">
            <v>250</v>
          </cell>
        </row>
        <row r="149">
          <cell r="A149" t="str">
            <v>PI 69</v>
          </cell>
          <cell r="B149" t="str">
            <v>Instalação de poste concreto duplo T, 10m de altura, engastado</v>
          </cell>
          <cell r="C149" t="str">
            <v/>
          </cell>
          <cell r="D149" t="str">
            <v/>
          </cell>
          <cell r="E149" t="str">
            <v>un</v>
          </cell>
          <cell r="F149">
            <v>10</v>
          </cell>
          <cell r="G149">
            <v>200</v>
          </cell>
        </row>
        <row r="150">
          <cell r="A150" t="str">
            <v>PI 27</v>
          </cell>
          <cell r="B150" t="str">
            <v>Cabo isolado p/ 1000V, bitola 35mm²</v>
          </cell>
          <cell r="C150" t="str">
            <v/>
          </cell>
          <cell r="D150" t="str">
            <v/>
          </cell>
          <cell r="E150" t="str">
            <v>m</v>
          </cell>
          <cell r="F150">
            <v>200</v>
          </cell>
          <cell r="G150">
            <v>1.55</v>
          </cell>
        </row>
        <row r="151">
          <cell r="A151" t="str">
            <v>PI 65</v>
          </cell>
          <cell r="B151" t="str">
            <v>Cabo de alumínio 1/0</v>
          </cell>
          <cell r="C151" t="str">
            <v/>
          </cell>
          <cell r="D151" t="str">
            <v/>
          </cell>
          <cell r="E151" t="str">
            <v>m</v>
          </cell>
          <cell r="F151">
            <v>2650</v>
          </cell>
          <cell r="G151">
            <v>1.7</v>
          </cell>
        </row>
        <row r="152">
          <cell r="A152" t="str">
            <v>PI 66</v>
          </cell>
          <cell r="B152" t="str">
            <v>Cabo isolado p/ 1000 V, 6 mm2 de alumínio</v>
          </cell>
          <cell r="C152" t="str">
            <v/>
          </cell>
          <cell r="D152" t="str">
            <v/>
          </cell>
          <cell r="E152" t="str">
            <v>m</v>
          </cell>
          <cell r="F152">
            <v>20</v>
          </cell>
          <cell r="G152">
            <v>1</v>
          </cell>
        </row>
        <row r="153">
          <cell r="A153" t="str">
            <v>PI 67</v>
          </cell>
          <cell r="B153" t="str">
            <v>Cabo isolado p/ 1000 V, 2,5 mm2 de alumínio</v>
          </cell>
          <cell r="C153" t="str">
            <v/>
          </cell>
          <cell r="D153" t="str">
            <v/>
          </cell>
          <cell r="E153" t="str">
            <v>m</v>
          </cell>
          <cell r="F153">
            <v>60</v>
          </cell>
          <cell r="G153">
            <v>0.6</v>
          </cell>
        </row>
        <row r="154">
          <cell r="A154" t="str">
            <v>R1</v>
          </cell>
          <cell r="B154" t="str">
            <v>Remanejamento de Rede de Baixa Tensão (220/380V)</v>
          </cell>
          <cell r="C154" t="str">
            <v/>
          </cell>
          <cell r="D154" t="str">
            <v/>
          </cell>
          <cell r="E154" t="str">
            <v>m</v>
          </cell>
          <cell r="F154">
            <v>100</v>
          </cell>
          <cell r="G154">
            <v>4.7</v>
          </cell>
        </row>
        <row r="155">
          <cell r="A155" t="str">
            <v>R2</v>
          </cell>
          <cell r="B155" t="str">
            <v>Remanejamento de Rede de Alta Tensão (138kV)</v>
          </cell>
          <cell r="C155" t="str">
            <v/>
          </cell>
          <cell r="D155" t="str">
            <v/>
          </cell>
          <cell r="E155" t="str">
            <v>m</v>
          </cell>
          <cell r="F155">
            <v>120</v>
          </cell>
          <cell r="G155">
            <v>6.2</v>
          </cell>
        </row>
        <row r="156">
          <cell r="A156" t="str">
            <v>R10</v>
          </cell>
          <cell r="B156" t="str">
            <v>Remanejamento de Poste de Concreto 10/150</v>
          </cell>
          <cell r="C156" t="str">
            <v/>
          </cell>
          <cell r="D156" t="str">
            <v/>
          </cell>
          <cell r="E156" t="str">
            <v>un</v>
          </cell>
          <cell r="F156">
            <v>2</v>
          </cell>
          <cell r="G156">
            <v>75</v>
          </cell>
        </row>
        <row r="157">
          <cell r="A157" t="str">
            <v>R11</v>
          </cell>
          <cell r="B157" t="str">
            <v>Remanejamento de Poste de Concreto 10/300</v>
          </cell>
          <cell r="C157" t="str">
            <v/>
          </cell>
          <cell r="D157" t="str">
            <v/>
          </cell>
          <cell r="E157" t="str">
            <v>un</v>
          </cell>
          <cell r="F157">
            <v>2</v>
          </cell>
          <cell r="G157">
            <v>75</v>
          </cell>
        </row>
      </sheetData>
      <sheetData sheetId="16"/>
      <sheetData sheetId="17"/>
      <sheetData sheetId="18" refreshError="1"/>
      <sheetData sheetId="19" refreshError="1"/>
      <sheetData sheetId="20" refreshError="1">
        <row r="14">
          <cell r="A14" t="str">
            <v>P02.999.10</v>
          </cell>
          <cell r="B14" t="str">
            <v>Frezagem de revestimento em CAUQ e&lt;= 8 cm c/transporte até 2km</v>
          </cell>
          <cell r="C14" t="str">
            <v/>
          </cell>
          <cell r="D14" t="str">
            <v/>
          </cell>
          <cell r="E14" t="str">
            <v>m3</v>
          </cell>
          <cell r="F14">
            <v>4008</v>
          </cell>
          <cell r="G14">
            <v>24.96</v>
          </cell>
        </row>
        <row r="15">
          <cell r="A15" t="str">
            <v>02.400.00</v>
          </cell>
          <cell r="B15" t="str">
            <v>Pintura de ligação - Fornec., transporte e execução</v>
          </cell>
          <cell r="C15" t="str">
            <v>DNER-ES307/97</v>
          </cell>
          <cell r="D15" t="str">
            <v/>
          </cell>
          <cell r="E15" t="str">
            <v>m2</v>
          </cell>
          <cell r="F15">
            <v>267192</v>
          </cell>
          <cell r="G15">
            <v>0.41</v>
          </cell>
        </row>
        <row r="16">
          <cell r="A16" t="str">
            <v>02.540.01</v>
          </cell>
          <cell r="B16" t="str">
            <v>Concreto betuminoso usinado a quente - usina 100/140 t/h</v>
          </cell>
          <cell r="C16" t="str">
            <v>DNER-ES313/97</v>
          </cell>
          <cell r="D16" t="str">
            <v/>
          </cell>
          <cell r="E16" t="str">
            <v>t</v>
          </cell>
          <cell r="F16">
            <v>32063</v>
          </cell>
          <cell r="G16">
            <v>67.64</v>
          </cell>
        </row>
      </sheetData>
      <sheetData sheetId="21" refreshError="1">
        <row r="14">
          <cell r="A14" t="str">
            <v>01.000.00</v>
          </cell>
          <cell r="B14" t="str">
            <v>Desmatamento,destocamento e limpeza de área com árvore até 0,15m</v>
          </cell>
          <cell r="C14" t="str">
            <v>DNER-ES278/97</v>
          </cell>
          <cell r="D14" t="str">
            <v/>
          </cell>
          <cell r="E14" t="str">
            <v>m2</v>
          </cell>
          <cell r="F14">
            <v>221400</v>
          </cell>
          <cell r="G14">
            <v>7.0000000000000007E-2</v>
          </cell>
        </row>
        <row r="15">
          <cell r="A15" t="str">
            <v>01.010.00</v>
          </cell>
          <cell r="B15" t="str">
            <v>Desmatamento e destocamento árvores de 0,15m a 0,30m</v>
          </cell>
          <cell r="C15" t="str">
            <v>DNER-ES278/97</v>
          </cell>
          <cell r="D15" t="str">
            <v/>
          </cell>
          <cell r="E15" t="str">
            <v>un</v>
          </cell>
          <cell r="F15">
            <v>2214</v>
          </cell>
          <cell r="G15">
            <v>8.92</v>
          </cell>
        </row>
        <row r="16">
          <cell r="A16" t="str">
            <v>01.011.00</v>
          </cell>
          <cell r="B16" t="str">
            <v>Desmatamento e destocamento árvores superior a 0,30m</v>
          </cell>
          <cell r="C16" t="str">
            <v>DNER-ES278/97</v>
          </cell>
          <cell r="D16" t="str">
            <v/>
          </cell>
          <cell r="E16" t="str">
            <v>un</v>
          </cell>
          <cell r="F16">
            <v>4428</v>
          </cell>
          <cell r="G16">
            <v>26.75</v>
          </cell>
        </row>
        <row r="17">
          <cell r="A17" t="str">
            <v>01.100.01</v>
          </cell>
          <cell r="B17" t="str">
            <v>Escavação,carga e transportes de material de 1a  categoria DMT &lt;= 50m</v>
          </cell>
          <cell r="C17" t="str">
            <v>DNER-ES280/97</v>
          </cell>
          <cell r="D17" t="str">
            <v/>
          </cell>
          <cell r="E17" t="str">
            <v>m3</v>
          </cell>
          <cell r="F17">
            <v>1000</v>
          </cell>
          <cell r="G17">
            <v>0.62</v>
          </cell>
        </row>
        <row r="18">
          <cell r="A18" t="str">
            <v>01.100.09</v>
          </cell>
          <cell r="B18" t="str">
            <v>Escavação,carga e transportes de material de 1a categoria DMT= 50 a 200m</v>
          </cell>
          <cell r="C18" t="str">
            <v>DNER-ES280/97</v>
          </cell>
          <cell r="D18" t="str">
            <v/>
          </cell>
          <cell r="E18" t="str">
            <v>m3</v>
          </cell>
          <cell r="F18">
            <v>2624</v>
          </cell>
          <cell r="G18">
            <v>1.89</v>
          </cell>
        </row>
        <row r="19">
          <cell r="A19" t="str">
            <v>01.100.10</v>
          </cell>
          <cell r="B19" t="str">
            <v>Escavação,carga e transportes de material de 1a categoria DMT= 200 a 400m</v>
          </cell>
          <cell r="C19" t="str">
            <v>DNER-ES280/97</v>
          </cell>
          <cell r="D19" t="str">
            <v/>
          </cell>
          <cell r="E19" t="str">
            <v>m3</v>
          </cell>
          <cell r="F19">
            <v>1478</v>
          </cell>
          <cell r="G19">
            <v>1.98</v>
          </cell>
        </row>
        <row r="20">
          <cell r="A20" t="str">
            <v>01.100.11</v>
          </cell>
          <cell r="B20" t="str">
            <v>Escavação,carga e transportes de material de 1a categoria DMT= 400 a 600m</v>
          </cell>
          <cell r="C20" t="str">
            <v>DNER-ES280/97</v>
          </cell>
          <cell r="D20" t="str">
            <v/>
          </cell>
          <cell r="E20" t="str">
            <v>m3</v>
          </cell>
          <cell r="F20">
            <v>1002</v>
          </cell>
          <cell r="G20">
            <v>2.12</v>
          </cell>
        </row>
        <row r="21">
          <cell r="A21" t="str">
            <v>01.100.12</v>
          </cell>
          <cell r="B21" t="str">
            <v>Escavação,carga e transportes de material de 1a categoria DMT= 600 a 800m</v>
          </cell>
          <cell r="C21" t="str">
            <v>DNER-ES280/97</v>
          </cell>
          <cell r="D21" t="str">
            <v/>
          </cell>
          <cell r="E21" t="str">
            <v>m3</v>
          </cell>
          <cell r="F21">
            <v>4665</v>
          </cell>
          <cell r="G21">
            <v>2.19</v>
          </cell>
        </row>
        <row r="22">
          <cell r="A22" t="str">
            <v>01.100.13</v>
          </cell>
          <cell r="B22" t="str">
            <v>Escavação,carga e transportes de material de 1a categoria DMT= 800 a 1000m</v>
          </cell>
          <cell r="C22" t="str">
            <v>DNER-ES280/97</v>
          </cell>
          <cell r="D22" t="str">
            <v/>
          </cell>
          <cell r="E22" t="str">
            <v>m3</v>
          </cell>
          <cell r="F22">
            <v>1693</v>
          </cell>
          <cell r="G22">
            <v>2.36</v>
          </cell>
        </row>
        <row r="23">
          <cell r="A23" t="str">
            <v>01.100.14</v>
          </cell>
          <cell r="B23" t="str">
            <v>Escavação,carga e transportes de material de 1a categoria DMT= 1000 a 1200m</v>
          </cell>
          <cell r="C23" t="str">
            <v>DNER-ES280/97</v>
          </cell>
          <cell r="D23" t="str">
            <v/>
          </cell>
          <cell r="E23" t="str">
            <v>m3</v>
          </cell>
          <cell r="F23">
            <v>292</v>
          </cell>
          <cell r="G23">
            <v>2.4</v>
          </cell>
        </row>
        <row r="24">
          <cell r="A24" t="str">
            <v>01.100.15</v>
          </cell>
          <cell r="B24" t="str">
            <v>Escavação,carga e transportes de material de 1a categoria DMT= 1200 a 1400m</v>
          </cell>
          <cell r="C24" t="str">
            <v>DNER-ES280/97</v>
          </cell>
          <cell r="D24" t="str">
            <v/>
          </cell>
          <cell r="E24" t="str">
            <v>m3</v>
          </cell>
          <cell r="F24">
            <v>2861</v>
          </cell>
          <cell r="G24">
            <v>2.62</v>
          </cell>
        </row>
        <row r="25">
          <cell r="A25" t="str">
            <v>01.100.18</v>
          </cell>
          <cell r="B25" t="str">
            <v>Escavação,carga e transportes de material de 1a categoria DMT= 1800 a 2000m</v>
          </cell>
          <cell r="C25" t="str">
            <v>DNER-ES280/97</v>
          </cell>
          <cell r="D25" t="str">
            <v/>
          </cell>
          <cell r="E25" t="str">
            <v>m3</v>
          </cell>
          <cell r="F25">
            <v>1131</v>
          </cell>
          <cell r="G25">
            <v>2.92</v>
          </cell>
        </row>
        <row r="26">
          <cell r="A26" t="str">
            <v>01.100.19</v>
          </cell>
          <cell r="B26" t="str">
            <v>Escavação,carga e transportes de material de 1a categoria DMT= 2000 a 3000m</v>
          </cell>
          <cell r="C26" t="str">
            <v>DNER-ES280/97</v>
          </cell>
          <cell r="D26" t="str">
            <v/>
          </cell>
          <cell r="E26" t="str">
            <v>m3</v>
          </cell>
          <cell r="F26">
            <v>99</v>
          </cell>
          <cell r="G26">
            <v>3.26</v>
          </cell>
        </row>
        <row r="27">
          <cell r="A27" t="str">
            <v>DER50265</v>
          </cell>
          <cell r="B27" t="str">
            <v>Esc.  Carga e Transp. de mat. 1a cat. c/ CB 4000&lt;DMT&lt;5000m</v>
          </cell>
          <cell r="C27" t="str">
            <v/>
          </cell>
          <cell r="D27" t="str">
            <v/>
          </cell>
          <cell r="E27" t="str">
            <v>m3</v>
          </cell>
          <cell r="F27">
            <v>14245</v>
          </cell>
          <cell r="G27">
            <v>3.76</v>
          </cell>
        </row>
        <row r="28">
          <cell r="A28" t="str">
            <v>DER50260</v>
          </cell>
          <cell r="B28" t="str">
            <v>Esc.  Carga e Transp. de mat. 1a cat. c/ CB 5000&lt;DMT&lt;6000m</v>
          </cell>
          <cell r="C28" t="str">
            <v/>
          </cell>
          <cell r="D28" t="str">
            <v/>
          </cell>
          <cell r="E28" t="str">
            <v>m3</v>
          </cell>
          <cell r="F28">
            <v>6163</v>
          </cell>
          <cell r="G28">
            <v>4.29</v>
          </cell>
        </row>
        <row r="29">
          <cell r="A29" t="str">
            <v>DER50270</v>
          </cell>
          <cell r="B29" t="str">
            <v>Esc.  Carga e Transp. de mat. 1a cat. c/ CB 6000&lt;DMT&lt;7000m</v>
          </cell>
          <cell r="C29" t="str">
            <v/>
          </cell>
          <cell r="D29" t="str">
            <v/>
          </cell>
          <cell r="E29" t="str">
            <v>m3</v>
          </cell>
          <cell r="F29">
            <v>8063</v>
          </cell>
          <cell r="G29">
            <v>4.79</v>
          </cell>
        </row>
        <row r="30">
          <cell r="A30" t="str">
            <v>DER50325</v>
          </cell>
          <cell r="B30" t="str">
            <v>Esc.  Carga e Transp. de mat. 1a cat. c/ CB 14000&lt;DMT&lt;16000m</v>
          </cell>
          <cell r="C30" t="str">
            <v/>
          </cell>
          <cell r="D30" t="str">
            <v/>
          </cell>
          <cell r="E30" t="str">
            <v>m3</v>
          </cell>
          <cell r="F30">
            <v>23987</v>
          </cell>
          <cell r="G30">
            <v>9</v>
          </cell>
        </row>
        <row r="31">
          <cell r="A31" t="str">
            <v>DER50335</v>
          </cell>
          <cell r="B31" t="str">
            <v>Esc.  Carga e Transp. de mat. 1a cat. c/ CB 16000&lt;DMT&lt;18000m</v>
          </cell>
          <cell r="C31" t="str">
            <v/>
          </cell>
          <cell r="D31" t="str">
            <v/>
          </cell>
          <cell r="E31" t="str">
            <v>m3</v>
          </cell>
          <cell r="F31">
            <v>2816</v>
          </cell>
          <cell r="G31">
            <v>10.08</v>
          </cell>
        </row>
        <row r="32">
          <cell r="A32" t="str">
            <v>DER50365</v>
          </cell>
          <cell r="B32" t="str">
            <v>Esc.  Carga e Transp. de mat. 1a cat. c/ CB 22000&lt;DMT&lt;24000m</v>
          </cell>
          <cell r="C32" t="str">
            <v/>
          </cell>
          <cell r="D32" t="str">
            <v/>
          </cell>
          <cell r="E32" t="str">
            <v>m3</v>
          </cell>
          <cell r="F32">
            <v>12280</v>
          </cell>
          <cell r="G32">
            <v>13.06</v>
          </cell>
        </row>
        <row r="33">
          <cell r="A33" t="str">
            <v>DER50375</v>
          </cell>
          <cell r="B33" t="str">
            <v>Esc.  Carga e Transp. de mat. 1a cat. c/ CB 24000&lt;DMT&lt;26000m</v>
          </cell>
          <cell r="C33" t="str">
            <v/>
          </cell>
          <cell r="D33" t="str">
            <v/>
          </cell>
          <cell r="E33" t="str">
            <v>m3</v>
          </cell>
          <cell r="F33">
            <v>8549</v>
          </cell>
          <cell r="G33">
            <v>14.08</v>
          </cell>
        </row>
        <row r="34">
          <cell r="A34" t="str">
            <v>01.101.10</v>
          </cell>
          <cell r="B34" t="str">
            <v>Escavação,carga e transportes de material de 2a categoria,c/CB,  DMT 200 a 400m</v>
          </cell>
          <cell r="C34" t="str">
            <v>DNER-ES280/97</v>
          </cell>
          <cell r="D34" t="str">
            <v/>
          </cell>
          <cell r="E34" t="str">
            <v>m3</v>
          </cell>
          <cell r="F34">
            <v>904</v>
          </cell>
          <cell r="G34">
            <v>2.97</v>
          </cell>
        </row>
        <row r="35">
          <cell r="A35" t="str">
            <v>01.101.13</v>
          </cell>
          <cell r="B35" t="str">
            <v>Escavação,carga e transportes de material de 2a categoria,c/CB,  DMT 800 a 1 000m</v>
          </cell>
          <cell r="C35" t="str">
            <v>DNER-ES280/97</v>
          </cell>
          <cell r="D35" t="str">
            <v/>
          </cell>
          <cell r="E35" t="str">
            <v>m3</v>
          </cell>
          <cell r="F35">
            <v>837</v>
          </cell>
          <cell r="G35">
            <v>3.42</v>
          </cell>
        </row>
        <row r="36">
          <cell r="A36" t="str">
            <v>01.101.14</v>
          </cell>
          <cell r="B36" t="str">
            <v>Escavação,carga e transportes de material de 2a categoria,c/CB,  DMT 1000 a 1200m</v>
          </cell>
          <cell r="C36" t="str">
            <v>DNER-ES280/97</v>
          </cell>
          <cell r="D36" t="str">
            <v/>
          </cell>
          <cell r="E36" t="str">
            <v>m3</v>
          </cell>
          <cell r="F36">
            <v>479</v>
          </cell>
          <cell r="G36">
            <v>3.49</v>
          </cell>
        </row>
        <row r="37">
          <cell r="A37" t="str">
            <v>01.101.19</v>
          </cell>
          <cell r="B37" t="str">
            <v>Escavação,carga e transportes de material de 2a categoria,c/CB,  DMT 2000 a 3000m</v>
          </cell>
          <cell r="C37" t="str">
            <v>DNER-ES280/97</v>
          </cell>
          <cell r="D37" t="str">
            <v/>
          </cell>
          <cell r="E37" t="str">
            <v>m3</v>
          </cell>
          <cell r="F37">
            <v>231</v>
          </cell>
          <cell r="G37">
            <v>4.51</v>
          </cell>
        </row>
        <row r="38">
          <cell r="A38" t="str">
            <v>DER51235</v>
          </cell>
          <cell r="B38" t="str">
            <v>Escavação,carga e transportes de material de 2a categoria DMT 4000 a 5000m</v>
          </cell>
          <cell r="C38" t="str">
            <v/>
          </cell>
          <cell r="D38" t="str">
            <v/>
          </cell>
          <cell r="E38" t="str">
            <v>m3</v>
          </cell>
          <cell r="F38">
            <v>5988</v>
          </cell>
          <cell r="G38">
            <v>5.15</v>
          </cell>
        </row>
        <row r="39">
          <cell r="A39" t="str">
            <v>DER52087</v>
          </cell>
          <cell r="B39" t="str">
            <v>Esc. Carga e Transp. de solos moles 400&lt;DMT&lt;=600m</v>
          </cell>
          <cell r="C39" t="str">
            <v/>
          </cell>
          <cell r="D39" t="str">
            <v/>
          </cell>
          <cell r="E39" t="str">
            <v>m3</v>
          </cell>
          <cell r="F39">
            <v>1558</v>
          </cell>
          <cell r="G39">
            <v>4.5999999999999996</v>
          </cell>
        </row>
        <row r="40">
          <cell r="A40" t="str">
            <v>DER52090</v>
          </cell>
          <cell r="B40" t="str">
            <v>Esc. Carga e Transp. de solos moles 600&lt;DMT&lt;=800m</v>
          </cell>
          <cell r="C40" t="str">
            <v/>
          </cell>
          <cell r="D40" t="str">
            <v/>
          </cell>
          <cell r="E40" t="str">
            <v>m3</v>
          </cell>
          <cell r="F40">
            <v>12066</v>
          </cell>
          <cell r="G40">
            <v>4.6399999999999997</v>
          </cell>
        </row>
        <row r="41">
          <cell r="A41" t="str">
            <v>DER52095</v>
          </cell>
          <cell r="B41" t="str">
            <v>Esc. Carga e Transp. de solos moles 800&lt;DMT&lt;=1000m</v>
          </cell>
          <cell r="C41" t="str">
            <v/>
          </cell>
          <cell r="D41" t="str">
            <v/>
          </cell>
          <cell r="E41" t="str">
            <v>m3</v>
          </cell>
          <cell r="F41">
            <v>9412</v>
          </cell>
          <cell r="G41">
            <v>4.7</v>
          </cell>
        </row>
        <row r="42">
          <cell r="A42" t="str">
            <v>DER52100</v>
          </cell>
          <cell r="B42" t="str">
            <v>Esc. Carga e Transp. de solos moles 1000&lt;DMT&lt;=1200m</v>
          </cell>
          <cell r="C42" t="str">
            <v/>
          </cell>
          <cell r="D42" t="str">
            <v/>
          </cell>
          <cell r="E42" t="str">
            <v>m3</v>
          </cell>
          <cell r="F42">
            <v>960</v>
          </cell>
          <cell r="G42">
            <v>4.71</v>
          </cell>
        </row>
        <row r="43">
          <cell r="A43" t="str">
            <v>DER52101</v>
          </cell>
          <cell r="B43" t="str">
            <v>Esc. Carga e Transp. de solos moles 1200&lt;DMT&lt;=1400m</v>
          </cell>
          <cell r="C43" t="str">
            <v/>
          </cell>
          <cell r="D43" t="str">
            <v/>
          </cell>
          <cell r="E43" t="str">
            <v>m3</v>
          </cell>
          <cell r="F43">
            <v>2575</v>
          </cell>
          <cell r="G43">
            <v>4.74</v>
          </cell>
        </row>
        <row r="44">
          <cell r="A44" t="str">
            <v>DER52102</v>
          </cell>
          <cell r="B44" t="str">
            <v>Esc. Carga e Transp. de solos moles 1400&lt;DMT&lt;=1600m</v>
          </cell>
          <cell r="C44" t="str">
            <v/>
          </cell>
          <cell r="D44" t="str">
            <v/>
          </cell>
          <cell r="E44" t="str">
            <v>m3</v>
          </cell>
          <cell r="F44">
            <v>2321</v>
          </cell>
          <cell r="G44">
            <v>4.8099999999999996</v>
          </cell>
        </row>
        <row r="45">
          <cell r="A45" t="str">
            <v>01.510.00</v>
          </cell>
          <cell r="B45" t="str">
            <v>Compactação de aterros a 95% Proctor Normal</v>
          </cell>
          <cell r="C45" t="str">
            <v>DNER-ES282/97</v>
          </cell>
          <cell r="D45" t="str">
            <v/>
          </cell>
          <cell r="E45" t="str">
            <v>m3</v>
          </cell>
          <cell r="F45">
            <v>45560</v>
          </cell>
          <cell r="G45">
            <v>0.79</v>
          </cell>
        </row>
        <row r="46">
          <cell r="A46" t="str">
            <v>01.511.00</v>
          </cell>
          <cell r="B46" t="str">
            <v>Compactação de aterros a 100% Proctor Normal</v>
          </cell>
          <cell r="C46" t="str">
            <v>DNER-ES282/97</v>
          </cell>
          <cell r="D46" t="str">
            <v/>
          </cell>
          <cell r="E46" t="str">
            <v>m3</v>
          </cell>
          <cell r="F46">
            <v>13303</v>
          </cell>
          <cell r="G46">
            <v>1.36</v>
          </cell>
        </row>
        <row r="47">
          <cell r="F47" t="str">
            <v>SUB-TOTAL</v>
          </cell>
        </row>
        <row r="49">
          <cell r="B49" t="str">
            <v>PAVIMENTAÇÃO</v>
          </cell>
        </row>
        <row r="50">
          <cell r="A50" t="str">
            <v>02.000.00</v>
          </cell>
          <cell r="B50" t="str">
            <v>Regularização do subleito</v>
          </cell>
          <cell r="C50" t="str">
            <v/>
          </cell>
          <cell r="D50" t="str">
            <v/>
          </cell>
          <cell r="E50" t="str">
            <v>m2</v>
          </cell>
          <cell r="F50">
            <v>62658</v>
          </cell>
          <cell r="G50">
            <v>0.3</v>
          </cell>
        </row>
        <row r="51">
          <cell r="A51" t="str">
            <v>DER53110</v>
          </cell>
          <cell r="B51" t="str">
            <v>Camada de seixo classificado</v>
          </cell>
          <cell r="C51" t="str">
            <v/>
          </cell>
          <cell r="D51" t="str">
            <v/>
          </cell>
          <cell r="E51" t="str">
            <v>m3</v>
          </cell>
          <cell r="F51">
            <v>12034</v>
          </cell>
          <cell r="G51">
            <v>16.09</v>
          </cell>
        </row>
        <row r="52">
          <cell r="F52" t="str">
            <v>SUB-TOTAL</v>
          </cell>
        </row>
        <row r="54">
          <cell r="B54" t="str">
            <v>DRENAGEM</v>
          </cell>
        </row>
        <row r="55">
          <cell r="A55" t="str">
            <v>04.000.00</v>
          </cell>
          <cell r="B55" t="str">
            <v>Escavação manual em material de 1a categoria</v>
          </cell>
          <cell r="C55" t="str">
            <v/>
          </cell>
          <cell r="D55" t="str">
            <v/>
          </cell>
          <cell r="E55" t="str">
            <v>m3</v>
          </cell>
          <cell r="F55">
            <v>146</v>
          </cell>
          <cell r="G55">
            <v>17.57</v>
          </cell>
        </row>
        <row r="56">
          <cell r="A56" t="str">
            <v>04.001.00</v>
          </cell>
          <cell r="B56" t="str">
            <v>Escavação mecânica em material de 1a categoria</v>
          </cell>
          <cell r="C56" t="str">
            <v/>
          </cell>
          <cell r="D56" t="str">
            <v/>
          </cell>
          <cell r="E56" t="str">
            <v>m3</v>
          </cell>
          <cell r="F56">
            <v>332</v>
          </cell>
          <cell r="G56">
            <v>2.09</v>
          </cell>
        </row>
        <row r="57">
          <cell r="A57" t="str">
            <v>04.001.01</v>
          </cell>
          <cell r="B57" t="str">
            <v>Escavação mecânica,reaterro e compactação (material de 1a categoria)</v>
          </cell>
          <cell r="C57" t="str">
            <v/>
          </cell>
          <cell r="D57" t="str">
            <v/>
          </cell>
          <cell r="E57" t="str">
            <v>m3</v>
          </cell>
          <cell r="F57">
            <v>524</v>
          </cell>
          <cell r="G57">
            <v>3.03</v>
          </cell>
        </row>
        <row r="58">
          <cell r="A58" t="str">
            <v>04.011.00</v>
          </cell>
          <cell r="B58" t="str">
            <v>Escavação mecânica em material de 2a categoria</v>
          </cell>
          <cell r="C58" t="str">
            <v/>
          </cell>
          <cell r="D58" t="str">
            <v/>
          </cell>
          <cell r="E58" t="str">
            <v>m3</v>
          </cell>
          <cell r="F58">
            <v>291</v>
          </cell>
          <cell r="G58">
            <v>0.9</v>
          </cell>
        </row>
        <row r="59">
          <cell r="A59" t="str">
            <v>04.401.02</v>
          </cell>
          <cell r="B59" t="str">
            <v>Valeta de prot. de aterro c/ revest. vegetal VPA 02</v>
          </cell>
          <cell r="C59" t="str">
            <v/>
          </cell>
          <cell r="D59" t="str">
            <v/>
          </cell>
          <cell r="E59" t="str">
            <v>m</v>
          </cell>
          <cell r="F59">
            <v>7590</v>
          </cell>
          <cell r="G59">
            <v>24.32</v>
          </cell>
        </row>
        <row r="60">
          <cell r="A60" t="str">
            <v>04.900.21</v>
          </cell>
          <cell r="B60" t="str">
            <v>Sarjeta de cant. central de concreto-SCC 01</v>
          </cell>
          <cell r="C60" t="str">
            <v>DNER-ES288/97</v>
          </cell>
          <cell r="D60" t="str">
            <v/>
          </cell>
          <cell r="E60" t="str">
            <v>m</v>
          </cell>
          <cell r="F60">
            <v>3531</v>
          </cell>
          <cell r="G60">
            <v>13.85</v>
          </cell>
        </row>
        <row r="61">
          <cell r="A61" t="str">
            <v>04.900.22</v>
          </cell>
          <cell r="B61" t="str">
            <v>Sarjeta de cant. central de concreto-SCC 02</v>
          </cell>
          <cell r="C61" t="str">
            <v>DNER-ES288/97</v>
          </cell>
          <cell r="D61" t="str">
            <v/>
          </cell>
          <cell r="E61" t="str">
            <v>m</v>
          </cell>
          <cell r="F61">
            <v>110</v>
          </cell>
          <cell r="G61">
            <v>19.170000000000002</v>
          </cell>
        </row>
        <row r="62">
          <cell r="A62" t="str">
            <v>04.900.33</v>
          </cell>
          <cell r="B62" t="str">
            <v>Sarjeta triangular de grama-STG 03</v>
          </cell>
          <cell r="C62" t="str">
            <v/>
          </cell>
          <cell r="D62" t="str">
            <v/>
          </cell>
          <cell r="E62" t="str">
            <v>m</v>
          </cell>
          <cell r="F62">
            <v>66</v>
          </cell>
          <cell r="G62">
            <v>10.61</v>
          </cell>
        </row>
        <row r="63">
          <cell r="A63" t="str">
            <v>04.900.34</v>
          </cell>
          <cell r="B63" t="str">
            <v>Sarjeta triangular de grama-STG 04</v>
          </cell>
          <cell r="C63" t="str">
            <v/>
          </cell>
          <cell r="D63" t="str">
            <v/>
          </cell>
          <cell r="E63" t="str">
            <v>m</v>
          </cell>
          <cell r="F63">
            <v>2326</v>
          </cell>
          <cell r="G63">
            <v>8.4700000000000006</v>
          </cell>
        </row>
        <row r="64">
          <cell r="A64" t="str">
            <v>DER78150a</v>
          </cell>
          <cell r="B64" t="str">
            <v>Caixa coletora de sarjeta - CCS, D=60cm E H=1,5m</v>
          </cell>
          <cell r="C64" t="str">
            <v/>
          </cell>
          <cell r="D64" t="str">
            <v/>
          </cell>
          <cell r="E64" t="str">
            <v>un</v>
          </cell>
          <cell r="F64">
            <v>7</v>
          </cell>
          <cell r="G64">
            <v>500.45</v>
          </cell>
        </row>
        <row r="65">
          <cell r="A65" t="str">
            <v>04.930.01</v>
          </cell>
          <cell r="B65" t="str">
            <v>Caixa coletora de sarjeta-CCS 01</v>
          </cell>
          <cell r="C65" t="str">
            <v>DNER-ES287/97</v>
          </cell>
          <cell r="D65" t="str">
            <v/>
          </cell>
          <cell r="E65" t="str">
            <v>un</v>
          </cell>
          <cell r="F65">
            <v>1</v>
          </cell>
          <cell r="G65">
            <v>568.85</v>
          </cell>
        </row>
        <row r="66">
          <cell r="A66" t="str">
            <v>P 04.100.08</v>
          </cell>
          <cell r="B66" t="str">
            <v>Execução de galerias D=0,40 c/ lastro de concreto</v>
          </cell>
          <cell r="C66" t="str">
            <v/>
          </cell>
          <cell r="D66" t="str">
            <v/>
          </cell>
          <cell r="E66" t="str">
            <v>m</v>
          </cell>
          <cell r="F66">
            <v>48</v>
          </cell>
          <cell r="G66">
            <v>58.65</v>
          </cell>
        </row>
        <row r="67">
          <cell r="A67" t="str">
            <v>P 04.100.10</v>
          </cell>
          <cell r="B67" t="str">
            <v>Execução de galerias D=0,60 c/ lastro de concreto</v>
          </cell>
          <cell r="C67" t="str">
            <v/>
          </cell>
          <cell r="D67" t="str">
            <v/>
          </cell>
          <cell r="E67" t="str">
            <v>m</v>
          </cell>
          <cell r="F67">
            <v>146</v>
          </cell>
          <cell r="G67">
            <v>131.66</v>
          </cell>
        </row>
        <row r="68">
          <cell r="A68" t="str">
            <v>P 04.100.40</v>
          </cell>
          <cell r="B68" t="str">
            <v>Execução de galerias D=0,80m c/ lastro de concreto</v>
          </cell>
          <cell r="C68" t="str">
            <v/>
          </cell>
          <cell r="D68" t="str">
            <v/>
          </cell>
          <cell r="E68" t="str">
            <v>m</v>
          </cell>
          <cell r="F68">
            <v>10</v>
          </cell>
          <cell r="G68">
            <v>197.36</v>
          </cell>
        </row>
        <row r="69">
          <cell r="A69" t="str">
            <v>DER72350b</v>
          </cell>
          <cell r="B69" t="str">
            <v>Boca para BSTC D=40cm - Normal</v>
          </cell>
          <cell r="C69" t="str">
            <v/>
          </cell>
          <cell r="D69" t="str">
            <v/>
          </cell>
          <cell r="E69" t="str">
            <v>un</v>
          </cell>
          <cell r="F69">
            <v>2</v>
          </cell>
          <cell r="G69">
            <v>147.57</v>
          </cell>
        </row>
        <row r="70">
          <cell r="A70" t="str">
            <v>04.101.01</v>
          </cell>
          <cell r="B70" t="str">
            <v>Boca de BSTC D=0.60m-normal</v>
          </cell>
          <cell r="C70" t="str">
            <v>DNER-ES284/97</v>
          </cell>
          <cell r="D70" t="str">
            <v/>
          </cell>
          <cell r="E70" t="str">
            <v>un</v>
          </cell>
          <cell r="F70">
            <v>4</v>
          </cell>
          <cell r="G70">
            <v>299.62</v>
          </cell>
        </row>
        <row r="71">
          <cell r="F71" t="str">
            <v>SUB-TOTAL</v>
          </cell>
        </row>
        <row r="73">
          <cell r="B73" t="str">
            <v>OBRAS DE ARTE CORRENTES</v>
          </cell>
        </row>
        <row r="74">
          <cell r="A74" t="str">
            <v>04.001.01</v>
          </cell>
          <cell r="B74" t="str">
            <v>Escavação mecânica,reaterro e compactação (material de 1a categoria)</v>
          </cell>
          <cell r="C74" t="str">
            <v/>
          </cell>
          <cell r="D74" t="str">
            <v/>
          </cell>
          <cell r="E74" t="str">
            <v>m3</v>
          </cell>
          <cell r="F74">
            <v>2095</v>
          </cell>
          <cell r="G74">
            <v>3.03</v>
          </cell>
        </row>
        <row r="75">
          <cell r="A75" t="str">
            <v>04.100.01</v>
          </cell>
          <cell r="B75" t="str">
            <v>Corpo de BSTC D=0.60m</v>
          </cell>
          <cell r="C75" t="str">
            <v>DNER-ES284/97</v>
          </cell>
          <cell r="D75" t="str">
            <v/>
          </cell>
          <cell r="E75" t="str">
            <v xml:space="preserve">m </v>
          </cell>
          <cell r="F75">
            <v>20</v>
          </cell>
          <cell r="G75">
            <v>139.21</v>
          </cell>
        </row>
        <row r="76">
          <cell r="A76" t="str">
            <v>04.100.02</v>
          </cell>
          <cell r="B76" t="str">
            <v>Corpo de BSTC D=0.80m</v>
          </cell>
          <cell r="C76" t="str">
            <v>DNER-ES284/97</v>
          </cell>
          <cell r="D76" t="str">
            <v/>
          </cell>
          <cell r="E76" t="str">
            <v xml:space="preserve">m </v>
          </cell>
          <cell r="F76">
            <v>44</v>
          </cell>
          <cell r="G76">
            <v>201.98</v>
          </cell>
        </row>
        <row r="77">
          <cell r="A77" t="str">
            <v>04.100.03</v>
          </cell>
          <cell r="B77" t="str">
            <v>Corpo de BSTC D=1.00m</v>
          </cell>
          <cell r="C77" t="str">
            <v>DNER-ES284/97</v>
          </cell>
          <cell r="D77" t="str">
            <v/>
          </cell>
          <cell r="E77" t="str">
            <v xml:space="preserve">m </v>
          </cell>
          <cell r="F77">
            <v>63</v>
          </cell>
          <cell r="G77">
            <v>280.33</v>
          </cell>
        </row>
        <row r="78">
          <cell r="A78" t="str">
            <v>04.101.01</v>
          </cell>
          <cell r="B78" t="str">
            <v>Boca de BSTC D=0.60m-normal</v>
          </cell>
          <cell r="C78" t="str">
            <v>DNER-ES284/97</v>
          </cell>
          <cell r="D78" t="str">
            <v/>
          </cell>
          <cell r="E78" t="str">
            <v>un</v>
          </cell>
          <cell r="F78">
            <v>2</v>
          </cell>
          <cell r="G78">
            <v>299.62</v>
          </cell>
        </row>
        <row r="79">
          <cell r="A79" t="str">
            <v>04.101.02</v>
          </cell>
          <cell r="B79" t="str">
            <v>Boca de BSTC D=0.80m-normal</v>
          </cell>
          <cell r="C79" t="str">
            <v>DNER-ES284/97</v>
          </cell>
          <cell r="D79" t="str">
            <v/>
          </cell>
          <cell r="E79" t="str">
            <v>un</v>
          </cell>
          <cell r="F79">
            <v>7</v>
          </cell>
          <cell r="G79">
            <v>494.05</v>
          </cell>
        </row>
        <row r="80">
          <cell r="A80" t="str">
            <v>04.101.03</v>
          </cell>
          <cell r="B80" t="str">
            <v>Boca de BSTC D=1.00m-normal</v>
          </cell>
          <cell r="C80" t="str">
            <v>DNER-ES284/97</v>
          </cell>
          <cell r="D80" t="str">
            <v/>
          </cell>
          <cell r="E80" t="str">
            <v>un</v>
          </cell>
          <cell r="F80">
            <v>8</v>
          </cell>
          <cell r="G80">
            <v>757.56</v>
          </cell>
        </row>
        <row r="81">
          <cell r="A81" t="str">
            <v>04.110.01</v>
          </cell>
          <cell r="B81" t="str">
            <v>Corpo de BDTC D=1.00m</v>
          </cell>
          <cell r="C81" t="str">
            <v>DNER-ES284/97</v>
          </cell>
          <cell r="D81" t="str">
            <v/>
          </cell>
          <cell r="E81" t="str">
            <v>m</v>
          </cell>
          <cell r="F81">
            <v>40</v>
          </cell>
          <cell r="G81">
            <v>572.14</v>
          </cell>
        </row>
        <row r="82">
          <cell r="A82" t="str">
            <v>04.111.01</v>
          </cell>
          <cell r="B82" t="str">
            <v>Boca de BDTC D=1.00m-normal</v>
          </cell>
          <cell r="C82" t="str">
            <v>DNER-ES284/97</v>
          </cell>
          <cell r="D82" t="str">
            <v/>
          </cell>
          <cell r="E82" t="str">
            <v>un</v>
          </cell>
          <cell r="F82">
            <v>5</v>
          </cell>
          <cell r="G82">
            <v>1056.6199999999999</v>
          </cell>
        </row>
        <row r="83">
          <cell r="A83" t="str">
            <v>04.200.01</v>
          </cell>
          <cell r="B83" t="str">
            <v>Corpo de BSCC 1.50x1.50m-H=0 a 1.00m</v>
          </cell>
          <cell r="C83" t="str">
            <v>DNER-ES286/97</v>
          </cell>
          <cell r="D83" t="str">
            <v/>
          </cell>
          <cell r="E83" t="str">
            <v>m</v>
          </cell>
          <cell r="F83">
            <v>11</v>
          </cell>
          <cell r="G83">
            <v>528.09</v>
          </cell>
        </row>
        <row r="84">
          <cell r="A84" t="str">
            <v>04.200.02</v>
          </cell>
          <cell r="B84" t="str">
            <v>Corpo de BSCC 2.00x2.00m-H=0 a 1.00m</v>
          </cell>
          <cell r="C84" t="str">
            <v>DNER-ES286/97</v>
          </cell>
          <cell r="D84" t="str">
            <v/>
          </cell>
          <cell r="E84" t="str">
            <v>m</v>
          </cell>
          <cell r="F84">
            <v>12</v>
          </cell>
          <cell r="G84">
            <v>737.8</v>
          </cell>
        </row>
        <row r="85">
          <cell r="A85" t="str">
            <v>04.200.06</v>
          </cell>
          <cell r="B85" t="str">
            <v>Corpo de BSCC 2.00x2.00m-H=1.00 a 2.50m</v>
          </cell>
          <cell r="C85" t="str">
            <v>DNER-ES286/97</v>
          </cell>
          <cell r="D85" t="str">
            <v/>
          </cell>
          <cell r="E85" t="str">
            <v>m</v>
          </cell>
          <cell r="F85">
            <v>13</v>
          </cell>
          <cell r="G85">
            <v>661.97</v>
          </cell>
        </row>
        <row r="86">
          <cell r="A86" t="str">
            <v>04.200.07</v>
          </cell>
          <cell r="B86" t="str">
            <v>Corpo de BSCC 2.50x2.50m-H=1.00 a 2.50m</v>
          </cell>
          <cell r="C86" t="str">
            <v>DNER-ES286/97</v>
          </cell>
          <cell r="D86" t="str">
            <v/>
          </cell>
          <cell r="E86" t="str">
            <v>m</v>
          </cell>
          <cell r="F86">
            <v>48</v>
          </cell>
          <cell r="G86">
            <v>975.93</v>
          </cell>
        </row>
        <row r="87">
          <cell r="A87" t="str">
            <v>04.201.01</v>
          </cell>
          <cell r="B87" t="str">
            <v>Boca de BSCC 1.50x1.50m - normal</v>
          </cell>
          <cell r="C87" t="str">
            <v/>
          </cell>
          <cell r="D87" t="str">
            <v/>
          </cell>
          <cell r="E87" t="str">
            <v>un</v>
          </cell>
          <cell r="F87">
            <v>2</v>
          </cell>
          <cell r="G87">
            <v>3149.41</v>
          </cell>
        </row>
        <row r="88">
          <cell r="A88" t="str">
            <v>04.201.02</v>
          </cell>
          <cell r="B88" t="str">
            <v>Boca de BSCC 2.00x2.00m - normal</v>
          </cell>
          <cell r="C88" t="str">
            <v/>
          </cell>
          <cell r="D88" t="str">
            <v/>
          </cell>
          <cell r="E88" t="str">
            <v>un</v>
          </cell>
          <cell r="F88">
            <v>4</v>
          </cell>
          <cell r="G88">
            <v>4874.24</v>
          </cell>
        </row>
        <row r="89">
          <cell r="A89" t="str">
            <v>04.201.03</v>
          </cell>
          <cell r="B89" t="str">
            <v>Boca de BSCC 2.50x2.50m - normal</v>
          </cell>
          <cell r="C89" t="str">
            <v/>
          </cell>
          <cell r="D89" t="str">
            <v/>
          </cell>
          <cell r="E89" t="str">
            <v>un</v>
          </cell>
          <cell r="F89">
            <v>8</v>
          </cell>
          <cell r="G89">
            <v>6579.56</v>
          </cell>
        </row>
        <row r="90">
          <cell r="A90" t="str">
            <v>04.210.01</v>
          </cell>
          <cell r="B90" t="str">
            <v>Corpo de BDCC 1.50x1.50m-H=0 a 1.00m</v>
          </cell>
          <cell r="C90" t="str">
            <v>DNER-ES286/97</v>
          </cell>
          <cell r="D90" t="str">
            <v/>
          </cell>
          <cell r="E90" t="str">
            <v>m</v>
          </cell>
          <cell r="F90">
            <v>22</v>
          </cell>
          <cell r="G90">
            <v>864.14</v>
          </cell>
        </row>
        <row r="91">
          <cell r="A91" t="str">
            <v>04.211.01</v>
          </cell>
          <cell r="B91" t="str">
            <v>Boca de BDCC 1.50x1.50m - normal</v>
          </cell>
          <cell r="C91" t="str">
            <v/>
          </cell>
          <cell r="D91" t="str">
            <v/>
          </cell>
          <cell r="E91" t="str">
            <v>un</v>
          </cell>
          <cell r="F91">
            <v>3</v>
          </cell>
          <cell r="G91">
            <v>3642.66</v>
          </cell>
        </row>
        <row r="92">
          <cell r="A92" t="str">
            <v>04.999.01</v>
          </cell>
          <cell r="B92" t="str">
            <v>Remoção de bueiros existentes</v>
          </cell>
          <cell r="C92" t="str">
            <v/>
          </cell>
          <cell r="D92" t="str">
            <v/>
          </cell>
          <cell r="E92" t="str">
            <v>m</v>
          </cell>
          <cell r="F92">
            <v>57</v>
          </cell>
          <cell r="G92">
            <v>13.06</v>
          </cell>
        </row>
        <row r="93">
          <cell r="A93" t="str">
            <v>04.999.02</v>
          </cell>
          <cell r="B93" t="str">
            <v>Demolição de dispositivos de concreto</v>
          </cell>
          <cell r="C93" t="str">
            <v>DNER-ES296/97</v>
          </cell>
          <cell r="D93" t="str">
            <v/>
          </cell>
          <cell r="E93" t="str">
            <v>m3</v>
          </cell>
          <cell r="F93">
            <v>38</v>
          </cell>
          <cell r="G93">
            <v>12.58</v>
          </cell>
        </row>
        <row r="94">
          <cell r="A94" t="str">
            <v>P 04.100.22</v>
          </cell>
          <cell r="B94" t="str">
            <v>Bueiro Met.Corrug.circular, T.Armco,  c/Epoxy-bonded, MP-100, D=1,40 m, E=2,0mm</v>
          </cell>
          <cell r="C94" t="str">
            <v/>
          </cell>
          <cell r="D94" t="str">
            <v/>
          </cell>
          <cell r="E94" t="str">
            <v>m</v>
          </cell>
          <cell r="F94">
            <v>12</v>
          </cell>
          <cell r="G94">
            <v>486.03</v>
          </cell>
        </row>
        <row r="95">
          <cell r="A95" t="str">
            <v>DER72450a</v>
          </cell>
          <cell r="B95" t="str">
            <v>Boca para BSTM D=140cm - Normal</v>
          </cell>
          <cell r="C95" t="str">
            <v/>
          </cell>
          <cell r="D95" t="str">
            <v/>
          </cell>
          <cell r="E95" t="str">
            <v>un</v>
          </cell>
          <cell r="F95">
            <v>2</v>
          </cell>
          <cell r="G95">
            <v>690.23</v>
          </cell>
        </row>
        <row r="96">
          <cell r="F96" t="str">
            <v>SUB-TOTAL</v>
          </cell>
        </row>
        <row r="97">
          <cell r="B97" t="str">
            <v>OBRAS COMPLEMENTARES</v>
          </cell>
        </row>
        <row r="98">
          <cell r="A98" t="str">
            <v>05.100.00</v>
          </cell>
          <cell r="B98" t="str">
            <v>Enleivamento</v>
          </cell>
          <cell r="C98" t="str">
            <v>DNER-ES341/97</v>
          </cell>
          <cell r="D98" t="str">
            <v/>
          </cell>
          <cell r="E98" t="str">
            <v>m2</v>
          </cell>
          <cell r="F98">
            <v>30953</v>
          </cell>
          <cell r="G98">
            <v>2.06</v>
          </cell>
        </row>
        <row r="99">
          <cell r="A99" t="str">
            <v>05.102.00</v>
          </cell>
          <cell r="B99" t="str">
            <v>Hidrossemeadura</v>
          </cell>
          <cell r="C99" t="str">
            <v>DNER-ES341/97</v>
          </cell>
          <cell r="D99" t="str">
            <v/>
          </cell>
          <cell r="E99" t="str">
            <v>m2</v>
          </cell>
          <cell r="F99">
            <v>10630</v>
          </cell>
          <cell r="G99">
            <v>0.49</v>
          </cell>
        </row>
        <row r="100">
          <cell r="A100" t="str">
            <v>P 05.100.02</v>
          </cell>
          <cell r="B100" t="str">
            <v>Fornecimento e plantio de árvore selecionada</v>
          </cell>
          <cell r="C100" t="str">
            <v/>
          </cell>
          <cell r="D100" t="str">
            <v/>
          </cell>
          <cell r="E100" t="str">
            <v>un</v>
          </cell>
          <cell r="F100">
            <v>329</v>
          </cell>
          <cell r="G100">
            <v>6.02</v>
          </cell>
        </row>
        <row r="101">
          <cell r="A101" t="str">
            <v>R1</v>
          </cell>
          <cell r="B101" t="str">
            <v>Remanejamento de Rede de Baixa Tensão (220/380V)</v>
          </cell>
          <cell r="C101" t="str">
            <v/>
          </cell>
          <cell r="D101" t="str">
            <v/>
          </cell>
          <cell r="E101" t="str">
            <v>m</v>
          </cell>
          <cell r="F101">
            <v>480</v>
          </cell>
          <cell r="G101">
            <v>4.7</v>
          </cell>
        </row>
        <row r="102">
          <cell r="A102" t="str">
            <v>R2</v>
          </cell>
          <cell r="B102" t="str">
            <v>Remanejamento de Rede de Alta Tensão (138kV)</v>
          </cell>
          <cell r="C102" t="str">
            <v/>
          </cell>
          <cell r="D102" t="str">
            <v/>
          </cell>
          <cell r="E102" t="str">
            <v>m</v>
          </cell>
          <cell r="F102">
            <v>480</v>
          </cell>
          <cell r="G102">
            <v>6.2</v>
          </cell>
        </row>
        <row r="103">
          <cell r="A103" t="str">
            <v>R10</v>
          </cell>
          <cell r="B103" t="str">
            <v>Remanejamento de Poste de Concreto 10/150</v>
          </cell>
          <cell r="C103" t="str">
            <v/>
          </cell>
          <cell r="D103" t="str">
            <v/>
          </cell>
          <cell r="E103" t="str">
            <v>un</v>
          </cell>
          <cell r="F103">
            <v>5</v>
          </cell>
          <cell r="G103">
            <v>75</v>
          </cell>
        </row>
        <row r="104">
          <cell r="A104" t="str">
            <v>R27</v>
          </cell>
          <cell r="B104" t="str">
            <v>Remanejamento de Poste de Madeira</v>
          </cell>
          <cell r="C104" t="str">
            <v/>
          </cell>
          <cell r="D104" t="str">
            <v/>
          </cell>
          <cell r="E104" t="str">
            <v>un</v>
          </cell>
          <cell r="F104">
            <v>2</v>
          </cell>
          <cell r="G104">
            <v>70</v>
          </cell>
        </row>
      </sheetData>
      <sheetData sheetId="22" refreshError="1">
        <row r="14">
          <cell r="A14" t="str">
            <v>02.000.00</v>
          </cell>
          <cell r="B14" t="str">
            <v>Regularização do subleito</v>
          </cell>
          <cell r="C14" t="str">
            <v/>
          </cell>
          <cell r="D14" t="str">
            <v/>
          </cell>
          <cell r="E14" t="str">
            <v>m2</v>
          </cell>
          <cell r="F14">
            <v>1137</v>
          </cell>
          <cell r="G14">
            <v>0.3</v>
          </cell>
        </row>
        <row r="15">
          <cell r="A15" t="str">
            <v>DER53130</v>
          </cell>
          <cell r="B15" t="str">
            <v>Camada de macadame seco</v>
          </cell>
          <cell r="C15" t="str">
            <v/>
          </cell>
          <cell r="D15" t="str">
            <v/>
          </cell>
          <cell r="E15" t="str">
            <v>m3</v>
          </cell>
          <cell r="F15">
            <v>177</v>
          </cell>
          <cell r="G15">
            <v>21.86</v>
          </cell>
        </row>
        <row r="16">
          <cell r="A16" t="str">
            <v>02.230.00</v>
          </cell>
          <cell r="B16" t="str">
            <v>Base brita graduada</v>
          </cell>
          <cell r="C16" t="str">
            <v>DNER-ES303/97</v>
          </cell>
          <cell r="D16" t="str">
            <v/>
          </cell>
          <cell r="E16" t="str">
            <v>m3</v>
          </cell>
          <cell r="F16">
            <v>149</v>
          </cell>
          <cell r="G16">
            <v>28.06</v>
          </cell>
        </row>
        <row r="17">
          <cell r="A17" t="str">
            <v>02.300.00</v>
          </cell>
          <cell r="B17" t="str">
            <v>Imprimação - Fornecimento, transporte e execução</v>
          </cell>
          <cell r="C17" t="str">
            <v>DNER-ES306/97</v>
          </cell>
          <cell r="D17" t="str">
            <v/>
          </cell>
          <cell r="E17" t="str">
            <v>m2</v>
          </cell>
          <cell r="F17">
            <v>993</v>
          </cell>
          <cell r="G17">
            <v>1.1100000000000001</v>
          </cell>
        </row>
        <row r="18">
          <cell r="A18" t="str">
            <v>02.400.00</v>
          </cell>
          <cell r="B18" t="str">
            <v>Pintura de ligação - Fornec., transporte e execução</v>
          </cell>
          <cell r="C18" t="str">
            <v>DNER-ES307/97</v>
          </cell>
          <cell r="D18" t="str">
            <v/>
          </cell>
          <cell r="E18" t="str">
            <v>m2</v>
          </cell>
          <cell r="F18">
            <v>1784</v>
          </cell>
          <cell r="G18">
            <v>0.41</v>
          </cell>
        </row>
        <row r="19">
          <cell r="A19" t="str">
            <v>02.540.01</v>
          </cell>
          <cell r="B19" t="str">
            <v>Concreto betuminoso usinado a quente - usina 100/140 t/h</v>
          </cell>
          <cell r="C19" t="str">
            <v>DNER-ES313/97</v>
          </cell>
          <cell r="D19" t="str">
            <v/>
          </cell>
          <cell r="E19" t="str">
            <v>t</v>
          </cell>
          <cell r="F19">
            <v>198</v>
          </cell>
          <cell r="G19">
            <v>67.64</v>
          </cell>
        </row>
        <row r="20">
          <cell r="F20" t="str">
            <v>SUB-TOTAL</v>
          </cell>
        </row>
        <row r="22">
          <cell r="B22" t="str">
            <v>DRENAGEM</v>
          </cell>
        </row>
        <row r="23">
          <cell r="A23" t="str">
            <v>04.000.00</v>
          </cell>
          <cell r="B23" t="str">
            <v>Escavação manual em material de 1a categoria</v>
          </cell>
          <cell r="C23" t="str">
            <v/>
          </cell>
          <cell r="D23" t="str">
            <v/>
          </cell>
          <cell r="E23" t="str">
            <v>m3</v>
          </cell>
          <cell r="F23">
            <v>10</v>
          </cell>
          <cell r="G23">
            <v>17.57</v>
          </cell>
        </row>
        <row r="24">
          <cell r="A24" t="str">
            <v>04.001.00</v>
          </cell>
          <cell r="B24" t="str">
            <v>Escavação mecânica em material de 1a categoria</v>
          </cell>
          <cell r="C24" t="str">
            <v/>
          </cell>
          <cell r="D24" t="str">
            <v/>
          </cell>
          <cell r="E24" t="str">
            <v>m3</v>
          </cell>
          <cell r="F24">
            <v>20</v>
          </cell>
          <cell r="G24">
            <v>2.09</v>
          </cell>
        </row>
        <row r="25">
          <cell r="A25" t="str">
            <v>04.001.01</v>
          </cell>
          <cell r="B25" t="str">
            <v>Escavação mecânica,reaterro e compactação (material de 1a categoria)</v>
          </cell>
          <cell r="C25" t="str">
            <v/>
          </cell>
          <cell r="D25" t="str">
            <v/>
          </cell>
          <cell r="E25" t="str">
            <v>m3</v>
          </cell>
          <cell r="F25">
            <v>107</v>
          </cell>
          <cell r="G25">
            <v>3.03</v>
          </cell>
        </row>
        <row r="26">
          <cell r="A26" t="str">
            <v>04.401.02</v>
          </cell>
          <cell r="B26" t="str">
            <v>Valeta de prot. de aterro c/ revest. vegetal VPA 02</v>
          </cell>
          <cell r="C26" t="str">
            <v/>
          </cell>
          <cell r="D26" t="str">
            <v/>
          </cell>
          <cell r="E26" t="str">
            <v>m</v>
          </cell>
          <cell r="F26">
            <v>165</v>
          </cell>
          <cell r="G26">
            <v>24.32</v>
          </cell>
        </row>
        <row r="27">
          <cell r="A27" t="str">
            <v>04.900.21</v>
          </cell>
          <cell r="B27" t="str">
            <v>Sarjeta de cant. central de concreto-SCC 01</v>
          </cell>
          <cell r="C27" t="str">
            <v>DNER-ES288/97</v>
          </cell>
          <cell r="D27" t="str">
            <v/>
          </cell>
          <cell r="E27" t="str">
            <v>m</v>
          </cell>
          <cell r="F27">
            <v>132</v>
          </cell>
          <cell r="G27">
            <v>13.85</v>
          </cell>
        </row>
        <row r="28">
          <cell r="A28" t="str">
            <v>04.910.05</v>
          </cell>
          <cell r="B28" t="str">
            <v>Meio-fio de concreto-MFC 05</v>
          </cell>
          <cell r="C28" t="str">
            <v>DNER-ES290/97</v>
          </cell>
          <cell r="D28" t="str">
            <v/>
          </cell>
          <cell r="E28" t="str">
            <v>m</v>
          </cell>
          <cell r="F28">
            <v>35</v>
          </cell>
          <cell r="G28">
            <v>10.54</v>
          </cell>
        </row>
        <row r="29">
          <cell r="A29" t="str">
            <v>DER78150a</v>
          </cell>
          <cell r="B29" t="str">
            <v>Caixa coletora de sarjeta - CCS, D=60cm E H=1,5m</v>
          </cell>
          <cell r="C29" t="str">
            <v/>
          </cell>
          <cell r="D29" t="str">
            <v/>
          </cell>
          <cell r="E29" t="str">
            <v>un</v>
          </cell>
          <cell r="F29">
            <v>1</v>
          </cell>
          <cell r="G29">
            <v>500.45</v>
          </cell>
        </row>
        <row r="30">
          <cell r="A30" t="str">
            <v>P 04.100.08</v>
          </cell>
          <cell r="B30" t="str">
            <v>Execução de galerias D=0,40 c/ lastro de concreto</v>
          </cell>
          <cell r="C30" t="str">
            <v/>
          </cell>
          <cell r="D30" t="str">
            <v/>
          </cell>
          <cell r="E30" t="str">
            <v>m</v>
          </cell>
          <cell r="F30">
            <v>13</v>
          </cell>
          <cell r="G30">
            <v>58.65</v>
          </cell>
        </row>
        <row r="31">
          <cell r="A31" t="str">
            <v>P 04.100.10</v>
          </cell>
          <cell r="B31" t="str">
            <v>Execução de galerias D=0,60 c/ lastro de concreto</v>
          </cell>
          <cell r="C31" t="str">
            <v/>
          </cell>
          <cell r="D31" t="str">
            <v/>
          </cell>
          <cell r="E31" t="str">
            <v>m</v>
          </cell>
          <cell r="F31">
            <v>17</v>
          </cell>
          <cell r="G31">
            <v>131.66</v>
          </cell>
        </row>
        <row r="32">
          <cell r="A32" t="str">
            <v>DER72350b</v>
          </cell>
          <cell r="B32" t="str">
            <v>Boca para BSTC D=40cm - Normal</v>
          </cell>
          <cell r="C32" t="str">
            <v/>
          </cell>
          <cell r="D32" t="str">
            <v/>
          </cell>
          <cell r="E32" t="str">
            <v>un</v>
          </cell>
          <cell r="F32">
            <v>1</v>
          </cell>
          <cell r="G32">
            <v>147.57</v>
          </cell>
        </row>
        <row r="33">
          <cell r="A33" t="str">
            <v>04.101.01</v>
          </cell>
          <cell r="B33" t="str">
            <v>Boca de BSTC D=0.60m-normal</v>
          </cell>
          <cell r="C33" t="str">
            <v>DNER-ES284/97</v>
          </cell>
          <cell r="D33" t="str">
            <v/>
          </cell>
          <cell r="E33" t="str">
            <v>un</v>
          </cell>
          <cell r="F33">
            <v>1</v>
          </cell>
          <cell r="G33">
            <v>299.62</v>
          </cell>
        </row>
      </sheetData>
      <sheetData sheetId="23" refreshError="1">
        <row r="16">
          <cell r="A16" t="str">
            <v>03.010.01</v>
          </cell>
          <cell r="B16" t="str">
            <v>Escavação em cavas de fundação com esgotamento</v>
          </cell>
          <cell r="C16" t="str">
            <v/>
          </cell>
          <cell r="D16" t="str">
            <v/>
          </cell>
          <cell r="E16" t="str">
            <v>m3</v>
          </cell>
          <cell r="F16">
            <v>62</v>
          </cell>
          <cell r="G16">
            <v>22.39</v>
          </cell>
        </row>
        <row r="17">
          <cell r="A17" t="str">
            <v>03.371.01</v>
          </cell>
          <cell r="B17" t="str">
            <v>Formas de placa compensada resinada</v>
          </cell>
          <cell r="C17" t="str">
            <v/>
          </cell>
          <cell r="D17" t="str">
            <v/>
          </cell>
          <cell r="E17" t="str">
            <v>m2</v>
          </cell>
          <cell r="F17">
            <v>57</v>
          </cell>
          <cell r="G17">
            <v>21.86</v>
          </cell>
        </row>
        <row r="18">
          <cell r="A18" t="str">
            <v>03.371.02</v>
          </cell>
          <cell r="B18" t="str">
            <v>Formas de placa compensada plastificada</v>
          </cell>
          <cell r="C18" t="str">
            <v/>
          </cell>
          <cell r="D18" t="str">
            <v/>
          </cell>
          <cell r="E18" t="str">
            <v>m2</v>
          </cell>
          <cell r="F18">
            <v>194</v>
          </cell>
          <cell r="G18">
            <v>30.76</v>
          </cell>
        </row>
        <row r="19">
          <cell r="A19" t="str">
            <v>03.353.00</v>
          </cell>
          <cell r="B19" t="str">
            <v>Forn., preparo e colocação nas formas, de aço CA-50</v>
          </cell>
          <cell r="C19" t="str">
            <v/>
          </cell>
          <cell r="D19" t="str">
            <v/>
          </cell>
          <cell r="E19" t="str">
            <v>kg</v>
          </cell>
          <cell r="F19">
            <v>2950</v>
          </cell>
          <cell r="G19">
            <v>2.59</v>
          </cell>
        </row>
        <row r="20">
          <cell r="A20" t="str">
            <v>03.326.00</v>
          </cell>
          <cell r="B20" t="str">
            <v xml:space="preserve">Concreto fck= 20 MPa-contr. raz. uso ger. </v>
          </cell>
          <cell r="C20" t="str">
            <v/>
          </cell>
          <cell r="D20" t="str">
            <v/>
          </cell>
          <cell r="E20" t="str">
            <v>m3</v>
          </cell>
          <cell r="F20">
            <v>39</v>
          </cell>
          <cell r="G20">
            <v>149.19999999999999</v>
          </cell>
        </row>
        <row r="21">
          <cell r="A21" t="str">
            <v>OAE5a</v>
          </cell>
          <cell r="B21" t="str">
            <v>Estaca metálica - tipo CS 250 X 52 - Fornecimento e cravação</v>
          </cell>
          <cell r="C21" t="str">
            <v/>
          </cell>
          <cell r="D21" t="str">
            <v/>
          </cell>
          <cell r="E21" t="str">
            <v>m</v>
          </cell>
          <cell r="F21">
            <v>64</v>
          </cell>
          <cell r="G21">
            <v>97.23</v>
          </cell>
        </row>
        <row r="22">
          <cell r="A22" t="str">
            <v>OAE5b</v>
          </cell>
          <cell r="B22" t="str">
            <v>Estaca metálica - tipo CS 300 x 77 - Fornecimento e cravação</v>
          </cell>
          <cell r="C22" t="str">
            <v/>
          </cell>
          <cell r="D22" t="str">
            <v/>
          </cell>
          <cell r="E22" t="str">
            <v>m</v>
          </cell>
          <cell r="F22">
            <v>192</v>
          </cell>
          <cell r="G22">
            <v>122.7</v>
          </cell>
        </row>
        <row r="23">
          <cell r="A23" t="str">
            <v>OAE5c</v>
          </cell>
          <cell r="B23" t="str">
            <v>Estaca metálica - tipo CS 300 x 116 - Fornecimento e cravação</v>
          </cell>
          <cell r="C23" t="str">
            <v/>
          </cell>
          <cell r="D23" t="str">
            <v/>
          </cell>
          <cell r="E23" t="str">
            <v>m</v>
          </cell>
          <cell r="F23">
            <v>64</v>
          </cell>
          <cell r="G23">
            <v>162.41999999999999</v>
          </cell>
        </row>
        <row r="24">
          <cell r="B24" t="str">
            <v>Superestrutura</v>
          </cell>
        </row>
        <row r="25">
          <cell r="A25" t="str">
            <v>03.371.02</v>
          </cell>
          <cell r="B25" t="str">
            <v>Formas de placa compensada plastificada</v>
          </cell>
          <cell r="C25" t="str">
            <v/>
          </cell>
          <cell r="D25" t="str">
            <v/>
          </cell>
          <cell r="E25" t="str">
            <v>m2</v>
          </cell>
          <cell r="F25">
            <v>2100</v>
          </cell>
          <cell r="G25">
            <v>30.76</v>
          </cell>
        </row>
        <row r="26">
          <cell r="A26" t="str">
            <v>OAE6</v>
          </cell>
          <cell r="B26" t="str">
            <v>Escoramento metálico comum (cimbramento)</v>
          </cell>
          <cell r="C26" t="str">
            <v/>
          </cell>
          <cell r="D26" t="str">
            <v/>
          </cell>
          <cell r="E26" t="str">
            <v>m3</v>
          </cell>
          <cell r="F26">
            <v>1630</v>
          </cell>
          <cell r="G26">
            <v>27.58</v>
          </cell>
        </row>
        <row r="27">
          <cell r="A27" t="str">
            <v>03.353.00</v>
          </cell>
          <cell r="B27" t="str">
            <v>Forn., preparo e colocação nas formas, de aço CA-50</v>
          </cell>
          <cell r="C27" t="str">
            <v/>
          </cell>
          <cell r="D27" t="str">
            <v/>
          </cell>
          <cell r="E27" t="str">
            <v>kg</v>
          </cell>
          <cell r="F27">
            <v>19390</v>
          </cell>
          <cell r="G27">
            <v>2.59</v>
          </cell>
        </row>
        <row r="28">
          <cell r="A28" t="str">
            <v>03.354.00</v>
          </cell>
          <cell r="B28" t="str">
            <v>Forn., preparo e colocação nas formas, de aço CA-60</v>
          </cell>
          <cell r="C28" t="str">
            <v/>
          </cell>
          <cell r="D28" t="str">
            <v/>
          </cell>
          <cell r="E28" t="str">
            <v>kg</v>
          </cell>
          <cell r="F28">
            <v>2200</v>
          </cell>
          <cell r="G28">
            <v>2.85</v>
          </cell>
        </row>
        <row r="29">
          <cell r="A29" t="str">
            <v>03.359.01</v>
          </cell>
          <cell r="B29" t="str">
            <v>Forn., preparo e colocação nas formas, de aço CA-25</v>
          </cell>
          <cell r="C29" t="str">
            <v/>
          </cell>
          <cell r="D29" t="str">
            <v/>
          </cell>
          <cell r="E29" t="str">
            <v>kg</v>
          </cell>
          <cell r="F29">
            <v>115</v>
          </cell>
          <cell r="G29">
            <v>2.4300000000000002</v>
          </cell>
        </row>
        <row r="30">
          <cell r="A30" t="str">
            <v>03.330.00</v>
          </cell>
          <cell r="B30" t="str">
            <v>Concreto fck= 35 MPa-contr. raz. uso ger.</v>
          </cell>
          <cell r="C30" t="str">
            <v/>
          </cell>
          <cell r="D30" t="str">
            <v/>
          </cell>
          <cell r="E30" t="str">
            <v>m3</v>
          </cell>
          <cell r="F30">
            <v>173</v>
          </cell>
          <cell r="G30">
            <v>166.78</v>
          </cell>
        </row>
        <row r="31">
          <cell r="A31" t="str">
            <v>03.326.00</v>
          </cell>
          <cell r="B31" t="str">
            <v xml:space="preserve">Concreto fck= 20 MPa-contr. raz. uso ger. </v>
          </cell>
          <cell r="C31" t="str">
            <v/>
          </cell>
          <cell r="D31" t="str">
            <v/>
          </cell>
          <cell r="E31" t="str">
            <v>m3</v>
          </cell>
          <cell r="F31">
            <v>32</v>
          </cell>
          <cell r="G31">
            <v>149.19999999999999</v>
          </cell>
        </row>
        <row r="32">
          <cell r="B32" t="str">
            <v>Diversos</v>
          </cell>
        </row>
        <row r="33">
          <cell r="A33" t="str">
            <v>03.510.00</v>
          </cell>
          <cell r="B33" t="str">
            <v>Aparelho de apoio em neoprene</v>
          </cell>
          <cell r="C33" t="str">
            <v/>
          </cell>
          <cell r="D33" t="str">
            <v/>
          </cell>
          <cell r="E33" t="str">
            <v>kg</v>
          </cell>
          <cell r="F33">
            <v>47</v>
          </cell>
          <cell r="G33">
            <v>86.94</v>
          </cell>
        </row>
        <row r="34">
          <cell r="A34" t="str">
            <v>P 03.991.01b</v>
          </cell>
          <cell r="B34" t="str">
            <v>Dreno de FF D= 50 mm x 500mm</v>
          </cell>
          <cell r="C34" t="str">
            <v/>
          </cell>
          <cell r="D34" t="str">
            <v/>
          </cell>
          <cell r="E34" t="str">
            <v>un</v>
          </cell>
          <cell r="F34">
            <v>36</v>
          </cell>
          <cell r="G34">
            <v>6.63</v>
          </cell>
        </row>
        <row r="35">
          <cell r="F35" t="str">
            <v>SUB-TOTAL OAE</v>
          </cell>
        </row>
        <row r="36">
          <cell r="B36" t="str">
            <v>OBRAS COMPLEMENTARES</v>
          </cell>
        </row>
        <row r="37">
          <cell r="B37" t="str">
            <v>Iluminação das passarelas</v>
          </cell>
        </row>
        <row r="38">
          <cell r="A38" t="str">
            <v>PI 02a</v>
          </cell>
          <cell r="B38" t="str">
            <v>Poste de aço galvanizado a fogo, c/ 5,0m de alt. p/instal.na lat. das passarelas</v>
          </cell>
          <cell r="C38" t="str">
            <v/>
          </cell>
          <cell r="D38" t="str">
            <v/>
          </cell>
          <cell r="E38" t="str">
            <v>un</v>
          </cell>
          <cell r="F38">
            <v>4</v>
          </cell>
          <cell r="G38">
            <v>300</v>
          </cell>
        </row>
        <row r="39">
          <cell r="A39" t="str">
            <v>PI 03</v>
          </cell>
          <cell r="B39" t="str">
            <v xml:space="preserve">Luminária p/ iluminação pública ref.HRC-612 da Philips ou similar </v>
          </cell>
          <cell r="C39" t="str">
            <v/>
          </cell>
          <cell r="D39" t="str">
            <v/>
          </cell>
          <cell r="E39" t="str">
            <v>un</v>
          </cell>
          <cell r="F39">
            <v>4</v>
          </cell>
          <cell r="G39">
            <v>400</v>
          </cell>
        </row>
        <row r="40">
          <cell r="A40" t="str">
            <v>PI 08</v>
          </cell>
          <cell r="B40" t="str">
            <v>Suporte p/ luminária tipo ZGP401 da Philips ou similar</v>
          </cell>
          <cell r="C40" t="str">
            <v/>
          </cell>
          <cell r="D40" t="str">
            <v/>
          </cell>
          <cell r="E40" t="str">
            <v>un</v>
          </cell>
          <cell r="F40">
            <v>4</v>
          </cell>
          <cell r="G40">
            <v>81.650000000000006</v>
          </cell>
        </row>
        <row r="41">
          <cell r="A41" t="str">
            <v>PI 10</v>
          </cell>
          <cell r="B41" t="str">
            <v>Lâmpada a vapor de mercúrio 250W, alta pressão, base E40</v>
          </cell>
          <cell r="C41" t="str">
            <v/>
          </cell>
          <cell r="D41" t="str">
            <v/>
          </cell>
          <cell r="E41" t="str">
            <v>un</v>
          </cell>
          <cell r="F41">
            <v>4</v>
          </cell>
          <cell r="G41">
            <v>28.75</v>
          </cell>
        </row>
        <row r="42">
          <cell r="A42" t="str">
            <v>PI 71</v>
          </cell>
          <cell r="B42" t="str">
            <v>Cabo isolado p/ 1000V, de alumínio, singelo, cor preto, bitola 25 mm² (XLPE) est.</v>
          </cell>
          <cell r="C42" t="str">
            <v/>
          </cell>
          <cell r="D42" t="str">
            <v/>
          </cell>
          <cell r="E42" t="str">
            <v>m</v>
          </cell>
          <cell r="F42">
            <v>100</v>
          </cell>
          <cell r="G42">
            <v>4.62</v>
          </cell>
        </row>
        <row r="43">
          <cell r="A43" t="str">
            <v>PI 67</v>
          </cell>
          <cell r="B43" t="str">
            <v>Cabo isolado p/ 1000 V, 2,5 mm2 de alumínio</v>
          </cell>
          <cell r="C43" t="str">
            <v/>
          </cell>
          <cell r="D43" t="str">
            <v/>
          </cell>
          <cell r="E43" t="str">
            <v>m</v>
          </cell>
          <cell r="F43">
            <v>40</v>
          </cell>
          <cell r="G43">
            <v>0.6</v>
          </cell>
        </row>
        <row r="44">
          <cell r="A44" t="str">
            <v>PI 72</v>
          </cell>
          <cell r="B44" t="str">
            <v>Eletroduto de aço 1.1/4" (vara de 3m), na passarela, conforme projeto</v>
          </cell>
          <cell r="C44">
            <v>0</v>
          </cell>
          <cell r="D44">
            <v>0</v>
          </cell>
          <cell r="E44" t="str">
            <v>m</v>
          </cell>
          <cell r="F44">
            <v>50</v>
          </cell>
          <cell r="G44">
            <v>18</v>
          </cell>
        </row>
        <row r="45">
          <cell r="A45" t="str">
            <v>PI 30</v>
          </cell>
          <cell r="B45" t="str">
            <v>Haste para aterramento aço-cobre D 13x2400mm</v>
          </cell>
          <cell r="C45" t="str">
            <v/>
          </cell>
          <cell r="D45" t="str">
            <v/>
          </cell>
          <cell r="E45" t="str">
            <v>un</v>
          </cell>
          <cell r="F45">
            <v>1</v>
          </cell>
          <cell r="G45">
            <v>6.04</v>
          </cell>
        </row>
        <row r="46">
          <cell r="A46" t="str">
            <v>PI 31</v>
          </cell>
          <cell r="B46" t="str">
            <v>Cabo de cobre nú meio duro, 7 fios 2AWG</v>
          </cell>
          <cell r="C46" t="str">
            <v/>
          </cell>
          <cell r="D46" t="str">
            <v/>
          </cell>
          <cell r="E46" t="str">
            <v>kg</v>
          </cell>
          <cell r="F46">
            <v>4</v>
          </cell>
          <cell r="G46">
            <v>7.02</v>
          </cell>
        </row>
        <row r="47">
          <cell r="A47" t="str">
            <v>PI 39</v>
          </cell>
          <cell r="B47" t="str">
            <v>Fixação de haste de terra e conexão ao neutro</v>
          </cell>
          <cell r="C47" t="str">
            <v/>
          </cell>
          <cell r="D47" t="str">
            <v/>
          </cell>
          <cell r="E47" t="str">
            <v>un</v>
          </cell>
          <cell r="F47">
            <v>4</v>
          </cell>
          <cell r="G47">
            <v>35</v>
          </cell>
        </row>
        <row r="48">
          <cell r="A48" t="str">
            <v>PI 37</v>
          </cell>
          <cell r="B48" t="str">
            <v>Lançamento de cabos em dutos de aço, classe 1000V, circuito trifásico mais neutro, e monofásico</v>
          </cell>
          <cell r="C48" t="str">
            <v/>
          </cell>
          <cell r="D48" t="str">
            <v/>
          </cell>
          <cell r="E48" t="str">
            <v>m</v>
          </cell>
          <cell r="F48">
            <v>100</v>
          </cell>
          <cell r="G48">
            <v>4</v>
          </cell>
        </row>
        <row r="49">
          <cell r="A49" t="str">
            <v>PI 73</v>
          </cell>
          <cell r="B49" t="str">
            <v>Reator de alto fator externo c/ignitor p/ lâmpada a vapor de mercúrio,  da Entral ou similar</v>
          </cell>
          <cell r="C49">
            <v>0</v>
          </cell>
          <cell r="D49">
            <v>0</v>
          </cell>
          <cell r="E49" t="str">
            <v>un</v>
          </cell>
          <cell r="F49">
            <v>4</v>
          </cell>
          <cell r="G49">
            <v>37</v>
          </cell>
        </row>
        <row r="50">
          <cell r="A50" t="str">
            <v>PI 74</v>
          </cell>
          <cell r="B50" t="str">
            <v>Chave de iluminação pública</v>
          </cell>
          <cell r="C50">
            <v>0</v>
          </cell>
          <cell r="D50">
            <v>0</v>
          </cell>
          <cell r="E50" t="str">
            <v>un</v>
          </cell>
          <cell r="F50">
            <v>1</v>
          </cell>
          <cell r="G50">
            <v>95</v>
          </cell>
        </row>
        <row r="51">
          <cell r="A51" t="str">
            <v>PI 75</v>
          </cell>
          <cell r="B51" t="str">
            <v>Montagem eletromecânica de luminária 5m de altura, c/fixação dos equipam.e conexões elét.</v>
          </cell>
          <cell r="C51">
            <v>0</v>
          </cell>
          <cell r="D51">
            <v>0</v>
          </cell>
          <cell r="E51" t="str">
            <v>un</v>
          </cell>
          <cell r="F51">
            <v>4</v>
          </cell>
          <cell r="G51">
            <v>67.08</v>
          </cell>
        </row>
        <row r="52">
          <cell r="A52" t="str">
            <v>PI 22</v>
          </cell>
          <cell r="B52" t="str">
            <v>Base completa com fusível Diazed, 6A, retardado, incluíndo tampa, anel de proteção e ajuste</v>
          </cell>
          <cell r="C52" t="str">
            <v/>
          </cell>
          <cell r="D52" t="str">
            <v/>
          </cell>
          <cell r="E52" t="str">
            <v>un</v>
          </cell>
          <cell r="F52">
            <v>4</v>
          </cell>
          <cell r="G52">
            <v>8.6300000000000008</v>
          </cell>
        </row>
        <row r="53">
          <cell r="A53" t="str">
            <v>PI 26</v>
          </cell>
          <cell r="B53" t="str">
            <v>Relé fotoelétrico c/ suporte para fixação galv. com furo 18mm</v>
          </cell>
          <cell r="C53" t="str">
            <v/>
          </cell>
          <cell r="D53" t="str">
            <v/>
          </cell>
          <cell r="E53" t="str">
            <v>un</v>
          </cell>
          <cell r="F53">
            <v>1</v>
          </cell>
          <cell r="G53">
            <v>11.5</v>
          </cell>
        </row>
        <row r="54">
          <cell r="A54" t="str">
            <v>PI 24</v>
          </cell>
          <cell r="B54" t="str">
            <v>Fita elétrica auto fusão a base de borracha EPR</v>
          </cell>
          <cell r="C54" t="str">
            <v/>
          </cell>
          <cell r="D54" t="str">
            <v/>
          </cell>
          <cell r="E54" t="str">
            <v>un</v>
          </cell>
          <cell r="F54">
            <v>2</v>
          </cell>
          <cell r="G54">
            <v>6.39</v>
          </cell>
        </row>
        <row r="55">
          <cell r="A55" t="str">
            <v>PI 25</v>
          </cell>
          <cell r="B55" t="str">
            <v>Fita adesiva plástica isolante</v>
          </cell>
          <cell r="C55" t="str">
            <v/>
          </cell>
          <cell r="D55" t="str">
            <v/>
          </cell>
          <cell r="E55" t="str">
            <v>un</v>
          </cell>
          <cell r="F55">
            <v>2</v>
          </cell>
          <cell r="G55">
            <v>3.84</v>
          </cell>
        </row>
        <row r="56">
          <cell r="A56" t="str">
            <v>PI 38</v>
          </cell>
          <cell r="B56" t="str">
            <v>Confecção de emendas retas ou derivação em cabos classe 1000V, c/ conector à compressão</v>
          </cell>
          <cell r="C56" t="str">
            <v/>
          </cell>
          <cell r="D56" t="str">
            <v/>
          </cell>
          <cell r="E56" t="str">
            <v>un</v>
          </cell>
          <cell r="F56">
            <v>12</v>
          </cell>
          <cell r="G56">
            <v>4.5</v>
          </cell>
        </row>
        <row r="57">
          <cell r="F57" t="str">
            <v>SUB-TOTAL - OBRAS COMPLEMENTARES</v>
          </cell>
        </row>
        <row r="58">
          <cell r="F58" t="str">
            <v>SUB-TOTAL - Passarela do Km 14+000/Km 401+000</v>
          </cell>
        </row>
        <row r="60">
          <cell r="B60" t="str">
            <v>Passarela do Km 15+527/Km 402+527</v>
          </cell>
        </row>
        <row r="61">
          <cell r="B61" t="str">
            <v>OBRAS DE ARTE ESPECIAIS</v>
          </cell>
        </row>
        <row r="62">
          <cell r="B62" t="str">
            <v>Infra e Mesoestrutura</v>
          </cell>
        </row>
        <row r="63">
          <cell r="A63" t="str">
            <v>03.010.01</v>
          </cell>
          <cell r="B63" t="str">
            <v>Escavação em cavas de fundação com esgotamento</v>
          </cell>
          <cell r="C63" t="str">
            <v/>
          </cell>
          <cell r="D63" t="str">
            <v/>
          </cell>
          <cell r="E63" t="str">
            <v>m3</v>
          </cell>
          <cell r="F63">
            <v>40</v>
          </cell>
          <cell r="G63">
            <v>22.39</v>
          </cell>
        </row>
        <row r="64">
          <cell r="A64" t="str">
            <v>03.371.01</v>
          </cell>
          <cell r="B64" t="str">
            <v>Formas de placa compensada resinada</v>
          </cell>
          <cell r="C64" t="str">
            <v/>
          </cell>
          <cell r="D64" t="str">
            <v/>
          </cell>
          <cell r="E64" t="str">
            <v>m2</v>
          </cell>
          <cell r="F64">
            <v>36</v>
          </cell>
          <cell r="G64">
            <v>21.86</v>
          </cell>
        </row>
        <row r="65">
          <cell r="A65" t="str">
            <v>03.371.02</v>
          </cell>
          <cell r="B65" t="str">
            <v>Formas de placa compensada plastificada</v>
          </cell>
          <cell r="C65" t="str">
            <v/>
          </cell>
          <cell r="D65" t="str">
            <v/>
          </cell>
          <cell r="E65" t="str">
            <v>m2</v>
          </cell>
          <cell r="F65">
            <v>94</v>
          </cell>
          <cell r="G65">
            <v>30.76</v>
          </cell>
        </row>
        <row r="66">
          <cell r="A66" t="str">
            <v>03.353.00</v>
          </cell>
          <cell r="B66" t="str">
            <v>Forn., preparo e colocação nas formas, de aço CA-50</v>
          </cell>
          <cell r="C66" t="str">
            <v/>
          </cell>
          <cell r="D66" t="str">
            <v/>
          </cell>
          <cell r="E66" t="str">
            <v>kg</v>
          </cell>
          <cell r="F66">
            <v>1694</v>
          </cell>
          <cell r="G66">
            <v>2.59</v>
          </cell>
        </row>
        <row r="67">
          <cell r="A67" t="str">
            <v>03.326.00</v>
          </cell>
          <cell r="B67" t="str">
            <v xml:space="preserve">Concreto fck= 20 MPa-contr. raz. uso ger. </v>
          </cell>
          <cell r="C67" t="str">
            <v/>
          </cell>
          <cell r="D67" t="str">
            <v/>
          </cell>
          <cell r="E67" t="str">
            <v>m3</v>
          </cell>
          <cell r="F67">
            <v>20</v>
          </cell>
          <cell r="G67">
            <v>149.19999999999999</v>
          </cell>
        </row>
        <row r="68">
          <cell r="A68" t="str">
            <v>OAE5a</v>
          </cell>
          <cell r="B68" t="str">
            <v>Estaca metálica - tipo CS 250 X 52 - Fornecimento e cravação</v>
          </cell>
          <cell r="C68" t="str">
            <v/>
          </cell>
          <cell r="D68" t="str">
            <v/>
          </cell>
          <cell r="E68" t="str">
            <v>m</v>
          </cell>
          <cell r="F68">
            <v>60</v>
          </cell>
          <cell r="G68">
            <v>97.23</v>
          </cell>
        </row>
        <row r="69">
          <cell r="A69" t="str">
            <v>OAE5</v>
          </cell>
          <cell r="B69" t="str">
            <v>Estaca metálica - tipo CS 300 x 130 - Fornecimento e cravação</v>
          </cell>
          <cell r="C69" t="str">
            <v/>
          </cell>
          <cell r="D69" t="str">
            <v/>
          </cell>
          <cell r="E69" t="str">
            <v>m</v>
          </cell>
          <cell r="F69">
            <v>120</v>
          </cell>
          <cell r="G69">
            <v>176.68</v>
          </cell>
        </row>
        <row r="70">
          <cell r="B70" t="str">
            <v>Superestrutura</v>
          </cell>
        </row>
        <row r="71">
          <cell r="A71" t="str">
            <v>03.371.02</v>
          </cell>
          <cell r="B71" t="str">
            <v>Formas de placa compensada plastificada</v>
          </cell>
          <cell r="C71" t="str">
            <v/>
          </cell>
          <cell r="D71" t="str">
            <v/>
          </cell>
          <cell r="E71" t="str">
            <v>m2</v>
          </cell>
          <cell r="F71">
            <v>1674</v>
          </cell>
          <cell r="G71">
            <v>30.76</v>
          </cell>
        </row>
        <row r="72">
          <cell r="A72" t="str">
            <v>OAE6</v>
          </cell>
          <cell r="B72" t="str">
            <v>Escoramento metálico comum (cimbramento)</v>
          </cell>
          <cell r="C72" t="str">
            <v/>
          </cell>
          <cell r="D72" t="str">
            <v/>
          </cell>
          <cell r="E72" t="str">
            <v>m3</v>
          </cell>
          <cell r="F72">
            <v>1160</v>
          </cell>
          <cell r="G72">
            <v>27.58</v>
          </cell>
        </row>
        <row r="73">
          <cell r="A73" t="str">
            <v>03.353.00</v>
          </cell>
          <cell r="B73" t="str">
            <v>Forn., preparo e colocação nas formas, de aço CA-50</v>
          </cell>
          <cell r="C73" t="str">
            <v/>
          </cell>
          <cell r="D73" t="str">
            <v/>
          </cell>
          <cell r="E73" t="str">
            <v>kg</v>
          </cell>
          <cell r="F73">
            <v>18873</v>
          </cell>
          <cell r="G73">
            <v>2.59</v>
          </cell>
        </row>
        <row r="74">
          <cell r="A74" t="str">
            <v>03.354.00</v>
          </cell>
          <cell r="B74" t="str">
            <v>Forn., preparo e colocação nas formas, de aço CA-60</v>
          </cell>
          <cell r="C74" t="str">
            <v/>
          </cell>
          <cell r="D74" t="str">
            <v/>
          </cell>
          <cell r="E74" t="str">
            <v>kg</v>
          </cell>
          <cell r="F74">
            <v>1654</v>
          </cell>
          <cell r="G74">
            <v>2.85</v>
          </cell>
        </row>
        <row r="75">
          <cell r="A75" t="str">
            <v>03.359.01</v>
          </cell>
          <cell r="B75" t="str">
            <v>Forn., preparo e colocação nas formas, de aço CA-25</v>
          </cell>
          <cell r="C75" t="str">
            <v/>
          </cell>
          <cell r="D75" t="str">
            <v/>
          </cell>
          <cell r="E75" t="str">
            <v>kg</v>
          </cell>
          <cell r="F75">
            <v>95</v>
          </cell>
          <cell r="G75">
            <v>2.4300000000000002</v>
          </cell>
        </row>
        <row r="76">
          <cell r="A76" t="str">
            <v>03.330.00</v>
          </cell>
          <cell r="B76" t="str">
            <v>Concreto fck= 35 MPa-contr. raz. uso ger.</v>
          </cell>
          <cell r="C76" t="str">
            <v/>
          </cell>
          <cell r="D76" t="str">
            <v/>
          </cell>
          <cell r="E76" t="str">
            <v>m3</v>
          </cell>
          <cell r="F76">
            <v>138</v>
          </cell>
          <cell r="G76">
            <v>166.78</v>
          </cell>
        </row>
        <row r="77">
          <cell r="A77" t="str">
            <v>03.326.00</v>
          </cell>
          <cell r="B77" t="str">
            <v xml:space="preserve">Concreto fck= 20 MPa-contr. raz. uso ger. </v>
          </cell>
          <cell r="C77" t="str">
            <v/>
          </cell>
          <cell r="D77" t="str">
            <v/>
          </cell>
          <cell r="E77" t="str">
            <v>m3</v>
          </cell>
          <cell r="F77">
            <v>25</v>
          </cell>
          <cell r="G77">
            <v>149.19999999999999</v>
          </cell>
        </row>
        <row r="78">
          <cell r="B78" t="str">
            <v>Diversos</v>
          </cell>
        </row>
        <row r="79">
          <cell r="A79" t="str">
            <v>03.510.00</v>
          </cell>
          <cell r="B79" t="str">
            <v>Aparelho de apoio em neoprene</v>
          </cell>
          <cell r="C79" t="str">
            <v/>
          </cell>
          <cell r="D79" t="str">
            <v/>
          </cell>
          <cell r="E79" t="str">
            <v>kg</v>
          </cell>
          <cell r="F79">
            <v>30</v>
          </cell>
          <cell r="G79">
            <v>86.94</v>
          </cell>
        </row>
        <row r="80">
          <cell r="A80" t="str">
            <v>P 03.991.01b</v>
          </cell>
          <cell r="B80" t="str">
            <v>Dreno de FF D= 50 mm x 500mm</v>
          </cell>
          <cell r="C80" t="str">
            <v/>
          </cell>
          <cell r="D80" t="str">
            <v/>
          </cell>
          <cell r="E80" t="str">
            <v>un</v>
          </cell>
          <cell r="F80">
            <v>52</v>
          </cell>
          <cell r="G80">
            <v>6.63</v>
          </cell>
        </row>
      </sheetData>
      <sheetData sheetId="24" refreshError="1">
        <row r="14">
          <cell r="A14" t="str">
            <v>01.000.00</v>
          </cell>
          <cell r="B14" t="str">
            <v>Desmatamento,destocamento e limpeza de área com árvore até 0,15m</v>
          </cell>
          <cell r="C14" t="str">
            <v>DNER-ES278/97</v>
          </cell>
          <cell r="D14" t="str">
            <v/>
          </cell>
          <cell r="E14" t="str">
            <v>m2</v>
          </cell>
          <cell r="F14">
            <v>348300</v>
          </cell>
          <cell r="G14">
            <v>7.0000000000000007E-2</v>
          </cell>
        </row>
        <row r="15">
          <cell r="A15" t="str">
            <v>01.010.00</v>
          </cell>
          <cell r="B15" t="str">
            <v>Desmatamento e destocamento árvores de 0,15m a 0,30m</v>
          </cell>
          <cell r="C15" t="str">
            <v>DNER-ES278/97</v>
          </cell>
          <cell r="D15" t="str">
            <v/>
          </cell>
          <cell r="E15" t="str">
            <v>un</v>
          </cell>
          <cell r="F15">
            <v>3483</v>
          </cell>
          <cell r="G15">
            <v>8.92</v>
          </cell>
        </row>
        <row r="16">
          <cell r="A16" t="str">
            <v>01.011.00</v>
          </cell>
          <cell r="B16" t="str">
            <v>Desmatamento e destocamento árvores superior a 0,30m</v>
          </cell>
          <cell r="C16" t="str">
            <v>DNER-ES278/97</v>
          </cell>
          <cell r="D16" t="str">
            <v/>
          </cell>
          <cell r="E16" t="str">
            <v>un</v>
          </cell>
          <cell r="F16">
            <v>1741</v>
          </cell>
          <cell r="G16">
            <v>26.75</v>
          </cell>
        </row>
        <row r="17">
          <cell r="A17" t="str">
            <v>01.100.01</v>
          </cell>
          <cell r="B17" t="str">
            <v>Escavação,carga e transportes de material de 1a  categoria DMT &lt;= 50m</v>
          </cell>
          <cell r="C17" t="str">
            <v>DNER-ES280/97</v>
          </cell>
          <cell r="D17" t="str">
            <v/>
          </cell>
          <cell r="E17" t="str">
            <v>m3</v>
          </cell>
          <cell r="F17">
            <v>1000</v>
          </cell>
          <cell r="G17">
            <v>0.62</v>
          </cell>
        </row>
        <row r="18">
          <cell r="A18" t="str">
            <v>01.100.09</v>
          </cell>
          <cell r="B18" t="str">
            <v>Escavação,carga e transportes de material de 1a categoria DMT= 50 a 200m</v>
          </cell>
          <cell r="C18" t="str">
            <v>DNER-ES280/97</v>
          </cell>
          <cell r="D18" t="str">
            <v/>
          </cell>
          <cell r="E18" t="str">
            <v>m3</v>
          </cell>
          <cell r="F18">
            <v>1484</v>
          </cell>
          <cell r="G18">
            <v>1.89</v>
          </cell>
        </row>
        <row r="19">
          <cell r="A19" t="str">
            <v>01.100.10</v>
          </cell>
          <cell r="B19" t="str">
            <v>Escavação,carga e transportes de material de 1a categoria DMT= 200 a 400m</v>
          </cell>
          <cell r="C19" t="str">
            <v>DNER-ES280/97</v>
          </cell>
          <cell r="D19" t="str">
            <v/>
          </cell>
          <cell r="E19" t="str">
            <v>m3</v>
          </cell>
          <cell r="F19">
            <v>1250</v>
          </cell>
          <cell r="G19">
            <v>1.98</v>
          </cell>
        </row>
        <row r="20">
          <cell r="A20" t="str">
            <v>01.100.11</v>
          </cell>
          <cell r="B20" t="str">
            <v>Escavação,carga e transportes de material de 1a categoria DMT= 400 a 600m</v>
          </cell>
          <cell r="C20" t="str">
            <v>DNER-ES280/97</v>
          </cell>
          <cell r="D20" t="str">
            <v/>
          </cell>
          <cell r="E20" t="str">
            <v>m3</v>
          </cell>
          <cell r="F20">
            <v>3925</v>
          </cell>
          <cell r="G20">
            <v>2.12</v>
          </cell>
        </row>
        <row r="21">
          <cell r="A21" t="str">
            <v>01.100.12</v>
          </cell>
          <cell r="B21" t="str">
            <v>Escavação,carga e transportes de material de 1a categoria DMT= 600 a 800m</v>
          </cell>
          <cell r="C21" t="str">
            <v>DNER-ES280/97</v>
          </cell>
          <cell r="D21" t="str">
            <v/>
          </cell>
          <cell r="E21" t="str">
            <v>m3</v>
          </cell>
          <cell r="F21">
            <v>1512</v>
          </cell>
          <cell r="G21">
            <v>2.19</v>
          </cell>
        </row>
        <row r="22">
          <cell r="A22" t="str">
            <v>01.100.13</v>
          </cell>
          <cell r="B22" t="str">
            <v>Escavação,carga e transportes de material de 1a categoria DMT= 800 a 1000m</v>
          </cell>
          <cell r="C22" t="str">
            <v>DNER-ES280/97</v>
          </cell>
          <cell r="D22" t="str">
            <v/>
          </cell>
          <cell r="E22" t="str">
            <v>m3</v>
          </cell>
          <cell r="F22">
            <v>1019</v>
          </cell>
          <cell r="G22">
            <v>2.36</v>
          </cell>
        </row>
        <row r="23">
          <cell r="A23" t="str">
            <v>01.100.14</v>
          </cell>
          <cell r="B23" t="str">
            <v>Escavação,carga e transportes de material de 1a categoria DMT= 1000 a 1200m</v>
          </cell>
          <cell r="C23" t="str">
            <v>DNER-ES280/97</v>
          </cell>
          <cell r="D23" t="str">
            <v/>
          </cell>
          <cell r="E23" t="str">
            <v>m3</v>
          </cell>
          <cell r="F23">
            <v>8380</v>
          </cell>
          <cell r="G23">
            <v>2.4</v>
          </cell>
        </row>
        <row r="24">
          <cell r="A24" t="str">
            <v>01.100.15</v>
          </cell>
          <cell r="B24" t="str">
            <v>Escavação,carga e transportes de material de 1a categoria DMT= 1200 a 1400m</v>
          </cell>
          <cell r="C24" t="str">
            <v>DNER-ES280/97</v>
          </cell>
          <cell r="D24" t="str">
            <v/>
          </cell>
          <cell r="E24" t="str">
            <v>m3</v>
          </cell>
          <cell r="F24">
            <v>4445</v>
          </cell>
          <cell r="G24">
            <v>2.62</v>
          </cell>
        </row>
        <row r="25">
          <cell r="A25" t="str">
            <v>01.100.16</v>
          </cell>
          <cell r="B25" t="str">
            <v>Escavação,carga e transportes de material de 1a  categoria DMT 1400 a 1600m</v>
          </cell>
          <cell r="C25" t="str">
            <v>DNER-ES280/97</v>
          </cell>
          <cell r="D25" t="str">
            <v/>
          </cell>
          <cell r="E25" t="str">
            <v>m3</v>
          </cell>
          <cell r="F25">
            <v>10739</v>
          </cell>
          <cell r="G25">
            <v>2.73</v>
          </cell>
        </row>
        <row r="26">
          <cell r="A26" t="str">
            <v>01.100.17</v>
          </cell>
          <cell r="B26" t="str">
            <v>Escavação,carga e transportes de material de 1a categoria DMT= 1600 a 1800m</v>
          </cell>
          <cell r="C26" t="str">
            <v>DNER-ES280/97</v>
          </cell>
          <cell r="D26" t="str">
            <v/>
          </cell>
          <cell r="E26" t="str">
            <v>m3</v>
          </cell>
          <cell r="F26">
            <v>1768</v>
          </cell>
          <cell r="G26">
            <v>2.84</v>
          </cell>
        </row>
        <row r="27">
          <cell r="A27" t="str">
            <v>01.100.19</v>
          </cell>
          <cell r="B27" t="str">
            <v>Escavação,carga e transportes de material de 1a categoria DMT= 2000 a 3000m</v>
          </cell>
          <cell r="C27" t="str">
            <v>DNER-ES280/97</v>
          </cell>
          <cell r="D27" t="str">
            <v/>
          </cell>
          <cell r="E27" t="str">
            <v>m3</v>
          </cell>
          <cell r="F27">
            <v>11011</v>
          </cell>
          <cell r="G27">
            <v>3.26</v>
          </cell>
        </row>
        <row r="28">
          <cell r="A28" t="str">
            <v>DER50255</v>
          </cell>
          <cell r="B28" t="str">
            <v>Esc.  Carga e Transp. de mat. 1a cat. c/ CB 3000&lt;DMT&lt;4000m</v>
          </cell>
          <cell r="C28" t="str">
            <v/>
          </cell>
          <cell r="D28" t="str">
            <v/>
          </cell>
          <cell r="E28" t="str">
            <v>m3</v>
          </cell>
          <cell r="F28">
            <v>8863</v>
          </cell>
          <cell r="G28">
            <v>3.3</v>
          </cell>
        </row>
        <row r="29">
          <cell r="A29" t="str">
            <v>DER50265</v>
          </cell>
          <cell r="B29" t="str">
            <v>Esc.  Carga e Transp. de mat. 1a cat. c/ CB 4000&lt;DMT&lt;5000m</v>
          </cell>
          <cell r="C29" t="str">
            <v/>
          </cell>
          <cell r="D29" t="str">
            <v/>
          </cell>
          <cell r="E29" t="str">
            <v>m3</v>
          </cell>
          <cell r="F29">
            <v>5413</v>
          </cell>
          <cell r="G29">
            <v>3.76</v>
          </cell>
        </row>
        <row r="30">
          <cell r="A30" t="str">
            <v>DER50260</v>
          </cell>
          <cell r="B30" t="str">
            <v>Esc.  Carga e Transp. de mat. 1a cat. c/ CB 5000&lt;DMT&lt;6000m</v>
          </cell>
          <cell r="C30" t="str">
            <v/>
          </cell>
          <cell r="D30" t="str">
            <v/>
          </cell>
          <cell r="E30" t="str">
            <v>m3</v>
          </cell>
          <cell r="F30">
            <v>2698</v>
          </cell>
          <cell r="G30">
            <v>4.29</v>
          </cell>
        </row>
        <row r="31">
          <cell r="A31" t="str">
            <v>DER50270</v>
          </cell>
          <cell r="B31" t="str">
            <v>Esc.  Carga e Transp. de mat. 1a cat. c/ CB 6000&lt;DMT&lt;7000m</v>
          </cell>
          <cell r="C31" t="str">
            <v/>
          </cell>
          <cell r="D31" t="str">
            <v/>
          </cell>
          <cell r="E31" t="str">
            <v>m3</v>
          </cell>
          <cell r="F31">
            <v>2091</v>
          </cell>
          <cell r="G31">
            <v>4.79</v>
          </cell>
        </row>
        <row r="32">
          <cell r="A32" t="str">
            <v>DER50280</v>
          </cell>
          <cell r="B32" t="str">
            <v>Esc.  Carga e Transp. de mat. 1a cat. c/ CB 7000&lt;DMT&lt;8000m</v>
          </cell>
          <cell r="C32" t="str">
            <v/>
          </cell>
          <cell r="D32" t="str">
            <v/>
          </cell>
          <cell r="E32" t="str">
            <v>m3</v>
          </cell>
          <cell r="F32">
            <v>13314</v>
          </cell>
          <cell r="G32">
            <v>5.27</v>
          </cell>
        </row>
        <row r="33">
          <cell r="A33" t="str">
            <v>DER50300</v>
          </cell>
          <cell r="B33" t="str">
            <v>Esc.  Carga e Transp. de mat. 1a cat. c/ CB 9000&lt;DMT&lt;10000m</v>
          </cell>
          <cell r="C33" t="str">
            <v/>
          </cell>
          <cell r="D33" t="str">
            <v/>
          </cell>
          <cell r="E33" t="str">
            <v>m3</v>
          </cell>
          <cell r="F33">
            <v>10102</v>
          </cell>
          <cell r="G33">
            <v>6.3</v>
          </cell>
        </row>
        <row r="34">
          <cell r="A34" t="str">
            <v>DER50305</v>
          </cell>
          <cell r="B34" t="str">
            <v>Esc.  Carga e Transp. de mat. 1a cat. c/ CB 10000&lt;DMT&lt;12000m</v>
          </cell>
          <cell r="C34" t="str">
            <v/>
          </cell>
          <cell r="D34" t="str">
            <v/>
          </cell>
          <cell r="E34" t="str">
            <v>m3</v>
          </cell>
          <cell r="F34">
            <v>14258</v>
          </cell>
          <cell r="G34">
            <v>7.05</v>
          </cell>
        </row>
        <row r="35">
          <cell r="A35" t="str">
            <v>01.101.11</v>
          </cell>
          <cell r="B35" t="str">
            <v>Escavação,carga e transportes de material de 2a categoria,c/CB,  DMT 400 a 600m</v>
          </cell>
          <cell r="C35" t="str">
            <v>DNER-ES280/97</v>
          </cell>
          <cell r="D35" t="str">
            <v/>
          </cell>
          <cell r="E35" t="str">
            <v>m3</v>
          </cell>
          <cell r="F35">
            <v>1631</v>
          </cell>
          <cell r="G35">
            <v>3.15</v>
          </cell>
        </row>
        <row r="36">
          <cell r="A36" t="str">
            <v>01.101.12</v>
          </cell>
          <cell r="B36" t="str">
            <v>Escavação,carga e transportes de material de 2a categoria,c/CB,  DMT 600 a 800m</v>
          </cell>
          <cell r="C36" t="str">
            <v>DNER-ES280/97</v>
          </cell>
          <cell r="D36" t="str">
            <v/>
          </cell>
          <cell r="E36" t="str">
            <v>m3</v>
          </cell>
          <cell r="F36">
            <v>3757</v>
          </cell>
          <cell r="G36">
            <v>3.23</v>
          </cell>
        </row>
        <row r="37">
          <cell r="A37" t="str">
            <v>01.101.14</v>
          </cell>
          <cell r="B37" t="str">
            <v>Escavação,carga e transportes de material de 2a categoria,c/CB,  DMT 1000 a 1200m</v>
          </cell>
          <cell r="C37" t="str">
            <v>DNER-ES280/97</v>
          </cell>
          <cell r="D37" t="str">
            <v/>
          </cell>
          <cell r="E37" t="str">
            <v>m3</v>
          </cell>
          <cell r="F37">
            <v>1333</v>
          </cell>
          <cell r="G37">
            <v>3.49</v>
          </cell>
        </row>
        <row r="38">
          <cell r="A38" t="str">
            <v>01.101.15</v>
          </cell>
          <cell r="B38" t="str">
            <v>Escavação,carga e transportes de material de 2a categoria,c/CB,  DMT 1200 a 1400m</v>
          </cell>
          <cell r="C38" t="str">
            <v>DNER-ES280/97</v>
          </cell>
          <cell r="D38" t="str">
            <v/>
          </cell>
          <cell r="E38" t="str">
            <v>m3</v>
          </cell>
          <cell r="F38">
            <v>1404</v>
          </cell>
          <cell r="G38">
            <v>3.73</v>
          </cell>
        </row>
        <row r="39">
          <cell r="A39" t="str">
            <v>01.101.16</v>
          </cell>
          <cell r="B39" t="str">
            <v>Escavação,carga e transportes de material de 2a categoria,c/CB,  DMT 1400 a 1600m</v>
          </cell>
          <cell r="C39" t="str">
            <v>DNER-ES280/97</v>
          </cell>
          <cell r="D39" t="str">
            <v/>
          </cell>
          <cell r="E39" t="str">
            <v>m3</v>
          </cell>
          <cell r="F39">
            <v>2888</v>
          </cell>
          <cell r="G39">
            <v>3.87</v>
          </cell>
        </row>
        <row r="40">
          <cell r="A40" t="str">
            <v>01.101.19</v>
          </cell>
          <cell r="B40" t="str">
            <v>Escavação,carga e transportes de material de 2a categoria,c/CB,  DMT 2000 a 3000m</v>
          </cell>
          <cell r="C40" t="str">
            <v>DNER-ES280/97</v>
          </cell>
          <cell r="D40" t="str">
            <v/>
          </cell>
          <cell r="E40" t="str">
            <v>m3</v>
          </cell>
          <cell r="F40">
            <v>6541</v>
          </cell>
          <cell r="G40">
            <v>4.51</v>
          </cell>
        </row>
        <row r="41">
          <cell r="A41" t="str">
            <v>DER51225</v>
          </cell>
          <cell r="B41" t="str">
            <v>Escavação,carga e transportes de material de 2a categoria DMT 3000 a 4000m</v>
          </cell>
          <cell r="C41" t="str">
            <v/>
          </cell>
          <cell r="D41" t="str">
            <v/>
          </cell>
          <cell r="E41" t="str">
            <v>m3</v>
          </cell>
          <cell r="F41">
            <v>2216</v>
          </cell>
          <cell r="G41">
            <v>4.5599999999999996</v>
          </cell>
        </row>
        <row r="42">
          <cell r="A42" t="str">
            <v>DER51235</v>
          </cell>
          <cell r="B42" t="str">
            <v>Escavação,carga e transportes de material de 2a categoria DMT 4000 a 5000m</v>
          </cell>
          <cell r="C42" t="str">
            <v/>
          </cell>
          <cell r="D42" t="str">
            <v/>
          </cell>
          <cell r="E42" t="str">
            <v>m3</v>
          </cell>
          <cell r="F42">
            <v>1163</v>
          </cell>
          <cell r="G42">
            <v>5.15</v>
          </cell>
        </row>
        <row r="43">
          <cell r="A43" t="str">
            <v>DER51270</v>
          </cell>
          <cell r="B43" t="str">
            <v>Escavação,carga e transportes de material de 2a categoria DMT 7000 a 8000m</v>
          </cell>
          <cell r="C43" t="str">
            <v/>
          </cell>
          <cell r="D43" t="str">
            <v/>
          </cell>
          <cell r="E43" t="str">
            <v>m3</v>
          </cell>
          <cell r="F43">
            <v>1969</v>
          </cell>
          <cell r="G43">
            <v>6.93</v>
          </cell>
        </row>
        <row r="44">
          <cell r="A44" t="str">
            <v>DER51330</v>
          </cell>
          <cell r="B44" t="str">
            <v>Escavação,carga e transportes de material de 2a categoria DMT 16000 a 18000m</v>
          </cell>
          <cell r="C44" t="str">
            <v/>
          </cell>
          <cell r="D44" t="str">
            <v/>
          </cell>
          <cell r="E44" t="str">
            <v>m3</v>
          </cell>
          <cell r="F44">
            <v>5909</v>
          </cell>
          <cell r="G44">
            <v>12.53</v>
          </cell>
        </row>
        <row r="45">
          <cell r="A45" t="str">
            <v>DER51340</v>
          </cell>
          <cell r="B45" t="str">
            <v>Escavação,carga e transportes de material de 2a categoria DMT 18000 a 20000m</v>
          </cell>
          <cell r="C45" t="str">
            <v/>
          </cell>
          <cell r="D45" t="str">
            <v/>
          </cell>
          <cell r="E45" t="str">
            <v>m3</v>
          </cell>
          <cell r="F45">
            <v>6828</v>
          </cell>
          <cell r="G45">
            <v>13.65</v>
          </cell>
        </row>
        <row r="46">
          <cell r="A46" t="str">
            <v>DER52070</v>
          </cell>
          <cell r="B46" t="str">
            <v>Esc. Carga e Transp. de solos moles 100&lt;DMT&lt;=200m</v>
          </cell>
          <cell r="C46" t="str">
            <v/>
          </cell>
          <cell r="D46" t="str">
            <v/>
          </cell>
          <cell r="E46" t="str">
            <v>m3</v>
          </cell>
          <cell r="F46">
            <v>592</v>
          </cell>
          <cell r="G46">
            <v>3.95</v>
          </cell>
        </row>
        <row r="47">
          <cell r="A47" t="str">
            <v>DER52082</v>
          </cell>
          <cell r="B47" t="str">
            <v>Esc. Carga e Transp. de solos moles 200&lt;DMT&lt;=400m</v>
          </cell>
          <cell r="C47" t="str">
            <v/>
          </cell>
          <cell r="D47" t="str">
            <v/>
          </cell>
          <cell r="E47" t="str">
            <v>m3</v>
          </cell>
          <cell r="F47">
            <v>1203</v>
          </cell>
          <cell r="G47">
            <v>4.03</v>
          </cell>
        </row>
        <row r="48">
          <cell r="A48" t="str">
            <v>DER52087</v>
          </cell>
          <cell r="B48" t="str">
            <v>Esc. Carga e Transp. de solos moles 400&lt;DMT&lt;=600m</v>
          </cell>
          <cell r="C48" t="str">
            <v/>
          </cell>
          <cell r="D48" t="str">
            <v/>
          </cell>
          <cell r="E48" t="str">
            <v>m3</v>
          </cell>
          <cell r="F48">
            <v>8307</v>
          </cell>
          <cell r="G48">
            <v>4.5999999999999996</v>
          </cell>
        </row>
        <row r="49">
          <cell r="A49" t="str">
            <v>DER52090</v>
          </cell>
          <cell r="B49" t="str">
            <v>Esc. Carga e Transp. de solos moles 600&lt;DMT&lt;=800m</v>
          </cell>
          <cell r="C49" t="str">
            <v/>
          </cell>
          <cell r="D49" t="str">
            <v/>
          </cell>
          <cell r="E49" t="str">
            <v>m3</v>
          </cell>
          <cell r="F49">
            <v>1430</v>
          </cell>
          <cell r="G49">
            <v>4.6399999999999997</v>
          </cell>
        </row>
        <row r="50">
          <cell r="A50" t="str">
            <v>DER52095</v>
          </cell>
          <cell r="B50" t="str">
            <v>Esc. Carga e Transp. de solos moles 800&lt;DMT&lt;=1000m</v>
          </cell>
          <cell r="C50" t="str">
            <v/>
          </cell>
          <cell r="D50" t="str">
            <v/>
          </cell>
          <cell r="E50" t="str">
            <v>m3</v>
          </cell>
          <cell r="F50">
            <v>2650</v>
          </cell>
          <cell r="G50">
            <v>4.7</v>
          </cell>
        </row>
        <row r="51">
          <cell r="A51" t="str">
            <v>DER52100</v>
          </cell>
          <cell r="B51" t="str">
            <v>Esc. Carga e Transp. de solos moles 1000&lt;DMT&lt;=1200m</v>
          </cell>
          <cell r="C51" t="str">
            <v/>
          </cell>
          <cell r="D51" t="str">
            <v/>
          </cell>
          <cell r="E51" t="str">
            <v>m3</v>
          </cell>
          <cell r="F51">
            <v>3238</v>
          </cell>
          <cell r="G51">
            <v>4.71</v>
          </cell>
        </row>
        <row r="52">
          <cell r="A52" t="str">
            <v>DER52101</v>
          </cell>
          <cell r="B52" t="str">
            <v>Esc. Carga e Transp. de solos moles 1200&lt;DMT&lt;=1400m</v>
          </cell>
          <cell r="C52" t="str">
            <v/>
          </cell>
          <cell r="D52" t="str">
            <v/>
          </cell>
          <cell r="E52" t="str">
            <v>m3</v>
          </cell>
          <cell r="F52">
            <v>762</v>
          </cell>
          <cell r="G52">
            <v>4.74</v>
          </cell>
        </row>
        <row r="53">
          <cell r="A53" t="str">
            <v>DER52102</v>
          </cell>
          <cell r="B53" t="str">
            <v>Esc. Carga e Transp. de solos moles 1400&lt;DMT&lt;=1600m</v>
          </cell>
          <cell r="C53" t="str">
            <v/>
          </cell>
          <cell r="D53" t="str">
            <v/>
          </cell>
          <cell r="E53" t="str">
            <v>m3</v>
          </cell>
          <cell r="F53">
            <v>1375</v>
          </cell>
          <cell r="G53">
            <v>4.8099999999999996</v>
          </cell>
        </row>
        <row r="54">
          <cell r="A54" t="str">
            <v>DER52103</v>
          </cell>
          <cell r="B54" t="str">
            <v>Esc. Carga e Transp. de solos moles 1600&lt;DMT&lt;=1800m</v>
          </cell>
          <cell r="C54" t="str">
            <v/>
          </cell>
          <cell r="D54" t="str">
            <v/>
          </cell>
          <cell r="E54" t="str">
            <v>m3</v>
          </cell>
          <cell r="F54">
            <v>1388</v>
          </cell>
          <cell r="G54">
            <v>4.8600000000000003</v>
          </cell>
        </row>
        <row r="55">
          <cell r="A55" t="str">
            <v>DER52105</v>
          </cell>
          <cell r="B55" t="str">
            <v>Esc. Carga e Transp. de solos moles 2000&lt;DMT&lt;=3000m</v>
          </cell>
          <cell r="C55" t="str">
            <v/>
          </cell>
          <cell r="D55" t="str">
            <v/>
          </cell>
          <cell r="E55" t="str">
            <v>m3</v>
          </cell>
          <cell r="F55">
            <v>15176</v>
          </cell>
          <cell r="G55">
            <v>5.77</v>
          </cell>
        </row>
        <row r="56">
          <cell r="A56" t="str">
            <v>01.510.00</v>
          </cell>
          <cell r="B56" t="str">
            <v>Compactação de aterros a 95% Proctor Normal</v>
          </cell>
          <cell r="C56" t="str">
            <v>DNER-ES282/97</v>
          </cell>
          <cell r="D56" t="str">
            <v/>
          </cell>
          <cell r="E56" t="str">
            <v>m3</v>
          </cell>
          <cell r="F56">
            <v>62802</v>
          </cell>
          <cell r="G56">
            <v>0.79</v>
          </cell>
        </row>
        <row r="57">
          <cell r="A57" t="str">
            <v>01.511.00</v>
          </cell>
          <cell r="B57" t="str">
            <v>Compactação de aterros a 100% Proctor Normal</v>
          </cell>
          <cell r="C57" t="str">
            <v>DNER-ES282/97</v>
          </cell>
          <cell r="D57" t="str">
            <v/>
          </cell>
          <cell r="E57" t="str">
            <v>m3</v>
          </cell>
          <cell r="F57">
            <v>42418</v>
          </cell>
          <cell r="G57">
            <v>1.36</v>
          </cell>
        </row>
        <row r="58">
          <cell r="F58" t="str">
            <v>SUB-TOTAL</v>
          </cell>
        </row>
        <row r="60">
          <cell r="B60" t="str">
            <v>PAVIMENTAÇÃO</v>
          </cell>
        </row>
        <row r="61">
          <cell r="A61" t="str">
            <v>02.000.00</v>
          </cell>
          <cell r="B61" t="str">
            <v>Regularização do subleito</v>
          </cell>
          <cell r="C61" t="str">
            <v/>
          </cell>
          <cell r="D61" t="str">
            <v/>
          </cell>
          <cell r="E61" t="str">
            <v>m2</v>
          </cell>
          <cell r="F61">
            <v>95629</v>
          </cell>
          <cell r="G61">
            <v>0.3</v>
          </cell>
        </row>
        <row r="62">
          <cell r="A62" t="str">
            <v>DER53110</v>
          </cell>
          <cell r="B62" t="str">
            <v>Camada de seixo classificado</v>
          </cell>
          <cell r="C62" t="str">
            <v/>
          </cell>
          <cell r="D62" t="str">
            <v/>
          </cell>
          <cell r="E62" t="str">
            <v>m3</v>
          </cell>
          <cell r="F62">
            <v>18370</v>
          </cell>
          <cell r="G62">
            <v>16.09</v>
          </cell>
        </row>
        <row r="63">
          <cell r="F63" t="str">
            <v>SUB-TOTAL</v>
          </cell>
        </row>
        <row r="65">
          <cell r="B65" t="str">
            <v>DRENAGEM</v>
          </cell>
        </row>
        <row r="66">
          <cell r="A66" t="str">
            <v>04.000.00</v>
          </cell>
          <cell r="B66" t="str">
            <v>Escavação manual em material de 1a categoria</v>
          </cell>
          <cell r="C66" t="str">
            <v/>
          </cell>
          <cell r="D66" t="str">
            <v/>
          </cell>
          <cell r="E66" t="str">
            <v>m3</v>
          </cell>
          <cell r="F66">
            <v>161</v>
          </cell>
          <cell r="G66">
            <v>17.57</v>
          </cell>
        </row>
        <row r="67">
          <cell r="A67" t="str">
            <v>04.001.00</v>
          </cell>
          <cell r="B67" t="str">
            <v>Escavação mecânica em material de 1a categoria</v>
          </cell>
          <cell r="C67" t="str">
            <v/>
          </cell>
          <cell r="D67" t="str">
            <v/>
          </cell>
          <cell r="E67" t="str">
            <v>m3</v>
          </cell>
          <cell r="F67">
            <v>824</v>
          </cell>
          <cell r="G67">
            <v>2.09</v>
          </cell>
        </row>
        <row r="68">
          <cell r="A68" t="str">
            <v>04.001.01</v>
          </cell>
          <cell r="B68" t="str">
            <v>Escavação mecânica,reaterro e compactação (material de 1a categoria)</v>
          </cell>
          <cell r="C68" t="str">
            <v/>
          </cell>
          <cell r="D68" t="str">
            <v/>
          </cell>
          <cell r="E68" t="str">
            <v>m3</v>
          </cell>
          <cell r="F68">
            <v>658.80000000000007</v>
          </cell>
          <cell r="G68">
            <v>3.03</v>
          </cell>
        </row>
        <row r="69">
          <cell r="A69" t="str">
            <v>04.400.02</v>
          </cell>
          <cell r="B69" t="str">
            <v>Valeta de prot. de cortes c/ revest. vegetal VPC 02</v>
          </cell>
          <cell r="C69" t="str">
            <v/>
          </cell>
          <cell r="D69" t="str">
            <v/>
          </cell>
          <cell r="E69" t="str">
            <v>m</v>
          </cell>
          <cell r="F69">
            <v>3333</v>
          </cell>
          <cell r="G69">
            <v>23.24</v>
          </cell>
        </row>
        <row r="70">
          <cell r="A70" t="str">
            <v>04.401.01</v>
          </cell>
          <cell r="B70" t="str">
            <v>Valeta de prot. de aterro c/ revest. vegetal VPA 01</v>
          </cell>
          <cell r="C70" t="str">
            <v/>
          </cell>
          <cell r="D70" t="str">
            <v/>
          </cell>
          <cell r="E70" t="str">
            <v>m</v>
          </cell>
          <cell r="F70">
            <v>2294</v>
          </cell>
          <cell r="G70">
            <v>31.98</v>
          </cell>
        </row>
        <row r="71">
          <cell r="A71" t="str">
            <v>04.401.02</v>
          </cell>
          <cell r="B71" t="str">
            <v>Valeta de prot. de aterro c/ revest. vegetal VPA 02</v>
          </cell>
          <cell r="C71" t="str">
            <v/>
          </cell>
          <cell r="D71" t="str">
            <v/>
          </cell>
          <cell r="E71" t="str">
            <v>m</v>
          </cell>
          <cell r="F71">
            <v>5351</v>
          </cell>
          <cell r="G71">
            <v>24.32</v>
          </cell>
        </row>
        <row r="72">
          <cell r="A72" t="str">
            <v>04.900.21</v>
          </cell>
          <cell r="B72" t="str">
            <v>Sarjeta de cant. central de concreto-SCC 01</v>
          </cell>
          <cell r="C72" t="str">
            <v>DNER-ES288/97</v>
          </cell>
          <cell r="D72" t="str">
            <v/>
          </cell>
          <cell r="E72" t="str">
            <v>m</v>
          </cell>
          <cell r="F72">
            <v>5269</v>
          </cell>
          <cell r="G72">
            <v>13.85</v>
          </cell>
        </row>
        <row r="73">
          <cell r="A73" t="str">
            <v>04.900.22</v>
          </cell>
          <cell r="B73" t="str">
            <v>Sarjeta de cant. central de concreto-SCC 02</v>
          </cell>
          <cell r="C73" t="str">
            <v>DNER-ES288/97</v>
          </cell>
          <cell r="D73" t="str">
            <v/>
          </cell>
          <cell r="E73" t="str">
            <v>m</v>
          </cell>
          <cell r="F73">
            <v>484</v>
          </cell>
          <cell r="G73">
            <v>19.170000000000002</v>
          </cell>
        </row>
        <row r="74">
          <cell r="A74" t="str">
            <v>04.900.32</v>
          </cell>
          <cell r="B74" t="str">
            <v>Sarjeta triangular de grama-STG 02</v>
          </cell>
          <cell r="C74" t="str">
            <v/>
          </cell>
          <cell r="D74" t="str">
            <v/>
          </cell>
          <cell r="E74" t="str">
            <v>m</v>
          </cell>
          <cell r="F74">
            <v>319</v>
          </cell>
          <cell r="G74">
            <v>12.14</v>
          </cell>
        </row>
        <row r="75">
          <cell r="A75" t="str">
            <v>04.900.33</v>
          </cell>
          <cell r="B75" t="str">
            <v>Sarjeta triangular de grama-STG 03</v>
          </cell>
          <cell r="C75" t="str">
            <v/>
          </cell>
          <cell r="D75" t="str">
            <v/>
          </cell>
          <cell r="E75" t="str">
            <v>m</v>
          </cell>
          <cell r="F75">
            <v>341</v>
          </cell>
          <cell r="G75">
            <v>10.61</v>
          </cell>
        </row>
        <row r="76">
          <cell r="A76" t="str">
            <v>04.900.34</v>
          </cell>
          <cell r="B76" t="str">
            <v>Sarjeta triangular de grama-STG 04</v>
          </cell>
          <cell r="C76" t="str">
            <v/>
          </cell>
          <cell r="D76" t="str">
            <v/>
          </cell>
          <cell r="E76" t="str">
            <v>m</v>
          </cell>
          <cell r="F76">
            <v>3872</v>
          </cell>
          <cell r="G76">
            <v>8.4700000000000006</v>
          </cell>
        </row>
        <row r="77">
          <cell r="A77" t="str">
            <v>DER78150b</v>
          </cell>
          <cell r="B77" t="str">
            <v>Caixa coletora de sarjeta - CCS, D=40cm E H=1,00m</v>
          </cell>
          <cell r="C77" t="str">
            <v/>
          </cell>
          <cell r="D77" t="str">
            <v/>
          </cell>
          <cell r="E77" t="str">
            <v>un</v>
          </cell>
          <cell r="F77">
            <v>5</v>
          </cell>
          <cell r="G77">
            <v>382.07</v>
          </cell>
        </row>
        <row r="78">
          <cell r="A78" t="str">
            <v>DER78150a</v>
          </cell>
          <cell r="B78" t="str">
            <v>Caixa coletora de sarjeta - CCS, D=60cm E H=1,5m</v>
          </cell>
          <cell r="C78" t="str">
            <v/>
          </cell>
          <cell r="D78" t="str">
            <v/>
          </cell>
          <cell r="E78" t="str">
            <v>un</v>
          </cell>
          <cell r="F78">
            <v>6</v>
          </cell>
          <cell r="G78">
            <v>500.45</v>
          </cell>
        </row>
        <row r="79">
          <cell r="A79" t="str">
            <v>DER78250</v>
          </cell>
          <cell r="B79" t="str">
            <v>Caixa coletora de sarjeta - CCS, D=80cm E H=1,50m</v>
          </cell>
          <cell r="C79" t="str">
            <v/>
          </cell>
          <cell r="D79" t="str">
            <v/>
          </cell>
          <cell r="E79" t="str">
            <v>un</v>
          </cell>
          <cell r="F79">
            <v>2</v>
          </cell>
          <cell r="G79">
            <v>436.66</v>
          </cell>
        </row>
        <row r="80">
          <cell r="A80" t="str">
            <v>DER78300</v>
          </cell>
          <cell r="B80" t="str">
            <v>Caixa coletora de sarjeta - CCS, D=100cm E H=1,50m</v>
          </cell>
          <cell r="C80" t="str">
            <v/>
          </cell>
          <cell r="D80" t="str">
            <v/>
          </cell>
          <cell r="E80" t="str">
            <v>un</v>
          </cell>
          <cell r="F80">
            <v>2</v>
          </cell>
          <cell r="G80">
            <v>449.54</v>
          </cell>
        </row>
        <row r="81">
          <cell r="A81" t="str">
            <v>04.930.01</v>
          </cell>
          <cell r="B81" t="str">
            <v>Caixa coletora de sarjeta-CCS 01</v>
          </cell>
          <cell r="C81" t="str">
            <v>DNER-ES287/97</v>
          </cell>
          <cell r="D81" t="str">
            <v/>
          </cell>
          <cell r="E81" t="str">
            <v>un</v>
          </cell>
          <cell r="F81">
            <v>3</v>
          </cell>
          <cell r="G81">
            <v>568.85</v>
          </cell>
        </row>
        <row r="82">
          <cell r="A82" t="str">
            <v>04.930.02</v>
          </cell>
          <cell r="B82" t="str">
            <v>Caixa coletora de sarjeta-CCS 02</v>
          </cell>
          <cell r="C82" t="str">
            <v>DNER-ES287/97</v>
          </cell>
          <cell r="D82" t="str">
            <v/>
          </cell>
          <cell r="E82" t="str">
            <v>un</v>
          </cell>
          <cell r="F82">
            <v>3</v>
          </cell>
          <cell r="G82">
            <v>555.63</v>
          </cell>
        </row>
        <row r="83">
          <cell r="A83" t="str">
            <v>04.930.03</v>
          </cell>
          <cell r="B83" t="str">
            <v>Caixa coletora de sarjeta-CCS 03</v>
          </cell>
          <cell r="C83" t="str">
            <v>DNER-ES287/97</v>
          </cell>
          <cell r="D83" t="str">
            <v/>
          </cell>
          <cell r="E83" t="str">
            <v>un</v>
          </cell>
          <cell r="F83">
            <v>1</v>
          </cell>
          <cell r="G83">
            <v>542.39</v>
          </cell>
        </row>
        <row r="84">
          <cell r="A84" t="str">
            <v>DER77100</v>
          </cell>
          <cell r="B84" t="str">
            <v>Caixa coletora de talvegue - CCT, D=80cm E H=1,50m</v>
          </cell>
          <cell r="C84" t="str">
            <v/>
          </cell>
          <cell r="D84" t="str">
            <v/>
          </cell>
          <cell r="E84" t="str">
            <v>un</v>
          </cell>
          <cell r="F84">
            <v>4</v>
          </cell>
          <cell r="G84">
            <v>419.95</v>
          </cell>
        </row>
        <row r="85">
          <cell r="A85" t="str">
            <v>DER77150</v>
          </cell>
          <cell r="B85" t="str">
            <v>Caixa coletora de talvegue - CCT, D=100cm E H=1,50m</v>
          </cell>
          <cell r="C85" t="str">
            <v/>
          </cell>
          <cell r="D85" t="str">
            <v/>
          </cell>
          <cell r="E85" t="str">
            <v>un</v>
          </cell>
          <cell r="F85">
            <v>1</v>
          </cell>
          <cell r="G85">
            <v>410.6</v>
          </cell>
        </row>
        <row r="86">
          <cell r="A86" t="str">
            <v>DER77150d</v>
          </cell>
          <cell r="B86" t="str">
            <v>Caixa coletora de talvegue, para BDTC, D=1,20m E H=1,50m</v>
          </cell>
          <cell r="C86" t="str">
            <v/>
          </cell>
          <cell r="D86" t="str">
            <v/>
          </cell>
          <cell r="E86" t="str">
            <v>un</v>
          </cell>
          <cell r="F86">
            <v>1</v>
          </cell>
          <cell r="G86">
            <v>581.30999999999995</v>
          </cell>
        </row>
        <row r="87">
          <cell r="A87" t="str">
            <v>P 04.100.07</v>
          </cell>
          <cell r="B87" t="str">
            <v>Execução de galerias D=0,40 c/ lastro de brita</v>
          </cell>
          <cell r="C87" t="str">
            <v/>
          </cell>
          <cell r="D87" t="str">
            <v/>
          </cell>
          <cell r="E87" t="str">
            <v>m</v>
          </cell>
          <cell r="F87">
            <v>81</v>
          </cell>
          <cell r="G87">
            <v>41.68</v>
          </cell>
        </row>
        <row r="88">
          <cell r="A88" t="str">
            <v>P 04.100.09</v>
          </cell>
          <cell r="B88" t="str">
            <v>Execução de galerias D=0,60 c/ lastro de brita</v>
          </cell>
          <cell r="C88" t="str">
            <v/>
          </cell>
          <cell r="D88" t="str">
            <v/>
          </cell>
          <cell r="E88" t="str">
            <v>m</v>
          </cell>
          <cell r="F88">
            <v>139</v>
          </cell>
          <cell r="G88">
            <v>100.67</v>
          </cell>
        </row>
        <row r="89">
          <cell r="A89" t="str">
            <v>P 04.100.08</v>
          </cell>
          <cell r="B89" t="str">
            <v>Execução de galerias D=0,40 c/ lastro de concreto</v>
          </cell>
          <cell r="C89" t="str">
            <v/>
          </cell>
          <cell r="D89" t="str">
            <v/>
          </cell>
          <cell r="E89" t="str">
            <v>m</v>
          </cell>
          <cell r="F89">
            <v>35</v>
          </cell>
          <cell r="G89">
            <v>58.65</v>
          </cell>
        </row>
        <row r="90">
          <cell r="A90" t="str">
            <v>DER72350b</v>
          </cell>
          <cell r="B90" t="str">
            <v>Boca para BSTC D=40cm - Normal</v>
          </cell>
          <cell r="C90" t="str">
            <v/>
          </cell>
          <cell r="D90" t="str">
            <v/>
          </cell>
          <cell r="E90" t="str">
            <v>un</v>
          </cell>
          <cell r="F90">
            <v>4</v>
          </cell>
          <cell r="G90">
            <v>147.57</v>
          </cell>
        </row>
        <row r="91">
          <cell r="A91" t="str">
            <v>04.101.01</v>
          </cell>
          <cell r="B91" t="str">
            <v>Boca de BSTC D=0.60m-normal</v>
          </cell>
          <cell r="C91" t="str">
            <v>DNER-ES284/97</v>
          </cell>
          <cell r="D91" t="str">
            <v/>
          </cell>
          <cell r="E91" t="str">
            <v>un</v>
          </cell>
          <cell r="F91">
            <v>7</v>
          </cell>
          <cell r="G91">
            <v>299.62</v>
          </cell>
        </row>
        <row r="92">
          <cell r="A92" t="str">
            <v>04.940.02</v>
          </cell>
          <cell r="B92" t="str">
            <v>Descida d’água tipo rápido- canal retangular-DAR 02</v>
          </cell>
          <cell r="C92" t="str">
            <v>DNER-ES291/97</v>
          </cell>
          <cell r="D92" t="str">
            <v/>
          </cell>
          <cell r="E92" t="str">
            <v>m</v>
          </cell>
          <cell r="F92">
            <v>5</v>
          </cell>
          <cell r="G92">
            <v>57.28</v>
          </cell>
        </row>
        <row r="93">
          <cell r="F93" t="str">
            <v>SUB-TOTAL</v>
          </cell>
        </row>
        <row r="94">
          <cell r="B94" t="str">
            <v>OBRAS DE ARTE CORRENTES</v>
          </cell>
        </row>
        <row r="95">
          <cell r="A95" t="str">
            <v>04.000.01</v>
          </cell>
          <cell r="B95" t="str">
            <v>Escavação manual,reaterro e compactação (material de 1a categoria)</v>
          </cell>
          <cell r="C95" t="str">
            <v/>
          </cell>
          <cell r="D95" t="str">
            <v/>
          </cell>
          <cell r="E95" t="str">
            <v>m3</v>
          </cell>
          <cell r="F95">
            <v>2635.2000000000003</v>
          </cell>
          <cell r="G95">
            <v>22.33</v>
          </cell>
        </row>
        <row r="96">
          <cell r="A96" t="str">
            <v>04.100.02</v>
          </cell>
          <cell r="B96" t="str">
            <v>Corpo de BSTC D=0.80m</v>
          </cell>
          <cell r="C96" t="str">
            <v>DNER-ES284/97</v>
          </cell>
          <cell r="D96" t="str">
            <v/>
          </cell>
          <cell r="E96" t="str">
            <v xml:space="preserve">m </v>
          </cell>
          <cell r="F96">
            <v>158</v>
          </cell>
          <cell r="G96">
            <v>201.98</v>
          </cell>
        </row>
        <row r="97">
          <cell r="A97" t="str">
            <v>04.100.03</v>
          </cell>
          <cell r="B97" t="str">
            <v>Corpo de BSTC D=1.00m</v>
          </cell>
          <cell r="C97" t="str">
            <v>DNER-ES284/97</v>
          </cell>
          <cell r="D97" t="str">
            <v/>
          </cell>
          <cell r="E97" t="str">
            <v xml:space="preserve">m </v>
          </cell>
          <cell r="F97">
            <v>99</v>
          </cell>
          <cell r="G97">
            <v>280.33</v>
          </cell>
        </row>
        <row r="98">
          <cell r="A98" t="str">
            <v>04.101.02</v>
          </cell>
          <cell r="B98" t="str">
            <v>Boca de BSTC D=0.80m-normal</v>
          </cell>
          <cell r="C98" t="str">
            <v>DNER-ES284/97</v>
          </cell>
          <cell r="D98" t="str">
            <v/>
          </cell>
          <cell r="E98" t="str">
            <v>un</v>
          </cell>
          <cell r="F98">
            <v>16</v>
          </cell>
          <cell r="G98">
            <v>494.05</v>
          </cell>
        </row>
        <row r="99">
          <cell r="A99" t="str">
            <v>04.101.03</v>
          </cell>
          <cell r="B99" t="str">
            <v>Boca de BSTC D=1.00m-normal</v>
          </cell>
          <cell r="C99" t="str">
            <v>DNER-ES284/97</v>
          </cell>
          <cell r="D99" t="str">
            <v/>
          </cell>
          <cell r="E99" t="str">
            <v>un</v>
          </cell>
          <cell r="F99">
            <v>6</v>
          </cell>
          <cell r="G99">
            <v>757.56</v>
          </cell>
        </row>
        <row r="100">
          <cell r="A100" t="str">
            <v>P04.110.00</v>
          </cell>
          <cell r="B100" t="str">
            <v>Corpo de BDTC D=0.80m c/ laje de concreto</v>
          </cell>
          <cell r="C100" t="str">
            <v/>
          </cell>
          <cell r="D100" t="str">
            <v/>
          </cell>
          <cell r="E100" t="str">
            <v>m</v>
          </cell>
          <cell r="F100">
            <v>33</v>
          </cell>
          <cell r="G100">
            <v>335.3</v>
          </cell>
        </row>
        <row r="101">
          <cell r="A101" t="str">
            <v>04.110.01</v>
          </cell>
          <cell r="B101" t="str">
            <v>Corpo de BDTC D=1.00m</v>
          </cell>
          <cell r="C101" t="str">
            <v>DNER-ES284/97</v>
          </cell>
          <cell r="D101" t="str">
            <v/>
          </cell>
          <cell r="E101" t="str">
            <v>m</v>
          </cell>
          <cell r="F101">
            <v>69</v>
          </cell>
          <cell r="G101">
            <v>572.14</v>
          </cell>
        </row>
        <row r="102">
          <cell r="A102" t="str">
            <v>04.110.02</v>
          </cell>
          <cell r="B102" t="str">
            <v>Corpo de BDTC D=1.20m</v>
          </cell>
          <cell r="C102" t="str">
            <v>DNER-ES284/97</v>
          </cell>
          <cell r="D102" t="str">
            <v/>
          </cell>
          <cell r="E102" t="str">
            <v>m</v>
          </cell>
          <cell r="F102">
            <v>21</v>
          </cell>
          <cell r="G102">
            <v>745.38</v>
          </cell>
        </row>
        <row r="103">
          <cell r="A103" t="str">
            <v>P04.111.01</v>
          </cell>
          <cell r="B103" t="str">
            <v>Boca de BDTC D=0.80m</v>
          </cell>
          <cell r="C103" t="str">
            <v/>
          </cell>
          <cell r="D103" t="str">
            <v/>
          </cell>
          <cell r="E103" t="str">
            <v>un</v>
          </cell>
          <cell r="F103">
            <v>2</v>
          </cell>
          <cell r="G103">
            <v>560.76</v>
          </cell>
        </row>
        <row r="104">
          <cell r="A104" t="str">
            <v>04.111.01</v>
          </cell>
          <cell r="B104" t="str">
            <v>Boca de BDTC D=1.00m-normal</v>
          </cell>
          <cell r="C104" t="str">
            <v>DNER-ES284/97</v>
          </cell>
          <cell r="D104" t="str">
            <v/>
          </cell>
          <cell r="E104" t="str">
            <v>un</v>
          </cell>
          <cell r="F104">
            <v>11</v>
          </cell>
          <cell r="G104">
            <v>1056.6199999999999</v>
          </cell>
        </row>
        <row r="105">
          <cell r="A105" t="str">
            <v>04.111.02</v>
          </cell>
          <cell r="B105" t="str">
            <v>Boca de BDTC D=1.20m-normal</v>
          </cell>
          <cell r="C105" t="str">
            <v>DNER-ES284/97</v>
          </cell>
          <cell r="D105" t="str">
            <v/>
          </cell>
          <cell r="E105" t="str">
            <v>un</v>
          </cell>
          <cell r="F105">
            <v>2</v>
          </cell>
          <cell r="G105">
            <v>1521.54</v>
          </cell>
        </row>
        <row r="106">
          <cell r="A106" t="str">
            <v>04.120.02</v>
          </cell>
          <cell r="B106" t="str">
            <v>Corpo de BTTC D=1.20m</v>
          </cell>
          <cell r="C106" t="str">
            <v>DNER-ES284/97</v>
          </cell>
          <cell r="D106" t="str">
            <v/>
          </cell>
          <cell r="E106" t="str">
            <v>m</v>
          </cell>
          <cell r="F106">
            <v>20</v>
          </cell>
          <cell r="G106">
            <v>1110.23</v>
          </cell>
        </row>
        <row r="107">
          <cell r="A107" t="str">
            <v>04.121.02</v>
          </cell>
          <cell r="B107" t="str">
            <v>Boca de BTTC D=1.20m-normal</v>
          </cell>
          <cell r="C107" t="str">
            <v/>
          </cell>
          <cell r="D107" t="str">
            <v/>
          </cell>
          <cell r="E107" t="str">
            <v>un</v>
          </cell>
          <cell r="F107">
            <v>3</v>
          </cell>
          <cell r="G107">
            <v>1955.59</v>
          </cell>
        </row>
        <row r="108">
          <cell r="A108" t="str">
            <v>04.200.02</v>
          </cell>
          <cell r="B108" t="str">
            <v>Corpo de BSCC 2.00x2.00m-H=0 a 1.00m</v>
          </cell>
          <cell r="C108" t="str">
            <v>DNER-ES286/97</v>
          </cell>
          <cell r="D108" t="str">
            <v/>
          </cell>
          <cell r="E108" t="str">
            <v>m</v>
          </cell>
          <cell r="F108">
            <v>21</v>
          </cell>
          <cell r="G108">
            <v>737.8</v>
          </cell>
        </row>
        <row r="109">
          <cell r="A109" t="str">
            <v>04.200.05</v>
          </cell>
          <cell r="B109" t="str">
            <v>Corpo de BSCC 1.50x1.50m-H=1.00 a 2.50m</v>
          </cell>
          <cell r="C109" t="str">
            <v>DNER-ES286/97</v>
          </cell>
          <cell r="D109" t="str">
            <v/>
          </cell>
          <cell r="E109" t="str">
            <v>m</v>
          </cell>
          <cell r="F109">
            <v>23</v>
          </cell>
          <cell r="G109">
            <v>468.54</v>
          </cell>
        </row>
        <row r="110">
          <cell r="A110" t="str">
            <v>04.201.01</v>
          </cell>
          <cell r="B110" t="str">
            <v>Boca de BSCC 1.50x1.50m - normal</v>
          </cell>
          <cell r="C110" t="str">
            <v/>
          </cell>
          <cell r="D110" t="str">
            <v/>
          </cell>
          <cell r="E110" t="str">
            <v>un</v>
          </cell>
          <cell r="F110">
            <v>4</v>
          </cell>
          <cell r="G110">
            <v>3149.41</v>
          </cell>
        </row>
        <row r="111">
          <cell r="A111" t="str">
            <v>04.201.02</v>
          </cell>
          <cell r="B111" t="str">
            <v>Boca de BSCC 2.00x2.00m - normal</v>
          </cell>
          <cell r="C111" t="str">
            <v/>
          </cell>
          <cell r="D111" t="str">
            <v/>
          </cell>
          <cell r="E111" t="str">
            <v>un</v>
          </cell>
          <cell r="F111">
            <v>3</v>
          </cell>
          <cell r="G111">
            <v>4874.24</v>
          </cell>
        </row>
        <row r="112">
          <cell r="A112" t="str">
            <v>04.999.01</v>
          </cell>
          <cell r="B112" t="str">
            <v>Remoção de bueiros existentes</v>
          </cell>
          <cell r="C112" t="str">
            <v/>
          </cell>
          <cell r="D112" t="str">
            <v/>
          </cell>
          <cell r="E112" t="str">
            <v>m</v>
          </cell>
          <cell r="F112">
            <v>147</v>
          </cell>
          <cell r="G112">
            <v>13.06</v>
          </cell>
        </row>
        <row r="113">
          <cell r="A113" t="str">
            <v>04.999.02</v>
          </cell>
          <cell r="B113" t="str">
            <v>Demolição de dispositivos de concreto</v>
          </cell>
          <cell r="C113" t="str">
            <v>DNER-ES296/97</v>
          </cell>
          <cell r="D113" t="str">
            <v/>
          </cell>
          <cell r="E113" t="str">
            <v>m3</v>
          </cell>
          <cell r="F113">
            <v>88</v>
          </cell>
          <cell r="G113">
            <v>12.58</v>
          </cell>
        </row>
        <row r="114">
          <cell r="A114" t="str">
            <v>P 04.610.01</v>
          </cell>
          <cell r="B114" t="str">
            <v>Demolição e remoção de pontilhão de madeira</v>
          </cell>
          <cell r="C114" t="str">
            <v/>
          </cell>
          <cell r="D114" t="str">
            <v/>
          </cell>
          <cell r="E114" t="str">
            <v>m2</v>
          </cell>
          <cell r="F114">
            <v>12</v>
          </cell>
          <cell r="G114">
            <v>40.74</v>
          </cell>
        </row>
        <row r="115">
          <cell r="F115" t="str">
            <v>SUB-TOTAL</v>
          </cell>
        </row>
        <row r="116">
          <cell r="B116" t="str">
            <v>OBRAS COMPLEMENTARES</v>
          </cell>
        </row>
        <row r="117">
          <cell r="A117" t="str">
            <v>05.100.00</v>
          </cell>
          <cell r="B117" t="str">
            <v>Enleivamento</v>
          </cell>
          <cell r="C117" t="str">
            <v>DNER-ES341/97</v>
          </cell>
          <cell r="D117" t="str">
            <v/>
          </cell>
          <cell r="E117" t="str">
            <v>m2</v>
          </cell>
          <cell r="F117">
            <v>45657</v>
          </cell>
          <cell r="G117">
            <v>2.06</v>
          </cell>
        </row>
        <row r="118">
          <cell r="A118" t="str">
            <v>05.102.00</v>
          </cell>
          <cell r="B118" t="str">
            <v>Hidrossemeadura</v>
          </cell>
          <cell r="C118" t="str">
            <v>DNER-ES341/97</v>
          </cell>
          <cell r="D118" t="str">
            <v/>
          </cell>
          <cell r="E118" t="str">
            <v>m2</v>
          </cell>
          <cell r="F118">
            <v>25854</v>
          </cell>
          <cell r="G118">
            <v>0.49</v>
          </cell>
        </row>
        <row r="119">
          <cell r="A119" t="str">
            <v>P 05.100.02</v>
          </cell>
          <cell r="B119" t="str">
            <v>Fornecimento e plantio de árvore selecionada</v>
          </cell>
          <cell r="C119" t="str">
            <v/>
          </cell>
          <cell r="D119" t="str">
            <v/>
          </cell>
          <cell r="E119" t="str">
            <v>un</v>
          </cell>
          <cell r="F119">
            <v>355</v>
          </cell>
          <cell r="G119">
            <v>6.02</v>
          </cell>
        </row>
        <row r="120">
          <cell r="A120" t="str">
            <v>R2</v>
          </cell>
          <cell r="B120" t="str">
            <v>Remanejamento de Rede de Alta Tensão (138kV)</v>
          </cell>
          <cell r="C120" t="str">
            <v/>
          </cell>
          <cell r="D120" t="str">
            <v/>
          </cell>
          <cell r="E120" t="str">
            <v>m</v>
          </cell>
          <cell r="F120">
            <v>180</v>
          </cell>
          <cell r="G120">
            <v>6.2</v>
          </cell>
        </row>
        <row r="121">
          <cell r="A121" t="str">
            <v>R14</v>
          </cell>
          <cell r="B121" t="str">
            <v>Remanejamento de Poste de Concreto 11/300</v>
          </cell>
          <cell r="C121" t="str">
            <v/>
          </cell>
          <cell r="D121" t="str">
            <v/>
          </cell>
          <cell r="E121" t="str">
            <v>un</v>
          </cell>
          <cell r="F121">
            <v>4</v>
          </cell>
          <cell r="G121">
            <v>75</v>
          </cell>
        </row>
        <row r="122">
          <cell r="A122" t="str">
            <v>R31</v>
          </cell>
          <cell r="B122" t="str">
            <v>Remoção de poste metálico c/iluminação - 1pétala</v>
          </cell>
          <cell r="C122" t="str">
            <v/>
          </cell>
          <cell r="D122" t="str">
            <v/>
          </cell>
          <cell r="E122" t="str">
            <v>un</v>
          </cell>
          <cell r="F122">
            <v>3</v>
          </cell>
          <cell r="G122">
            <v>75</v>
          </cell>
        </row>
        <row r="123">
          <cell r="A123" t="str">
            <v>R32</v>
          </cell>
          <cell r="B123" t="str">
            <v>Remoção de poste metálico c/iluminação - 2pétalas</v>
          </cell>
          <cell r="C123" t="str">
            <v/>
          </cell>
          <cell r="D123" t="str">
            <v/>
          </cell>
          <cell r="E123" t="str">
            <v>un</v>
          </cell>
          <cell r="F123">
            <v>3</v>
          </cell>
          <cell r="G123">
            <v>75</v>
          </cell>
        </row>
      </sheetData>
      <sheetData sheetId="25" refreshError="1">
        <row r="14">
          <cell r="A14" t="str">
            <v>01.000.00</v>
          </cell>
          <cell r="B14" t="str">
            <v>Desmatamento,destocamento e limpeza de área com árvore até 0,15m</v>
          </cell>
          <cell r="C14" t="str">
            <v>DNER-ES278/97</v>
          </cell>
          <cell r="D14" t="str">
            <v/>
          </cell>
          <cell r="E14" t="str">
            <v>m2</v>
          </cell>
          <cell r="F14">
            <v>78000</v>
          </cell>
          <cell r="G14">
            <v>7.0000000000000007E-2</v>
          </cell>
        </row>
        <row r="15">
          <cell r="A15" t="str">
            <v>01.010.00</v>
          </cell>
          <cell r="B15" t="str">
            <v>Desmatamento e destocamento árvores de 0,15m a 0,30m</v>
          </cell>
          <cell r="C15" t="str">
            <v>DNER-ES278/97</v>
          </cell>
          <cell r="D15" t="str">
            <v/>
          </cell>
          <cell r="E15" t="str">
            <v>un</v>
          </cell>
          <cell r="F15">
            <v>780</v>
          </cell>
          <cell r="G15">
            <v>8.92</v>
          </cell>
        </row>
        <row r="16">
          <cell r="A16" t="str">
            <v>01.011.00</v>
          </cell>
          <cell r="B16" t="str">
            <v>Desmatamento e destocamento árvores superior a 0,30m</v>
          </cell>
          <cell r="C16" t="str">
            <v>DNER-ES278/97</v>
          </cell>
          <cell r="D16" t="str">
            <v/>
          </cell>
          <cell r="E16" t="str">
            <v>un</v>
          </cell>
          <cell r="F16">
            <v>390</v>
          </cell>
          <cell r="G16">
            <v>26.75</v>
          </cell>
        </row>
        <row r="17">
          <cell r="A17" t="str">
            <v>01.100.01</v>
          </cell>
          <cell r="B17" t="str">
            <v>Escavação,carga e transportes de material de 1a  categoria DMT &lt;= 50m</v>
          </cell>
          <cell r="C17" t="str">
            <v>DNER-ES280/97</v>
          </cell>
          <cell r="D17" t="str">
            <v/>
          </cell>
          <cell r="E17" t="str">
            <v>m3</v>
          </cell>
          <cell r="F17">
            <v>1000</v>
          </cell>
          <cell r="G17">
            <v>0.62</v>
          </cell>
        </row>
        <row r="18">
          <cell r="A18" t="str">
            <v>01.100.09</v>
          </cell>
          <cell r="B18" t="str">
            <v>Escavação,carga e transportes de material de 1a categoria DMT= 50 a 200m</v>
          </cell>
          <cell r="C18" t="str">
            <v>DNER-ES280/97</v>
          </cell>
          <cell r="D18" t="str">
            <v/>
          </cell>
          <cell r="E18" t="str">
            <v>m3</v>
          </cell>
          <cell r="F18">
            <v>1281</v>
          </cell>
          <cell r="G18">
            <v>1.89</v>
          </cell>
        </row>
        <row r="19">
          <cell r="A19" t="str">
            <v>01.100.10</v>
          </cell>
          <cell r="B19" t="str">
            <v>Escavação,carga e transportes de material de 1a categoria DMT= 200 a 400m</v>
          </cell>
          <cell r="C19" t="str">
            <v>DNER-ES280/97</v>
          </cell>
          <cell r="D19" t="str">
            <v/>
          </cell>
          <cell r="E19" t="str">
            <v>m3</v>
          </cell>
          <cell r="F19">
            <v>2898</v>
          </cell>
          <cell r="G19">
            <v>1.98</v>
          </cell>
        </row>
        <row r="20">
          <cell r="A20" t="str">
            <v>01.100.12</v>
          </cell>
          <cell r="B20" t="str">
            <v>Escavação,carga e transportes de material de 1a categoria DMT= 600 a 800m</v>
          </cell>
          <cell r="C20" t="str">
            <v>DNER-ES280/97</v>
          </cell>
          <cell r="D20" t="str">
            <v/>
          </cell>
          <cell r="E20" t="str">
            <v>m3</v>
          </cell>
          <cell r="F20">
            <v>10522</v>
          </cell>
          <cell r="G20">
            <v>2.19</v>
          </cell>
        </row>
        <row r="21">
          <cell r="A21" t="str">
            <v>01.100.14</v>
          </cell>
          <cell r="B21" t="str">
            <v>Escavação,carga e transportes de material de 1a categoria DMT= 1000 a 1200m</v>
          </cell>
          <cell r="C21" t="str">
            <v>DNER-ES280/97</v>
          </cell>
          <cell r="D21" t="str">
            <v/>
          </cell>
          <cell r="E21" t="str">
            <v>m3</v>
          </cell>
          <cell r="F21">
            <v>1455</v>
          </cell>
          <cell r="G21">
            <v>2.4</v>
          </cell>
        </row>
        <row r="22">
          <cell r="A22" t="str">
            <v>01.100.19</v>
          </cell>
          <cell r="B22" t="str">
            <v>Escavação,carga e transportes de material de 1a categoria DMT= 2000 a 3000m</v>
          </cell>
          <cell r="C22" t="str">
            <v>DNER-ES280/97</v>
          </cell>
          <cell r="D22" t="str">
            <v/>
          </cell>
          <cell r="E22" t="str">
            <v>m3</v>
          </cell>
          <cell r="F22">
            <v>7388</v>
          </cell>
          <cell r="G22">
            <v>3.26</v>
          </cell>
        </row>
        <row r="23">
          <cell r="A23" t="str">
            <v>01.101.14</v>
          </cell>
          <cell r="B23" t="str">
            <v>Escavação,carga e transportes de material de 2a categoria,c/CB,  DMT 1000 a 1200m</v>
          </cell>
          <cell r="C23" t="str">
            <v>DNER-ES280/97</v>
          </cell>
          <cell r="D23" t="str">
            <v/>
          </cell>
          <cell r="E23" t="str">
            <v>m3</v>
          </cell>
          <cell r="F23">
            <v>970</v>
          </cell>
          <cell r="G23">
            <v>3.49</v>
          </cell>
        </row>
        <row r="24">
          <cell r="A24" t="str">
            <v>01.101.19</v>
          </cell>
          <cell r="B24" t="str">
            <v>Escavação,carga e transportes de material de 2a categoria,c/CB,  DMT 2000 a 3000m</v>
          </cell>
          <cell r="C24" t="str">
            <v>DNER-ES280/97</v>
          </cell>
          <cell r="D24" t="str">
            <v/>
          </cell>
          <cell r="E24" t="str">
            <v>m3</v>
          </cell>
          <cell r="F24">
            <v>4925</v>
          </cell>
          <cell r="G24">
            <v>4.51</v>
          </cell>
        </row>
        <row r="25">
          <cell r="A25" t="str">
            <v>01.510.00</v>
          </cell>
          <cell r="B25" t="str">
            <v>Compactação de aterros a 95% Proctor Normal</v>
          </cell>
          <cell r="C25" t="str">
            <v>DNER-ES282/97</v>
          </cell>
          <cell r="D25" t="str">
            <v/>
          </cell>
          <cell r="E25" t="str">
            <v>m3</v>
          </cell>
          <cell r="F25">
            <v>11953</v>
          </cell>
          <cell r="G25">
            <v>0.79</v>
          </cell>
        </row>
        <row r="26">
          <cell r="A26" t="str">
            <v>01.511.00</v>
          </cell>
          <cell r="B26" t="str">
            <v>Compactação de aterros a 100% Proctor Normal</v>
          </cell>
          <cell r="C26" t="str">
            <v>DNER-ES282/97</v>
          </cell>
          <cell r="D26" t="str">
            <v/>
          </cell>
          <cell r="E26" t="str">
            <v>m3</v>
          </cell>
          <cell r="F26">
            <v>12582</v>
          </cell>
          <cell r="G26">
            <v>1.36</v>
          </cell>
        </row>
        <row r="27">
          <cell r="F27" t="str">
            <v>SUB-TOTAL</v>
          </cell>
        </row>
        <row r="29">
          <cell r="B29" t="str">
            <v>PAVIMENTAÇÃO</v>
          </cell>
        </row>
        <row r="30">
          <cell r="A30" t="str">
            <v>02.000.00</v>
          </cell>
          <cell r="B30" t="str">
            <v>Regularização do subleito</v>
          </cell>
          <cell r="C30" t="str">
            <v/>
          </cell>
          <cell r="D30" t="str">
            <v/>
          </cell>
          <cell r="E30" t="str">
            <v>m2</v>
          </cell>
          <cell r="F30">
            <v>33079</v>
          </cell>
          <cell r="G30">
            <v>0.3</v>
          </cell>
        </row>
        <row r="31">
          <cell r="A31" t="str">
            <v>DER53130</v>
          </cell>
          <cell r="B31" t="str">
            <v>Camada de macadame seco</v>
          </cell>
          <cell r="C31" t="str">
            <v/>
          </cell>
          <cell r="D31" t="str">
            <v/>
          </cell>
          <cell r="E31" t="str">
            <v>m3</v>
          </cell>
          <cell r="F31">
            <v>7328</v>
          </cell>
          <cell r="G31">
            <v>21.86</v>
          </cell>
        </row>
        <row r="32">
          <cell r="A32" t="str">
            <v>02.230.00</v>
          </cell>
          <cell r="B32" t="str">
            <v>Base brita graduada</v>
          </cell>
          <cell r="C32" t="str">
            <v>DNER-ES303/97</v>
          </cell>
          <cell r="D32" t="str">
            <v/>
          </cell>
          <cell r="E32" t="str">
            <v>m3</v>
          </cell>
          <cell r="F32">
            <v>4583</v>
          </cell>
          <cell r="G32">
            <v>28.06</v>
          </cell>
        </row>
        <row r="33">
          <cell r="A33" t="str">
            <v>02.300.00</v>
          </cell>
          <cell r="B33" t="str">
            <v>Imprimação - Fornecimento, transporte e execução</v>
          </cell>
          <cell r="C33" t="str">
            <v>DNER-ES306/97</v>
          </cell>
          <cell r="D33" t="str">
            <v/>
          </cell>
          <cell r="E33" t="str">
            <v>m2</v>
          </cell>
          <cell r="F33">
            <v>30503</v>
          </cell>
          <cell r="G33">
            <v>1.1100000000000001</v>
          </cell>
        </row>
        <row r="34">
          <cell r="A34" t="str">
            <v>02.400.00</v>
          </cell>
          <cell r="B34" t="str">
            <v>Pintura de ligação - Fornec., transporte e execução</v>
          </cell>
          <cell r="C34" t="str">
            <v>DNER-ES307/97</v>
          </cell>
          <cell r="D34" t="str">
            <v/>
          </cell>
          <cell r="E34" t="str">
            <v>m2</v>
          </cell>
          <cell r="F34">
            <v>55033</v>
          </cell>
          <cell r="G34">
            <v>0.41</v>
          </cell>
        </row>
        <row r="35">
          <cell r="A35" t="str">
            <v>02.540.01</v>
          </cell>
          <cell r="B35" t="str">
            <v>Concreto betuminoso usinado a quente - usina 100/140 t/h</v>
          </cell>
          <cell r="C35" t="str">
            <v>DNER-ES313/97</v>
          </cell>
          <cell r="D35" t="str">
            <v/>
          </cell>
          <cell r="E35" t="str">
            <v>t</v>
          </cell>
          <cell r="F35">
            <v>6110</v>
          </cell>
          <cell r="G35">
            <v>67.64</v>
          </cell>
        </row>
        <row r="36">
          <cell r="F36" t="str">
            <v>SUB-TOTAL</v>
          </cell>
        </row>
        <row r="37">
          <cell r="B37" t="str">
            <v>DRENAGEM</v>
          </cell>
        </row>
        <row r="38">
          <cell r="A38" t="str">
            <v>04.000.00</v>
          </cell>
          <cell r="B38" t="str">
            <v>Escavação manual em material de 1a categoria</v>
          </cell>
          <cell r="C38" t="str">
            <v/>
          </cell>
          <cell r="D38" t="str">
            <v/>
          </cell>
          <cell r="E38" t="str">
            <v>m3</v>
          </cell>
          <cell r="F38">
            <v>238</v>
          </cell>
          <cell r="G38">
            <v>17.57</v>
          </cell>
        </row>
        <row r="39">
          <cell r="A39" t="str">
            <v>04.001.00</v>
          </cell>
          <cell r="B39" t="str">
            <v>Escavação mecânica em material de 1a categoria</v>
          </cell>
          <cell r="C39" t="str">
            <v/>
          </cell>
          <cell r="D39" t="str">
            <v/>
          </cell>
          <cell r="E39" t="str">
            <v>m3</v>
          </cell>
          <cell r="F39">
            <v>1515</v>
          </cell>
          <cell r="G39">
            <v>2.09</v>
          </cell>
        </row>
        <row r="40">
          <cell r="A40" t="str">
            <v>04.001.01</v>
          </cell>
          <cell r="B40" t="str">
            <v>Escavação mecânica,reaterro e compactação (material de 1a categoria)</v>
          </cell>
          <cell r="C40" t="str">
            <v/>
          </cell>
          <cell r="D40" t="str">
            <v/>
          </cell>
          <cell r="E40" t="str">
            <v>m3</v>
          </cell>
          <cell r="F40">
            <v>953.6</v>
          </cell>
          <cell r="G40">
            <v>3.03</v>
          </cell>
        </row>
        <row r="41">
          <cell r="A41" t="str">
            <v>04.400.02</v>
          </cell>
          <cell r="B41" t="str">
            <v>Valeta de prot. de cortes c/ revest. vegetal VPC 02</v>
          </cell>
          <cell r="C41" t="str">
            <v/>
          </cell>
          <cell r="D41" t="str">
            <v/>
          </cell>
          <cell r="E41" t="str">
            <v>m</v>
          </cell>
          <cell r="F41">
            <v>154</v>
          </cell>
          <cell r="G41">
            <v>23.24</v>
          </cell>
        </row>
        <row r="42">
          <cell r="A42" t="str">
            <v>04.401.02</v>
          </cell>
          <cell r="B42" t="str">
            <v>Valeta de prot. de aterro c/ revest. vegetal VPA 02</v>
          </cell>
          <cell r="C42" t="str">
            <v/>
          </cell>
          <cell r="D42" t="str">
            <v/>
          </cell>
          <cell r="E42" t="str">
            <v>m</v>
          </cell>
          <cell r="F42">
            <v>776</v>
          </cell>
          <cell r="G42">
            <v>24.32</v>
          </cell>
        </row>
        <row r="43">
          <cell r="A43" t="str">
            <v>04.500.06</v>
          </cell>
          <cell r="B43" t="str">
            <v>Dreno longit. profundo p/cortes em solo- DPS 06</v>
          </cell>
          <cell r="C43" t="str">
            <v>DNER-ES292/97</v>
          </cell>
          <cell r="D43" t="str">
            <v/>
          </cell>
          <cell r="E43" t="str">
            <v>m</v>
          </cell>
          <cell r="F43">
            <v>1837</v>
          </cell>
          <cell r="G43">
            <v>34.94</v>
          </cell>
        </row>
        <row r="44">
          <cell r="A44" t="str">
            <v>04.502.02</v>
          </cell>
          <cell r="B44" t="str">
            <v>Boca de saída p/ dreno longit. profundo- BSD 02</v>
          </cell>
          <cell r="C44" t="str">
            <v/>
          </cell>
          <cell r="D44" t="str">
            <v/>
          </cell>
          <cell r="E44" t="str">
            <v>un</v>
          </cell>
          <cell r="F44">
            <v>6</v>
          </cell>
          <cell r="G44">
            <v>49.08</v>
          </cell>
        </row>
        <row r="45">
          <cell r="A45" t="str">
            <v>04.510.03</v>
          </cell>
          <cell r="B45" t="str">
            <v>Dreno sub- superficial- DSS 03</v>
          </cell>
          <cell r="C45" t="str">
            <v>DNER-ES294/97</v>
          </cell>
          <cell r="D45" t="str">
            <v/>
          </cell>
          <cell r="E45" t="str">
            <v>m</v>
          </cell>
          <cell r="F45">
            <v>1133</v>
          </cell>
          <cell r="G45">
            <v>3.71</v>
          </cell>
        </row>
        <row r="46">
          <cell r="A46" t="str">
            <v>04.511.01</v>
          </cell>
          <cell r="B46" t="str">
            <v>Boca de saída p/ dreno sub-superficial-BSD 03</v>
          </cell>
          <cell r="C46" t="str">
            <v/>
          </cell>
          <cell r="D46" t="str">
            <v/>
          </cell>
          <cell r="E46" t="str">
            <v>un</v>
          </cell>
          <cell r="F46">
            <v>3</v>
          </cell>
          <cell r="G46">
            <v>20.86</v>
          </cell>
        </row>
        <row r="47">
          <cell r="A47" t="str">
            <v>04.900.21</v>
          </cell>
          <cell r="B47" t="str">
            <v>Sarjeta de cant. central de concreto-SCC 01</v>
          </cell>
          <cell r="C47" t="str">
            <v>DNER-ES288/97</v>
          </cell>
          <cell r="D47" t="str">
            <v/>
          </cell>
          <cell r="E47" t="str">
            <v>m</v>
          </cell>
          <cell r="F47">
            <v>66</v>
          </cell>
          <cell r="G47">
            <v>13.85</v>
          </cell>
        </row>
        <row r="48">
          <cell r="A48" t="str">
            <v>04.900.04</v>
          </cell>
          <cell r="B48" t="str">
            <v>Sarjeta triangular de concreto-STC 04</v>
          </cell>
          <cell r="C48" t="str">
            <v>DNER-ES288/97</v>
          </cell>
          <cell r="D48" t="str">
            <v/>
          </cell>
          <cell r="E48" t="str">
            <v>m</v>
          </cell>
          <cell r="F48">
            <v>473</v>
          </cell>
          <cell r="G48">
            <v>12.93</v>
          </cell>
        </row>
        <row r="49">
          <cell r="A49" t="str">
            <v>DER78150b</v>
          </cell>
          <cell r="B49" t="str">
            <v>Caixa coletora de sarjeta - CCS, D=40cm E H=1,00m</v>
          </cell>
          <cell r="C49" t="str">
            <v/>
          </cell>
          <cell r="D49" t="str">
            <v/>
          </cell>
          <cell r="E49" t="str">
            <v>un</v>
          </cell>
          <cell r="F49">
            <v>2</v>
          </cell>
          <cell r="G49">
            <v>382.07</v>
          </cell>
        </row>
        <row r="50">
          <cell r="A50" t="str">
            <v>DER78150c</v>
          </cell>
          <cell r="B50" t="str">
            <v>Caixa coletora de sarjeta - CCS, D=40cm E H=1,50m</v>
          </cell>
          <cell r="C50" t="str">
            <v/>
          </cell>
          <cell r="D50" t="str">
            <v/>
          </cell>
          <cell r="E50" t="str">
            <v>un</v>
          </cell>
          <cell r="F50">
            <v>3</v>
          </cell>
          <cell r="G50">
            <v>503.68</v>
          </cell>
        </row>
        <row r="51">
          <cell r="A51" t="str">
            <v>DER78150a</v>
          </cell>
          <cell r="B51" t="str">
            <v>Caixa coletora de sarjeta - CCS, D=60cm E H=1,5m</v>
          </cell>
          <cell r="C51" t="str">
            <v/>
          </cell>
          <cell r="D51" t="str">
            <v/>
          </cell>
          <cell r="E51" t="str">
            <v>un</v>
          </cell>
          <cell r="F51">
            <v>1</v>
          </cell>
          <cell r="G51">
            <v>500.45</v>
          </cell>
        </row>
        <row r="52">
          <cell r="A52" t="str">
            <v>04.930.01</v>
          </cell>
          <cell r="B52" t="str">
            <v>Caixa coletora de sarjeta-CCS 01</v>
          </cell>
          <cell r="C52" t="str">
            <v>DNER-ES287/97</v>
          </cell>
          <cell r="D52" t="str">
            <v/>
          </cell>
          <cell r="E52" t="str">
            <v>un</v>
          </cell>
          <cell r="F52">
            <v>1</v>
          </cell>
          <cell r="G52">
            <v>568.85</v>
          </cell>
        </row>
        <row r="53">
          <cell r="A53" t="str">
            <v>04.960.01</v>
          </cell>
          <cell r="B53" t="str">
            <v>Boca de lobo simples c/ grelha de concreto-BLS 01</v>
          </cell>
          <cell r="C53" t="str">
            <v/>
          </cell>
          <cell r="D53" t="str">
            <v/>
          </cell>
          <cell r="E53" t="str">
            <v>un</v>
          </cell>
          <cell r="F53">
            <v>4</v>
          </cell>
          <cell r="G53">
            <v>203.51</v>
          </cell>
        </row>
        <row r="54">
          <cell r="A54" t="str">
            <v>04.960.02</v>
          </cell>
          <cell r="B54" t="str">
            <v>Boca de lobo simples c/ grelha de concreto-BLS 02</v>
          </cell>
          <cell r="C54" t="str">
            <v/>
          </cell>
          <cell r="D54" t="str">
            <v/>
          </cell>
          <cell r="E54" t="str">
            <v>un</v>
          </cell>
          <cell r="F54">
            <v>9</v>
          </cell>
          <cell r="G54">
            <v>257.83999999999997</v>
          </cell>
        </row>
        <row r="55">
          <cell r="A55" t="str">
            <v>04.960.03</v>
          </cell>
          <cell r="B55" t="str">
            <v>Boca de lobo simples c/ grelha de concreto-BLS 03</v>
          </cell>
          <cell r="C55" t="str">
            <v/>
          </cell>
          <cell r="D55" t="str">
            <v/>
          </cell>
          <cell r="E55" t="str">
            <v>un</v>
          </cell>
          <cell r="F55">
            <v>5</v>
          </cell>
          <cell r="G55">
            <v>312.23</v>
          </cell>
        </row>
        <row r="56">
          <cell r="A56" t="str">
            <v>P.04.100.15</v>
          </cell>
          <cell r="B56" t="str">
            <v>Caixa de ligação e passagem BSTC,  D=1,00m, H=1,50m</v>
          </cell>
          <cell r="C56" t="str">
            <v/>
          </cell>
          <cell r="D56" t="str">
            <v/>
          </cell>
          <cell r="E56" t="str">
            <v>un</v>
          </cell>
          <cell r="F56">
            <v>2</v>
          </cell>
          <cell r="G56">
            <v>741.5</v>
          </cell>
        </row>
        <row r="57">
          <cell r="A57" t="str">
            <v>04.962.02</v>
          </cell>
          <cell r="B57" t="str">
            <v>Caixa de ligação e passagem- CLP 02</v>
          </cell>
          <cell r="C57" t="str">
            <v>DNER-ES287/97</v>
          </cell>
          <cell r="D57" t="str">
            <v/>
          </cell>
          <cell r="E57" t="str">
            <v>un</v>
          </cell>
          <cell r="F57">
            <v>1</v>
          </cell>
          <cell r="G57">
            <v>359.92</v>
          </cell>
        </row>
        <row r="58">
          <cell r="A58" t="str">
            <v>04.999.02</v>
          </cell>
          <cell r="B58" t="str">
            <v>Demolição de dispositivos de concreto</v>
          </cell>
          <cell r="C58" t="str">
            <v>DNER-ES296/97</v>
          </cell>
          <cell r="D58" t="str">
            <v/>
          </cell>
          <cell r="E58" t="str">
            <v>m3</v>
          </cell>
          <cell r="F58">
            <v>15</v>
          </cell>
          <cell r="G58">
            <v>12.58</v>
          </cell>
        </row>
        <row r="59">
          <cell r="A59" t="str">
            <v>P 04.100.07</v>
          </cell>
          <cell r="B59" t="str">
            <v>Execução de galerias D=0,40 c/ lastro de brita</v>
          </cell>
          <cell r="C59" t="str">
            <v/>
          </cell>
          <cell r="D59" t="str">
            <v/>
          </cell>
          <cell r="E59" t="str">
            <v>m</v>
          </cell>
          <cell r="F59">
            <v>773</v>
          </cell>
          <cell r="G59">
            <v>41.68</v>
          </cell>
        </row>
        <row r="60">
          <cell r="A60" t="str">
            <v>P 04.100.09</v>
          </cell>
          <cell r="B60" t="str">
            <v>Execução de galerias D=0,60 c/ lastro de brita</v>
          </cell>
          <cell r="C60" t="str">
            <v/>
          </cell>
          <cell r="D60" t="str">
            <v/>
          </cell>
          <cell r="E60" t="str">
            <v>m</v>
          </cell>
          <cell r="F60">
            <v>426</v>
          </cell>
          <cell r="G60">
            <v>100.67</v>
          </cell>
        </row>
        <row r="61">
          <cell r="A61" t="str">
            <v>P 04.100.08</v>
          </cell>
          <cell r="B61" t="str">
            <v>Execução de galerias D=0,40 c/ lastro de concreto</v>
          </cell>
          <cell r="C61" t="str">
            <v/>
          </cell>
          <cell r="D61" t="str">
            <v/>
          </cell>
          <cell r="E61" t="str">
            <v>m</v>
          </cell>
          <cell r="F61">
            <v>110</v>
          </cell>
          <cell r="G61">
            <v>58.65</v>
          </cell>
        </row>
        <row r="62">
          <cell r="A62" t="str">
            <v>P 04.100.10</v>
          </cell>
          <cell r="B62" t="str">
            <v>Execução de galerias D=0,60 c/ lastro de concreto</v>
          </cell>
          <cell r="C62" t="str">
            <v/>
          </cell>
          <cell r="D62" t="str">
            <v/>
          </cell>
          <cell r="E62" t="str">
            <v>m</v>
          </cell>
          <cell r="F62">
            <v>82</v>
          </cell>
          <cell r="G62">
            <v>131.66</v>
          </cell>
        </row>
        <row r="63">
          <cell r="A63" t="str">
            <v>DER72350b</v>
          </cell>
          <cell r="B63" t="str">
            <v>Boca para BSTC D=40cm - Normal</v>
          </cell>
          <cell r="C63" t="str">
            <v/>
          </cell>
          <cell r="D63" t="str">
            <v/>
          </cell>
          <cell r="E63" t="str">
            <v>un</v>
          </cell>
          <cell r="F63">
            <v>2</v>
          </cell>
          <cell r="G63">
            <v>147.57</v>
          </cell>
        </row>
        <row r="64">
          <cell r="A64" t="str">
            <v>04.101.01</v>
          </cell>
          <cell r="B64" t="str">
            <v>Boca de BSTC D=0.60m-normal</v>
          </cell>
          <cell r="C64" t="str">
            <v>DNER-ES284/97</v>
          </cell>
          <cell r="D64" t="str">
            <v/>
          </cell>
          <cell r="E64" t="str">
            <v>un</v>
          </cell>
          <cell r="F64">
            <v>6</v>
          </cell>
          <cell r="G64">
            <v>299.62</v>
          </cell>
        </row>
        <row r="65">
          <cell r="A65" t="str">
            <v>04.910.05</v>
          </cell>
          <cell r="B65" t="str">
            <v>Meio-fio de concreto-MFC 05</v>
          </cell>
          <cell r="C65" t="str">
            <v>DNER-ES290/97</v>
          </cell>
          <cell r="D65" t="str">
            <v/>
          </cell>
          <cell r="E65" t="str">
            <v>m</v>
          </cell>
          <cell r="F65">
            <v>8514</v>
          </cell>
          <cell r="G65">
            <v>10.54</v>
          </cell>
        </row>
        <row r="66">
          <cell r="F66" t="str">
            <v>SUB-TOTAL</v>
          </cell>
        </row>
        <row r="68">
          <cell r="B68" t="str">
            <v>OBRAS DE ARTE CORRENTES</v>
          </cell>
        </row>
        <row r="69">
          <cell r="A69" t="str">
            <v>04.100.02</v>
          </cell>
          <cell r="B69" t="str">
            <v>Corpo de BSTC D=0.80m</v>
          </cell>
          <cell r="C69" t="str">
            <v>DNER-ES284/97</v>
          </cell>
          <cell r="D69" t="str">
            <v/>
          </cell>
          <cell r="E69" t="str">
            <v xml:space="preserve">m </v>
          </cell>
          <cell r="F69">
            <v>44</v>
          </cell>
          <cell r="G69">
            <v>201.98</v>
          </cell>
        </row>
        <row r="70">
          <cell r="A70" t="str">
            <v>04.100.03</v>
          </cell>
          <cell r="B70" t="str">
            <v>Corpo de BSTC D=1.00m</v>
          </cell>
          <cell r="C70" t="str">
            <v>DNER-ES284/97</v>
          </cell>
          <cell r="D70" t="str">
            <v/>
          </cell>
          <cell r="E70" t="str">
            <v xml:space="preserve">m </v>
          </cell>
          <cell r="F70">
            <v>40</v>
          </cell>
          <cell r="G70">
            <v>280.33</v>
          </cell>
        </row>
        <row r="71">
          <cell r="A71" t="str">
            <v>04.101.02</v>
          </cell>
          <cell r="B71" t="str">
            <v>Boca de BSTC D=0.80m-normal</v>
          </cell>
          <cell r="C71" t="str">
            <v>DNER-ES284/97</v>
          </cell>
          <cell r="D71" t="str">
            <v/>
          </cell>
          <cell r="E71" t="str">
            <v>un</v>
          </cell>
          <cell r="F71">
            <v>3</v>
          </cell>
          <cell r="G71">
            <v>494.05</v>
          </cell>
        </row>
        <row r="72">
          <cell r="A72" t="str">
            <v>04.101.03</v>
          </cell>
          <cell r="B72" t="str">
            <v>Boca de BSTC D=1.00m-normal</v>
          </cell>
          <cell r="C72" t="str">
            <v>DNER-ES284/97</v>
          </cell>
          <cell r="D72" t="str">
            <v/>
          </cell>
          <cell r="E72" t="str">
            <v>un</v>
          </cell>
          <cell r="F72">
            <v>2</v>
          </cell>
          <cell r="G72">
            <v>757.56</v>
          </cell>
        </row>
        <row r="73">
          <cell r="A73" t="str">
            <v>04.110.01</v>
          </cell>
          <cell r="B73" t="str">
            <v>Corpo de BDTC D=1.00m</v>
          </cell>
          <cell r="C73" t="str">
            <v>DNER-ES284/97</v>
          </cell>
          <cell r="D73" t="str">
            <v/>
          </cell>
          <cell r="E73" t="str">
            <v>m</v>
          </cell>
          <cell r="F73">
            <v>27</v>
          </cell>
          <cell r="G73">
            <v>572.14</v>
          </cell>
        </row>
        <row r="74">
          <cell r="A74" t="str">
            <v>04.111.01</v>
          </cell>
          <cell r="B74" t="str">
            <v>Boca de BDTC D=1.00m-normal</v>
          </cell>
          <cell r="C74" t="str">
            <v>DNER-ES284/97</v>
          </cell>
          <cell r="D74" t="str">
            <v/>
          </cell>
          <cell r="E74" t="str">
            <v>un</v>
          </cell>
          <cell r="F74">
            <v>4</v>
          </cell>
          <cell r="G74">
            <v>1056.6199999999999</v>
          </cell>
        </row>
        <row r="75">
          <cell r="F75" t="str">
            <v>SUB-TOTAL</v>
          </cell>
        </row>
        <row r="76">
          <cell r="B76" t="str">
            <v>OBRAS COMPLEMENTARES</v>
          </cell>
        </row>
        <row r="77">
          <cell r="A77" t="str">
            <v>05.100.00</v>
          </cell>
          <cell r="B77" t="str">
            <v>Enleivamento</v>
          </cell>
          <cell r="C77" t="str">
            <v>DNER-ES341/97</v>
          </cell>
          <cell r="D77" t="str">
            <v/>
          </cell>
          <cell r="E77" t="str">
            <v>m2</v>
          </cell>
          <cell r="F77">
            <v>14884</v>
          </cell>
          <cell r="G77">
            <v>2.06</v>
          </cell>
        </row>
        <row r="78">
          <cell r="A78" t="str">
            <v>P 05.100.02</v>
          </cell>
          <cell r="B78" t="str">
            <v>Fornecimento e plantio de árvore selecionada</v>
          </cell>
          <cell r="C78" t="str">
            <v/>
          </cell>
          <cell r="D78" t="str">
            <v/>
          </cell>
          <cell r="E78" t="str">
            <v>un</v>
          </cell>
          <cell r="F78">
            <v>275</v>
          </cell>
          <cell r="G78">
            <v>6.02</v>
          </cell>
        </row>
        <row r="79">
          <cell r="A79" t="str">
            <v>DER81950</v>
          </cell>
          <cell r="B79" t="str">
            <v>Calçada em lastro de brita c/revestimento em concreto</v>
          </cell>
          <cell r="C79" t="str">
            <v/>
          </cell>
          <cell r="D79" t="str">
            <v/>
          </cell>
          <cell r="E79" t="str">
            <v>m2</v>
          </cell>
          <cell r="F79">
            <v>5840</v>
          </cell>
          <cell r="G79">
            <v>8.94</v>
          </cell>
        </row>
        <row r="80">
          <cell r="A80" t="str">
            <v>PI 04</v>
          </cell>
          <cell r="B80" t="str">
            <v xml:space="preserve">Luminária p/ iluminação pública ref.SRC-612 da Philips ou similar </v>
          </cell>
          <cell r="C80" t="str">
            <v/>
          </cell>
          <cell r="D80" t="str">
            <v/>
          </cell>
          <cell r="E80" t="str">
            <v>un</v>
          </cell>
          <cell r="F80">
            <v>87</v>
          </cell>
          <cell r="G80">
            <v>425.5</v>
          </cell>
        </row>
        <row r="81">
          <cell r="A81" t="str">
            <v>PI 10</v>
          </cell>
          <cell r="B81" t="str">
            <v>Lâmpada a vapor de mercúrio 250W, alta pressão, base E40</v>
          </cell>
          <cell r="C81" t="str">
            <v/>
          </cell>
          <cell r="D81" t="str">
            <v/>
          </cell>
          <cell r="E81" t="str">
            <v>un</v>
          </cell>
          <cell r="F81">
            <v>69</v>
          </cell>
          <cell r="G81">
            <v>28.75</v>
          </cell>
        </row>
        <row r="82">
          <cell r="A82" t="str">
            <v>PI 18</v>
          </cell>
          <cell r="B82" t="str">
            <v>Braço curvo p/ iluminação pública padrão CELESC</v>
          </cell>
          <cell r="C82" t="str">
            <v/>
          </cell>
          <cell r="D82" t="str">
            <v/>
          </cell>
          <cell r="E82" t="str">
            <v>un</v>
          </cell>
          <cell r="F82">
            <v>87</v>
          </cell>
          <cell r="G82">
            <v>6.33</v>
          </cell>
        </row>
        <row r="83">
          <cell r="A83" t="str">
            <v>PI 20</v>
          </cell>
          <cell r="B83" t="str">
            <v>Poste de concreto duplo T 10m, 150 daN</v>
          </cell>
          <cell r="C83" t="str">
            <v/>
          </cell>
          <cell r="D83" t="str">
            <v/>
          </cell>
          <cell r="E83" t="str">
            <v>un</v>
          </cell>
          <cell r="F83">
            <v>30</v>
          </cell>
          <cell r="G83">
            <v>200</v>
          </cell>
        </row>
        <row r="84">
          <cell r="A84" t="str">
            <v>PI 24</v>
          </cell>
          <cell r="B84" t="str">
            <v>Fita elétrica auto fusão a base de borracha EPR</v>
          </cell>
          <cell r="C84" t="str">
            <v/>
          </cell>
          <cell r="D84" t="str">
            <v/>
          </cell>
          <cell r="E84" t="str">
            <v>un</v>
          </cell>
          <cell r="F84">
            <v>5</v>
          </cell>
          <cell r="G84">
            <v>6.39</v>
          </cell>
        </row>
        <row r="85">
          <cell r="A85" t="str">
            <v>PI 25</v>
          </cell>
          <cell r="B85" t="str">
            <v>Fita adesiva plástica isolante</v>
          </cell>
          <cell r="C85" t="str">
            <v/>
          </cell>
          <cell r="D85" t="str">
            <v/>
          </cell>
          <cell r="E85" t="str">
            <v>un</v>
          </cell>
          <cell r="F85">
            <v>8</v>
          </cell>
          <cell r="G85">
            <v>3.84</v>
          </cell>
        </row>
        <row r="86">
          <cell r="A86" t="str">
            <v>PI 30</v>
          </cell>
          <cell r="B86" t="str">
            <v>Haste para aterramento aço-cobre D 13x2400mm</v>
          </cell>
          <cell r="C86" t="str">
            <v/>
          </cell>
          <cell r="D86" t="str">
            <v/>
          </cell>
          <cell r="E86" t="str">
            <v>un</v>
          </cell>
          <cell r="F86">
            <v>30</v>
          </cell>
          <cell r="G86">
            <v>6.04</v>
          </cell>
        </row>
        <row r="87">
          <cell r="A87" t="str">
            <v>PI 31</v>
          </cell>
          <cell r="B87" t="str">
            <v>Cabo de cobre nú meio duro, 7 fios 2AWG</v>
          </cell>
          <cell r="C87" t="str">
            <v/>
          </cell>
          <cell r="D87" t="str">
            <v/>
          </cell>
          <cell r="E87" t="str">
            <v>kg</v>
          </cell>
          <cell r="F87">
            <v>18</v>
          </cell>
          <cell r="G87">
            <v>7.02</v>
          </cell>
        </row>
        <row r="88">
          <cell r="A88" t="str">
            <v>PI 36</v>
          </cell>
          <cell r="B88" t="str">
            <v>Construção de embasamento p/ poste tipo engastado, concreto duplo T, 10m de altura</v>
          </cell>
          <cell r="C88" t="str">
            <v/>
          </cell>
          <cell r="D88" t="str">
            <v/>
          </cell>
          <cell r="E88" t="str">
            <v>un</v>
          </cell>
          <cell r="F88">
            <v>30</v>
          </cell>
          <cell r="G88">
            <v>285</v>
          </cell>
        </row>
        <row r="89">
          <cell r="A89" t="str">
            <v>PI 39</v>
          </cell>
          <cell r="B89" t="str">
            <v>Fixação de haste de terra e conexão ao neutro</v>
          </cell>
          <cell r="C89" t="str">
            <v/>
          </cell>
          <cell r="D89" t="str">
            <v/>
          </cell>
          <cell r="E89" t="str">
            <v>un</v>
          </cell>
          <cell r="F89">
            <v>30</v>
          </cell>
          <cell r="G89">
            <v>35</v>
          </cell>
        </row>
        <row r="90">
          <cell r="A90" t="str">
            <v>PI 45</v>
          </cell>
          <cell r="B90" t="str">
            <v>Montagem eletromecânica de luminária padrão CELESC em poste de 11m de altura, duplo T,c/ fixação dos equip.e conexões elétricos</v>
          </cell>
          <cell r="C90" t="str">
            <v/>
          </cell>
          <cell r="D90" t="str">
            <v/>
          </cell>
          <cell r="E90" t="str">
            <v>un</v>
          </cell>
          <cell r="F90">
            <v>87</v>
          </cell>
          <cell r="G90">
            <v>35</v>
          </cell>
        </row>
        <row r="91">
          <cell r="A91" t="str">
            <v>PI 48</v>
          </cell>
          <cell r="B91" t="str">
            <v>Armação secundária p/ 2 estribo</v>
          </cell>
          <cell r="C91" t="str">
            <v/>
          </cell>
          <cell r="D91" t="str">
            <v/>
          </cell>
          <cell r="E91" t="str">
            <v>un</v>
          </cell>
          <cell r="F91">
            <v>60</v>
          </cell>
          <cell r="G91">
            <v>7.5</v>
          </cell>
        </row>
        <row r="92">
          <cell r="A92" t="str">
            <v>PI 49</v>
          </cell>
          <cell r="B92" t="str">
            <v>Armação secundária p/ 1 estribo</v>
          </cell>
          <cell r="C92" t="str">
            <v/>
          </cell>
          <cell r="D92" t="str">
            <v/>
          </cell>
          <cell r="E92" t="str">
            <v>un</v>
          </cell>
          <cell r="F92">
            <v>30</v>
          </cell>
          <cell r="G92">
            <v>3.5</v>
          </cell>
        </row>
        <row r="93">
          <cell r="A93" t="str">
            <v>PI 61</v>
          </cell>
          <cell r="B93" t="str">
            <v>Isolador de roldana</v>
          </cell>
          <cell r="C93" t="str">
            <v/>
          </cell>
          <cell r="D93" t="str">
            <v/>
          </cell>
          <cell r="E93" t="str">
            <v>un</v>
          </cell>
          <cell r="F93">
            <v>150</v>
          </cell>
          <cell r="G93">
            <v>4.5</v>
          </cell>
        </row>
        <row r="94">
          <cell r="A94" t="str">
            <v>PI 65</v>
          </cell>
          <cell r="B94" t="str">
            <v>Cabo de alumínio 1/0</v>
          </cell>
          <cell r="C94" t="str">
            <v/>
          </cell>
          <cell r="D94" t="str">
            <v/>
          </cell>
          <cell r="E94" t="str">
            <v>m</v>
          </cell>
          <cell r="F94">
            <v>2880</v>
          </cell>
          <cell r="G94">
            <v>1.7</v>
          </cell>
        </row>
        <row r="95">
          <cell r="A95" t="str">
            <v>PI 69</v>
          </cell>
          <cell r="B95" t="str">
            <v>Instalação de poste concreto duplo T, 10m de altura, engastado</v>
          </cell>
          <cell r="C95" t="str">
            <v/>
          </cell>
          <cell r="D95" t="str">
            <v/>
          </cell>
          <cell r="E95" t="str">
            <v>un</v>
          </cell>
          <cell r="F95">
            <v>2</v>
          </cell>
          <cell r="G95">
            <v>200</v>
          </cell>
        </row>
        <row r="96">
          <cell r="A96" t="str">
            <v>R16</v>
          </cell>
          <cell r="B96" t="str">
            <v>Remanejamento de Poste de Concreto 10/150 c/ 1 pétala (400W) instalado</v>
          </cell>
          <cell r="C96" t="str">
            <v/>
          </cell>
          <cell r="D96" t="str">
            <v/>
          </cell>
          <cell r="E96" t="str">
            <v>un</v>
          </cell>
          <cell r="F96">
            <v>12</v>
          </cell>
          <cell r="G96">
            <v>150</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RADA DE DADOS"/>
      <sheetName val="ORÇAMENTO COMPLETO"/>
      <sheetName val="ORÇAMENTO - ÁGUA"/>
      <sheetName val="ORÇAMENTO - ESGOTO"/>
      <sheetName val="ORÇAMENTO - ELÉTRICO"/>
    </sheetNames>
    <sheetDataSet>
      <sheetData sheetId="0" refreshError="1">
        <row r="5">
          <cell r="C5">
            <v>33</v>
          </cell>
        </row>
      </sheetData>
      <sheetData sheetId="1" refreshError="1"/>
      <sheetData sheetId="2" refreshError="1"/>
      <sheetData sheetId="3" refreshError="1"/>
      <sheetData sheetId="4"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nograma (4)"/>
      <sheetName val="cronograma (3)"/>
      <sheetName val="PRINCIPAL"/>
      <sheetName val="Rede frigorifica"/>
      <sheetName val="ELETRICA "/>
      <sheetName val="#REF"/>
    </sheetNames>
    <sheetDataSet>
      <sheetData sheetId="0"/>
      <sheetData sheetId="1" refreshError="1"/>
      <sheetData sheetId="2"/>
      <sheetData sheetId="3" refreshError="1"/>
      <sheetData sheetId="4" refreshError="1"/>
      <sheetData sheetId="5"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ício"/>
      <sheetName val="CPV"/>
      <sheetName val="Resultado"/>
      <sheetName val="Planejado"/>
      <sheetName val="f.caixa"/>
      <sheetName val="back-log"/>
      <sheetName val="mes"/>
      <sheetName val="Custo Real"/>
      <sheetName val="inventario"/>
      <sheetName val="Inv. pendente"/>
      <sheetName val="Produção"/>
      <sheetName val="Avaliação"/>
      <sheetName val="Plan2"/>
      <sheetName val="Plan1"/>
      <sheetName val="IDENTIFICAÇÃO"/>
    </sheetNames>
    <sheetDataSet>
      <sheetData sheetId="0"/>
      <sheetData sheetId="1" refreshError="1"/>
      <sheetData sheetId="2" refreshError="1"/>
      <sheetData sheetId="3" refreshError="1">
        <row r="40">
          <cell r="C40">
            <v>0</v>
          </cell>
        </row>
      </sheetData>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2)"/>
      <sheetName val="PLANILHA"/>
    </sheetNames>
    <sheetDataSet>
      <sheetData sheetId="0" refreshError="1">
        <row r="1">
          <cell r="P1">
            <v>1</v>
          </cell>
        </row>
      </sheetData>
      <sheetData sheetId="1"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2)"/>
      <sheetName val="PLANILHA"/>
    </sheetNames>
    <sheetDataSet>
      <sheetData sheetId="0" refreshError="1">
        <row r="1">
          <cell r="P1">
            <v>1</v>
          </cell>
        </row>
      </sheetData>
      <sheetData sheetId="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o"/>
      <sheetName val="resumo"/>
      <sheetName val="central"/>
      <sheetName val="b1"/>
      <sheetName val="b2"/>
      <sheetName val="b3"/>
      <sheetName val="b4"/>
      <sheetName val="frentes"/>
      <sheetName val="aloj"/>
      <sheetName val="lote B"/>
      <sheetName val="G-REV_C"/>
      <sheetName val="BDI"/>
      <sheetName val="Encargos Sociais"/>
      <sheetName val="Plan1 (2)"/>
      <sheetName val="Indireto - 40 meses"/>
      <sheetName val="Plan1"/>
      <sheetName val="Sal"/>
      <sheetName val="Gráfico MO"/>
      <sheetName val="Bens Duráveis"/>
      <sheetName val="2"/>
      <sheetName val="3"/>
      <sheetName val="5"/>
      <sheetName val="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4">
          <cell r="B4" t="str">
            <v>Ajudante</v>
          </cell>
          <cell r="C4">
            <v>1.95</v>
          </cell>
          <cell r="D4">
            <v>1.1100000000000001</v>
          </cell>
          <cell r="E4">
            <v>0.94</v>
          </cell>
          <cell r="F4">
            <v>0.87</v>
          </cell>
          <cell r="G4">
            <v>0.94</v>
          </cell>
        </row>
        <row r="5">
          <cell r="B5" t="str">
            <v>Ajudante (Carga e Descarga)</v>
          </cell>
          <cell r="C5">
            <v>1.95</v>
          </cell>
          <cell r="D5">
            <v>1.1100000000000001</v>
          </cell>
          <cell r="E5">
            <v>0.94</v>
          </cell>
          <cell r="F5">
            <v>0.87</v>
          </cell>
          <cell r="G5">
            <v>0.94</v>
          </cell>
        </row>
        <row r="6">
          <cell r="B6" t="str">
            <v>Almoxarife</v>
          </cell>
          <cell r="C6">
            <v>5</v>
          </cell>
          <cell r="D6">
            <v>2.84</v>
          </cell>
          <cell r="E6">
            <v>2.44</v>
          </cell>
          <cell r="F6">
            <v>2.6093636363636361</v>
          </cell>
          <cell r="G6">
            <v>2.61</v>
          </cell>
        </row>
        <row r="7">
          <cell r="B7" t="str">
            <v>Analista de sistema</v>
          </cell>
          <cell r="C7">
            <v>3380.64</v>
          </cell>
          <cell r="D7">
            <v>1917.44</v>
          </cell>
          <cell r="E7">
            <v>1498</v>
          </cell>
          <cell r="F7">
            <v>1498</v>
          </cell>
          <cell r="G7">
            <v>1498</v>
          </cell>
        </row>
        <row r="8">
          <cell r="B8" t="str">
            <v>Apontador</v>
          </cell>
          <cell r="C8">
            <v>3.2</v>
          </cell>
          <cell r="D8">
            <v>1.81</v>
          </cell>
          <cell r="E8">
            <v>1.56</v>
          </cell>
          <cell r="F8">
            <v>1.0441363636363636</v>
          </cell>
          <cell r="G8">
            <v>1.68</v>
          </cell>
        </row>
        <row r="9">
          <cell r="B9" t="str">
            <v>Assist. de Rede</v>
          </cell>
          <cell r="C9">
            <v>1500</v>
          </cell>
          <cell r="D9">
            <v>850.77</v>
          </cell>
          <cell r="E9">
            <v>664.21</v>
          </cell>
          <cell r="F9">
            <v>664.21</v>
          </cell>
          <cell r="G9">
            <v>664.21</v>
          </cell>
        </row>
        <row r="10">
          <cell r="B10" t="str">
            <v>Assist. de Engenharia</v>
          </cell>
          <cell r="C10">
            <v>3380.64</v>
          </cell>
          <cell r="D10">
            <v>1917.44</v>
          </cell>
          <cell r="E10">
            <v>1498</v>
          </cell>
          <cell r="F10">
            <v>1500</v>
          </cell>
          <cell r="G10">
            <v>1500</v>
          </cell>
        </row>
        <row r="11">
          <cell r="B11" t="str">
            <v>Orçamentista</v>
          </cell>
          <cell r="F11">
            <v>1500</v>
          </cell>
          <cell r="G11">
            <v>1500</v>
          </cell>
        </row>
        <row r="12">
          <cell r="B12" t="str">
            <v>Assist. Financeiro</v>
          </cell>
          <cell r="C12">
            <v>4858.3599999999997</v>
          </cell>
          <cell r="D12">
            <v>2755.58</v>
          </cell>
          <cell r="E12">
            <v>1498</v>
          </cell>
          <cell r="F12">
            <v>1498</v>
          </cell>
          <cell r="G12">
            <v>1498</v>
          </cell>
        </row>
        <row r="13">
          <cell r="B13" t="str">
            <v>Assistente Social</v>
          </cell>
          <cell r="C13">
            <v>1433.7</v>
          </cell>
          <cell r="D13">
            <v>813.17</v>
          </cell>
          <cell r="E13">
            <v>961</v>
          </cell>
          <cell r="F13">
            <v>961</v>
          </cell>
          <cell r="G13">
            <v>961</v>
          </cell>
        </row>
        <row r="14">
          <cell r="B14" t="str">
            <v>Assistente técnico I</v>
          </cell>
          <cell r="C14">
            <v>1805.4</v>
          </cell>
          <cell r="D14">
            <v>1023.99</v>
          </cell>
          <cell r="E14">
            <v>961</v>
          </cell>
          <cell r="F14">
            <v>961</v>
          </cell>
          <cell r="G14">
            <v>961</v>
          </cell>
        </row>
        <row r="15">
          <cell r="B15" t="str">
            <v>Aux. de arquivo</v>
          </cell>
          <cell r="C15">
            <v>485.92</v>
          </cell>
          <cell r="D15">
            <v>275.61</v>
          </cell>
          <cell r="E15">
            <v>204</v>
          </cell>
          <cell r="F15">
            <v>204</v>
          </cell>
          <cell r="G15">
            <v>204</v>
          </cell>
        </row>
        <row r="16">
          <cell r="B16" t="str">
            <v>Aux. de pessoal</v>
          </cell>
          <cell r="C16">
            <v>3.2</v>
          </cell>
          <cell r="D16">
            <v>1.81</v>
          </cell>
          <cell r="E16">
            <v>1.56</v>
          </cell>
          <cell r="F16">
            <v>1.5576363636363637</v>
          </cell>
          <cell r="G16">
            <v>1.68</v>
          </cell>
        </row>
        <row r="17">
          <cell r="B17" t="str">
            <v>Aux. Financeiro</v>
          </cell>
          <cell r="C17">
            <v>878.63</v>
          </cell>
          <cell r="D17">
            <v>498.34</v>
          </cell>
          <cell r="E17">
            <v>749</v>
          </cell>
          <cell r="F17">
            <v>749</v>
          </cell>
          <cell r="G17">
            <v>749</v>
          </cell>
        </row>
        <row r="18">
          <cell r="B18" t="str">
            <v>Aux. Laboratório</v>
          </cell>
          <cell r="C18">
            <v>3.2</v>
          </cell>
          <cell r="D18">
            <v>1.81</v>
          </cell>
          <cell r="E18">
            <v>1.56</v>
          </cell>
          <cell r="F18">
            <v>1.56</v>
          </cell>
          <cell r="G18">
            <v>1.68</v>
          </cell>
        </row>
        <row r="19">
          <cell r="B19" t="str">
            <v>Aux. Segurança</v>
          </cell>
          <cell r="C19">
            <v>3.2</v>
          </cell>
          <cell r="D19">
            <v>1.81</v>
          </cell>
          <cell r="E19">
            <v>1.56</v>
          </cell>
          <cell r="F19">
            <v>1.56</v>
          </cell>
          <cell r="G19">
            <v>1.68</v>
          </cell>
        </row>
        <row r="20">
          <cell r="B20" t="str">
            <v>Cadista</v>
          </cell>
          <cell r="F20">
            <v>1000</v>
          </cell>
          <cell r="G20">
            <v>1000</v>
          </cell>
        </row>
        <row r="21">
          <cell r="B21" t="str">
            <v>Aux. técnico</v>
          </cell>
          <cell r="C21">
            <v>933.11</v>
          </cell>
          <cell r="D21">
            <v>529.24</v>
          </cell>
          <cell r="E21">
            <v>749</v>
          </cell>
          <cell r="F21">
            <v>342.68</v>
          </cell>
          <cell r="G21">
            <v>749</v>
          </cell>
        </row>
        <row r="22">
          <cell r="B22" t="str">
            <v>Aux. Serv. Gerais</v>
          </cell>
          <cell r="F22">
            <v>342.68</v>
          </cell>
          <cell r="G22">
            <v>342.68</v>
          </cell>
        </row>
        <row r="23">
          <cell r="B23" t="str">
            <v>Aux.almoxarifado</v>
          </cell>
          <cell r="C23">
            <v>3.67</v>
          </cell>
          <cell r="D23">
            <v>2.08</v>
          </cell>
          <cell r="E23">
            <v>3.4045454545454548</v>
          </cell>
          <cell r="F23">
            <v>1.5576363636363637</v>
          </cell>
          <cell r="G23">
            <v>3.4</v>
          </cell>
        </row>
        <row r="24">
          <cell r="B24" t="str">
            <v>Auxiliar de Topografia</v>
          </cell>
          <cell r="C24">
            <v>3.2</v>
          </cell>
          <cell r="D24">
            <v>1.81</v>
          </cell>
          <cell r="E24">
            <v>0.94</v>
          </cell>
          <cell r="F24">
            <v>0.94</v>
          </cell>
          <cell r="G24">
            <v>1.68</v>
          </cell>
        </row>
        <row r="25">
          <cell r="B25" t="str">
            <v>Carpinteiro</v>
          </cell>
          <cell r="C25">
            <v>3.2</v>
          </cell>
          <cell r="D25">
            <v>1.81</v>
          </cell>
          <cell r="E25">
            <v>1.56</v>
          </cell>
          <cell r="F25">
            <v>1.5576363636363637</v>
          </cell>
          <cell r="G25">
            <v>1.68</v>
          </cell>
        </row>
        <row r="26">
          <cell r="B26" t="str">
            <v>Chefe Administrativo</v>
          </cell>
          <cell r="C26">
            <v>3919.9999999999995</v>
          </cell>
          <cell r="D26">
            <v>2223.36</v>
          </cell>
          <cell r="E26">
            <v>2244</v>
          </cell>
          <cell r="F26">
            <v>2244</v>
          </cell>
          <cell r="G26">
            <v>2244</v>
          </cell>
        </row>
        <row r="27">
          <cell r="B27" t="str">
            <v>Chefe de Laboratório</v>
          </cell>
          <cell r="C27">
            <v>3919.9999999999995</v>
          </cell>
          <cell r="D27">
            <v>2223.36</v>
          </cell>
          <cell r="E27">
            <v>2244</v>
          </cell>
          <cell r="F27">
            <v>956.9</v>
          </cell>
          <cell r="G27">
            <v>2244</v>
          </cell>
        </row>
        <row r="28">
          <cell r="B28" t="str">
            <v>Chefe de Materiais</v>
          </cell>
          <cell r="C28">
            <v>3919.9999999999995</v>
          </cell>
          <cell r="D28">
            <v>2223.36</v>
          </cell>
          <cell r="E28">
            <v>2244</v>
          </cell>
          <cell r="F28">
            <v>2244</v>
          </cell>
          <cell r="G28">
            <v>2244</v>
          </cell>
        </row>
        <row r="29">
          <cell r="B29" t="str">
            <v>Eng. de Medição</v>
          </cell>
          <cell r="C29">
            <v>4804.05</v>
          </cell>
          <cell r="D29">
            <v>2724.77</v>
          </cell>
          <cell r="E29">
            <v>2312</v>
          </cell>
          <cell r="F29">
            <v>2500</v>
          </cell>
          <cell r="G29">
            <v>2500</v>
          </cell>
        </row>
        <row r="30">
          <cell r="B30" t="str">
            <v>Chefe S. Pessoal</v>
          </cell>
          <cell r="C30">
            <v>3919.9999999999995</v>
          </cell>
          <cell r="D30">
            <v>2223.36</v>
          </cell>
          <cell r="E30">
            <v>2244</v>
          </cell>
          <cell r="F30">
            <v>2000</v>
          </cell>
          <cell r="G30">
            <v>2244</v>
          </cell>
        </row>
        <row r="31">
          <cell r="B31" t="str">
            <v>Comprador</v>
          </cell>
          <cell r="C31">
            <v>7.26</v>
          </cell>
          <cell r="D31">
            <v>4.12</v>
          </cell>
          <cell r="E31">
            <v>4.3681818181818182</v>
          </cell>
          <cell r="F31">
            <v>4.3681818181818182</v>
          </cell>
          <cell r="G31">
            <v>4.37</v>
          </cell>
        </row>
        <row r="32">
          <cell r="B32" t="str">
            <v>Contador</v>
          </cell>
          <cell r="C32">
            <v>4115.74</v>
          </cell>
          <cell r="D32">
            <v>2334.38</v>
          </cell>
          <cell r="E32">
            <v>2244</v>
          </cell>
          <cell r="F32">
            <v>2244</v>
          </cell>
          <cell r="G32">
            <v>2244</v>
          </cell>
        </row>
        <row r="33">
          <cell r="B33" t="str">
            <v>Contínuo</v>
          </cell>
          <cell r="F33">
            <v>1.0441363636363636</v>
          </cell>
          <cell r="G33">
            <v>0.94</v>
          </cell>
        </row>
        <row r="34">
          <cell r="B34" t="str">
            <v>Coord. Desenv. Proj.</v>
          </cell>
          <cell r="C34">
            <v>7300</v>
          </cell>
          <cell r="D34">
            <v>4140.43</v>
          </cell>
          <cell r="E34">
            <v>2312</v>
          </cell>
          <cell r="F34">
            <v>2312</v>
          </cell>
          <cell r="G34">
            <v>2312</v>
          </cell>
        </row>
        <row r="35">
          <cell r="B35" t="str">
            <v>Coord. Topografia</v>
          </cell>
          <cell r="C35">
            <v>7300</v>
          </cell>
          <cell r="D35">
            <v>4140.43</v>
          </cell>
          <cell r="E35">
            <v>2312</v>
          </cell>
          <cell r="F35">
            <v>2312</v>
          </cell>
          <cell r="G35">
            <v>2312</v>
          </cell>
        </row>
        <row r="36">
          <cell r="B36" t="str">
            <v>Copeira</v>
          </cell>
          <cell r="C36">
            <v>2.21</v>
          </cell>
          <cell r="D36">
            <v>1.25</v>
          </cell>
          <cell r="E36">
            <v>1.01</v>
          </cell>
          <cell r="F36">
            <v>1.0441363636363636</v>
          </cell>
          <cell r="G36">
            <v>0.94</v>
          </cell>
        </row>
        <row r="37">
          <cell r="B37" t="str">
            <v>Desenhista Projetista</v>
          </cell>
          <cell r="C37">
            <v>3219.64</v>
          </cell>
          <cell r="D37">
            <v>1826.12</v>
          </cell>
          <cell r="E37">
            <v>1498</v>
          </cell>
          <cell r="F37">
            <v>1498</v>
          </cell>
          <cell r="G37">
            <v>1498</v>
          </cell>
        </row>
        <row r="38">
          <cell r="B38" t="str">
            <v>Eletricista</v>
          </cell>
          <cell r="C38">
            <v>3.2</v>
          </cell>
          <cell r="D38">
            <v>1.81</v>
          </cell>
          <cell r="E38">
            <v>1.81</v>
          </cell>
          <cell r="F38">
            <v>1.81</v>
          </cell>
          <cell r="G38">
            <v>1.9</v>
          </cell>
        </row>
        <row r="39">
          <cell r="B39" t="str">
            <v>Enc.Serv.Gerais</v>
          </cell>
          <cell r="C39">
            <v>3380.64</v>
          </cell>
          <cell r="D39">
            <v>1917.44</v>
          </cell>
          <cell r="E39">
            <v>1498</v>
          </cell>
          <cell r="F39">
            <v>510.88</v>
          </cell>
          <cell r="G39">
            <v>1498</v>
          </cell>
        </row>
        <row r="40">
          <cell r="B40" t="str">
            <v>Encanador</v>
          </cell>
          <cell r="C40">
            <v>3.2</v>
          </cell>
          <cell r="D40">
            <v>1.81</v>
          </cell>
          <cell r="E40">
            <v>1.81</v>
          </cell>
          <cell r="F40">
            <v>1.81</v>
          </cell>
          <cell r="G40">
            <v>1.9</v>
          </cell>
        </row>
        <row r="41">
          <cell r="B41" t="str">
            <v>Encarregado Comercial</v>
          </cell>
          <cell r="C41">
            <v>3380.64</v>
          </cell>
          <cell r="D41">
            <v>1917.44</v>
          </cell>
          <cell r="E41">
            <v>1498</v>
          </cell>
          <cell r="F41">
            <v>1498</v>
          </cell>
          <cell r="G41">
            <v>1498</v>
          </cell>
        </row>
        <row r="42">
          <cell r="B42" t="str">
            <v>Encarregado de Apropriação</v>
          </cell>
          <cell r="C42">
            <v>3380.64</v>
          </cell>
          <cell r="D42">
            <v>1917.44</v>
          </cell>
          <cell r="E42">
            <v>1498</v>
          </cell>
          <cell r="F42">
            <v>1498</v>
          </cell>
          <cell r="G42">
            <v>1498</v>
          </cell>
        </row>
        <row r="43">
          <cell r="B43" t="str">
            <v>Encarregado de Transportes</v>
          </cell>
          <cell r="C43">
            <v>3380.64</v>
          </cell>
          <cell r="D43">
            <v>1917.44</v>
          </cell>
          <cell r="E43">
            <v>1498</v>
          </cell>
          <cell r="F43">
            <v>1498</v>
          </cell>
          <cell r="G43">
            <v>1498</v>
          </cell>
        </row>
        <row r="44">
          <cell r="B44" t="str">
            <v>Encarregado de Produção</v>
          </cell>
          <cell r="C44">
            <v>3380.64</v>
          </cell>
          <cell r="D44">
            <v>1917.44</v>
          </cell>
          <cell r="E44">
            <v>1498</v>
          </cell>
          <cell r="F44">
            <v>1498</v>
          </cell>
          <cell r="G44">
            <v>1100</v>
          </cell>
        </row>
        <row r="45">
          <cell r="B45" t="str">
            <v>Mestre de Obras</v>
          </cell>
          <cell r="C45">
            <v>3380.64</v>
          </cell>
          <cell r="D45">
            <v>1917.44</v>
          </cell>
          <cell r="E45">
            <v>2244</v>
          </cell>
          <cell r="F45">
            <v>3500</v>
          </cell>
          <cell r="G45">
            <v>2500</v>
          </cell>
        </row>
        <row r="46">
          <cell r="B46" t="str">
            <v>Enc. Frente Serviço</v>
          </cell>
          <cell r="E46">
            <v>838.2</v>
          </cell>
          <cell r="F46">
            <v>2000</v>
          </cell>
          <cell r="G46">
            <v>2000</v>
          </cell>
        </row>
        <row r="47">
          <cell r="B47" t="str">
            <v>Enc. Financeiro</v>
          </cell>
          <cell r="E47">
            <v>1498</v>
          </cell>
          <cell r="F47">
            <v>1000</v>
          </cell>
          <cell r="G47">
            <v>1498</v>
          </cell>
        </row>
        <row r="48">
          <cell r="B48" t="str">
            <v>Enc. Pessoal</v>
          </cell>
          <cell r="E48">
            <v>1498</v>
          </cell>
          <cell r="F48">
            <v>1000</v>
          </cell>
          <cell r="G48">
            <v>1498</v>
          </cell>
        </row>
        <row r="49">
          <cell r="B49" t="str">
            <v>Eng. Seg.Trabalho</v>
          </cell>
          <cell r="C49">
            <v>5161.32</v>
          </cell>
          <cell r="D49">
            <v>2927.41</v>
          </cell>
          <cell r="E49">
            <v>2312</v>
          </cell>
          <cell r="F49">
            <v>2500</v>
          </cell>
          <cell r="G49">
            <v>2500</v>
          </cell>
        </row>
        <row r="50">
          <cell r="B50" t="str">
            <v>Engenheiro C. Qualidade</v>
          </cell>
          <cell r="C50">
            <v>5161.32</v>
          </cell>
          <cell r="D50">
            <v>2927.41</v>
          </cell>
          <cell r="E50">
            <v>2312</v>
          </cell>
          <cell r="F50">
            <v>2500</v>
          </cell>
          <cell r="G50">
            <v>2500</v>
          </cell>
        </row>
        <row r="51">
          <cell r="B51" t="str">
            <v>Engenheiro Produção</v>
          </cell>
          <cell r="C51">
            <v>5161.32</v>
          </cell>
          <cell r="D51">
            <v>2927.41</v>
          </cell>
          <cell r="E51">
            <v>2312</v>
          </cell>
          <cell r="F51">
            <v>2500</v>
          </cell>
          <cell r="G51">
            <v>2800</v>
          </cell>
        </row>
        <row r="52">
          <cell r="B52" t="str">
            <v>Eng. Projetos</v>
          </cell>
          <cell r="C52">
            <v>5161.32</v>
          </cell>
          <cell r="D52">
            <v>2927.41</v>
          </cell>
          <cell r="E52">
            <v>2312</v>
          </cell>
          <cell r="F52">
            <v>2500</v>
          </cell>
          <cell r="G52">
            <v>2500</v>
          </cell>
        </row>
        <row r="53">
          <cell r="B53" t="str">
            <v>Eng. Planejamento</v>
          </cell>
          <cell r="C53">
            <v>5161.32</v>
          </cell>
          <cell r="D53">
            <v>2927.41</v>
          </cell>
          <cell r="E53">
            <v>2312</v>
          </cell>
          <cell r="F53">
            <v>2800</v>
          </cell>
          <cell r="G53">
            <v>2800</v>
          </cell>
        </row>
        <row r="54">
          <cell r="B54" t="str">
            <v>Eng. Métodos Constr.</v>
          </cell>
          <cell r="F54">
            <v>2800</v>
          </cell>
          <cell r="G54">
            <v>2800</v>
          </cell>
        </row>
        <row r="55">
          <cell r="B55" t="str">
            <v>Engenheiro de Minas</v>
          </cell>
          <cell r="C55">
            <v>5161.32</v>
          </cell>
          <cell r="D55">
            <v>2927.41</v>
          </cell>
          <cell r="E55">
            <v>2312</v>
          </cell>
          <cell r="F55">
            <v>2800</v>
          </cell>
          <cell r="G55">
            <v>2800</v>
          </cell>
        </row>
        <row r="56">
          <cell r="B56" t="str">
            <v>Geólogo</v>
          </cell>
          <cell r="E56">
            <v>2312</v>
          </cell>
          <cell r="F56">
            <v>2800</v>
          </cell>
          <cell r="G56">
            <v>2800</v>
          </cell>
        </row>
        <row r="57">
          <cell r="B57" t="str">
            <v>Faxineiro</v>
          </cell>
          <cell r="C57">
            <v>1.79</v>
          </cell>
          <cell r="D57">
            <v>1.02</v>
          </cell>
          <cell r="E57">
            <v>0.94</v>
          </cell>
          <cell r="F57">
            <v>1.0441363636363636</v>
          </cell>
          <cell r="G57">
            <v>0.94</v>
          </cell>
        </row>
        <row r="58">
          <cell r="B58" t="str">
            <v>Ferramenteiro</v>
          </cell>
          <cell r="C58">
            <v>2.21</v>
          </cell>
          <cell r="D58">
            <v>1.25</v>
          </cell>
          <cell r="E58">
            <v>1.56</v>
          </cell>
          <cell r="F58">
            <v>1.56</v>
          </cell>
          <cell r="G58">
            <v>1.9</v>
          </cell>
        </row>
        <row r="59">
          <cell r="B59" t="str">
            <v>Gerente Adm. Financeiro</v>
          </cell>
          <cell r="C59">
            <v>11773.4</v>
          </cell>
          <cell r="D59">
            <v>6677.67</v>
          </cell>
          <cell r="E59">
            <v>3400</v>
          </cell>
          <cell r="F59">
            <v>4000</v>
          </cell>
          <cell r="G59">
            <v>4000</v>
          </cell>
        </row>
        <row r="60">
          <cell r="B60" t="str">
            <v>Gerente Comercial</v>
          </cell>
          <cell r="C60">
            <v>11773.4</v>
          </cell>
          <cell r="D60">
            <v>6677.67</v>
          </cell>
          <cell r="E60">
            <v>3400</v>
          </cell>
        </row>
        <row r="61">
          <cell r="B61" t="str">
            <v>Gerente Gest. Qualidade</v>
          </cell>
          <cell r="F61">
            <v>4000</v>
          </cell>
          <cell r="G61">
            <v>4000</v>
          </cell>
        </row>
        <row r="62">
          <cell r="B62" t="str">
            <v>Gerente de Sistemas</v>
          </cell>
          <cell r="F62">
            <v>5000</v>
          </cell>
          <cell r="G62">
            <v>5000</v>
          </cell>
        </row>
        <row r="63">
          <cell r="B63" t="str">
            <v>Gerente de Construção</v>
          </cell>
          <cell r="E63">
            <v>3400</v>
          </cell>
          <cell r="F63">
            <v>7000</v>
          </cell>
          <cell r="G63">
            <v>7000</v>
          </cell>
        </row>
        <row r="64">
          <cell r="B64" t="str">
            <v>Gerente Área Técnica</v>
          </cell>
          <cell r="C64">
            <v>11773.4</v>
          </cell>
          <cell r="D64">
            <v>6677.67</v>
          </cell>
          <cell r="E64">
            <v>3400</v>
          </cell>
          <cell r="F64">
            <v>5000</v>
          </cell>
          <cell r="G64">
            <v>5000</v>
          </cell>
        </row>
        <row r="65">
          <cell r="B65" t="str">
            <v>Gerente Obras Civis</v>
          </cell>
          <cell r="C65">
            <v>16947.98</v>
          </cell>
          <cell r="D65">
            <v>9612.6</v>
          </cell>
          <cell r="E65">
            <v>4080</v>
          </cell>
          <cell r="F65">
            <v>5000</v>
          </cell>
          <cell r="G65">
            <v>5000</v>
          </cell>
        </row>
        <row r="66">
          <cell r="B66" t="str">
            <v>1º Repres. Contratada</v>
          </cell>
          <cell r="C66">
            <v>16947.98</v>
          </cell>
          <cell r="D66">
            <v>9612.6</v>
          </cell>
          <cell r="E66">
            <v>4760</v>
          </cell>
          <cell r="F66">
            <v>10000</v>
          </cell>
          <cell r="G66">
            <v>10000</v>
          </cell>
        </row>
        <row r="67">
          <cell r="B67" t="str">
            <v xml:space="preserve">Inspetor de qualidade </v>
          </cell>
          <cell r="C67">
            <v>4292</v>
          </cell>
          <cell r="D67">
            <v>2434.35</v>
          </cell>
          <cell r="E67">
            <v>1498</v>
          </cell>
          <cell r="F67">
            <v>1498</v>
          </cell>
          <cell r="G67">
            <v>1498</v>
          </cell>
        </row>
        <row r="68">
          <cell r="B68" t="str">
            <v>Laboratorista</v>
          </cell>
          <cell r="C68">
            <v>1187.92</v>
          </cell>
          <cell r="D68">
            <v>673.77</v>
          </cell>
          <cell r="E68">
            <v>749</v>
          </cell>
          <cell r="F68">
            <v>749</v>
          </cell>
          <cell r="G68">
            <v>749</v>
          </cell>
        </row>
        <row r="69">
          <cell r="B69" t="str">
            <v>Médico do Trabalho</v>
          </cell>
          <cell r="C69">
            <v>5252.91</v>
          </cell>
          <cell r="D69">
            <v>2979.36</v>
          </cell>
          <cell r="E69">
            <v>2312</v>
          </cell>
          <cell r="F69">
            <v>2000</v>
          </cell>
          <cell r="G69">
            <v>2312</v>
          </cell>
        </row>
        <row r="70">
          <cell r="B70" t="str">
            <v>Motorista</v>
          </cell>
          <cell r="C70">
            <v>3.67</v>
          </cell>
          <cell r="D70">
            <v>2.08</v>
          </cell>
          <cell r="E70">
            <v>1.56</v>
          </cell>
          <cell r="F70">
            <v>1.5576363636363637</v>
          </cell>
          <cell r="G70">
            <v>1.9</v>
          </cell>
        </row>
        <row r="71">
          <cell r="B71" t="str">
            <v>Pedreiro</v>
          </cell>
          <cell r="C71">
            <v>3.2</v>
          </cell>
          <cell r="D71">
            <v>1.81</v>
          </cell>
          <cell r="E71">
            <v>1.56</v>
          </cell>
          <cell r="F71">
            <v>1.56</v>
          </cell>
          <cell r="G71">
            <v>1.9</v>
          </cell>
        </row>
        <row r="72">
          <cell r="B72" t="str">
            <v>Pintor de Placas</v>
          </cell>
          <cell r="C72">
            <v>1.9</v>
          </cell>
          <cell r="D72">
            <v>1.08</v>
          </cell>
          <cell r="E72">
            <v>1.81</v>
          </cell>
          <cell r="F72">
            <v>1.81</v>
          </cell>
          <cell r="G72">
            <v>1.9</v>
          </cell>
        </row>
        <row r="73">
          <cell r="B73" t="str">
            <v>Porteiro</v>
          </cell>
          <cell r="C73">
            <v>1.89</v>
          </cell>
          <cell r="D73">
            <v>1.07</v>
          </cell>
          <cell r="E73">
            <v>1.01</v>
          </cell>
          <cell r="F73">
            <v>1.01</v>
          </cell>
          <cell r="G73">
            <v>0.94</v>
          </cell>
        </row>
        <row r="74">
          <cell r="B74" t="str">
            <v>Recepcionista</v>
          </cell>
          <cell r="C74">
            <v>497</v>
          </cell>
          <cell r="D74">
            <v>281.89</v>
          </cell>
          <cell r="E74">
            <v>398</v>
          </cell>
          <cell r="F74">
            <v>398</v>
          </cell>
          <cell r="G74">
            <v>398</v>
          </cell>
        </row>
        <row r="75">
          <cell r="B75" t="str">
            <v>Secretária</v>
          </cell>
          <cell r="C75">
            <v>1077.73</v>
          </cell>
          <cell r="D75">
            <v>611.27</v>
          </cell>
          <cell r="E75">
            <v>961</v>
          </cell>
          <cell r="F75">
            <v>961</v>
          </cell>
          <cell r="G75">
            <v>961</v>
          </cell>
        </row>
        <row r="76">
          <cell r="B76" t="str">
            <v>Téc. Seg. do Trabalho</v>
          </cell>
          <cell r="C76">
            <v>1518.46</v>
          </cell>
          <cell r="D76">
            <v>861.24</v>
          </cell>
          <cell r="E76">
            <v>961</v>
          </cell>
          <cell r="F76">
            <v>961</v>
          </cell>
          <cell r="G76">
            <v>961</v>
          </cell>
        </row>
        <row r="77">
          <cell r="B77" t="str">
            <v>Técnico  meio ambiente</v>
          </cell>
          <cell r="C77">
            <v>2389.5</v>
          </cell>
          <cell r="D77">
            <v>1355.28</v>
          </cell>
          <cell r="E77">
            <v>1498</v>
          </cell>
          <cell r="F77">
            <v>1498</v>
          </cell>
          <cell r="G77">
            <v>1498</v>
          </cell>
        </row>
        <row r="78">
          <cell r="B78" t="str">
            <v>Técnico de Enfermagem</v>
          </cell>
          <cell r="C78">
            <v>4.66</v>
          </cell>
          <cell r="D78">
            <v>2.64</v>
          </cell>
          <cell r="E78">
            <v>4.3681818181818182</v>
          </cell>
          <cell r="F78">
            <v>1.5576363636363637</v>
          </cell>
          <cell r="G78">
            <v>4.37</v>
          </cell>
        </row>
        <row r="79">
          <cell r="B79" t="str">
            <v>Auxiliar Enfermagem</v>
          </cell>
          <cell r="F79">
            <v>1.0441363636363636</v>
          </cell>
          <cell r="G79">
            <v>1.68</v>
          </cell>
        </row>
        <row r="80">
          <cell r="B80" t="str">
            <v>Topógrafo II</v>
          </cell>
          <cell r="C80">
            <v>10.69</v>
          </cell>
          <cell r="D80">
            <v>6.06</v>
          </cell>
          <cell r="E80">
            <v>6.8090909090909095</v>
          </cell>
          <cell r="F80">
            <v>6.8090909090909095</v>
          </cell>
          <cell r="G80">
            <v>6.81</v>
          </cell>
        </row>
      </sheetData>
      <sheetData sheetId="17"/>
      <sheetData sheetId="18"/>
      <sheetData sheetId="19"/>
      <sheetData sheetId="20"/>
      <sheetData sheetId="21"/>
      <sheetData sheetId="22"/>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PROJETISTA"/>
      <sheetName val="CRONO FISI FINAN ETA S BRAZ"/>
      <sheetName val="Q.C.I."/>
      <sheetName val="RESUMO"/>
      <sheetName val="CANTEIRO OB(1.0)"/>
      <sheetName val="GALERIA TUB(2.0)"/>
      <sheetName val="CANAL A DECANT (3.0)"/>
      <sheetName val="TB A LAV ASCENCIONAL(4.0)"/>
      <sheetName val="E ELEV LAV SUPERF(05)"/>
      <sheetName val="BARR A LAV SUP(6)"/>
      <sheetName val="Plan1"/>
      <sheetName val="FILTROS(7)"/>
      <sheetName val="CASA QUIM(8)"/>
      <sheetName val="INST ELÉT(9)"/>
      <sheetName val="REFORMA PRÉDIO ETA"/>
      <sheetName val="DECANTADORES MELHO"/>
    </sheetNames>
    <sheetDataSet>
      <sheetData sheetId="0"/>
      <sheetData sheetId="1" refreshError="1"/>
      <sheetData sheetId="2" refreshError="1"/>
      <sheetData sheetId="3" refreshError="1"/>
      <sheetData sheetId="4"/>
      <sheetData sheetId="5"/>
      <sheetData sheetId="6"/>
      <sheetData sheetId="7"/>
      <sheetData sheetId="8"/>
      <sheetData sheetId="9"/>
      <sheetData sheetId="10" refreshError="1"/>
      <sheetData sheetId="11"/>
      <sheetData sheetId="12"/>
      <sheetData sheetId="13"/>
      <sheetData sheetId="14"/>
      <sheetData sheetId="15"/>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PROJETISTA"/>
      <sheetName val="CRONO FISI FINAN ETA S BRAZ"/>
      <sheetName val="Q.C.I."/>
      <sheetName val="RESUMO"/>
      <sheetName val="CANTEIRO OB(1.0)"/>
      <sheetName val="GALERIA TUB(2.0)"/>
      <sheetName val="CANAL A DECANT (3.0)"/>
      <sheetName val="TB A LAV ASCENCIONAL(4.0)"/>
      <sheetName val="E ELEV LAV SUPERF(05)"/>
      <sheetName val="BARR A LAV SUP(6)"/>
      <sheetName val="Plan1"/>
      <sheetName val="FILTROS(7)"/>
      <sheetName val="CASA QUIM(8)"/>
      <sheetName val="INST ELÉT(9)"/>
      <sheetName val="REFORMA PRÉDIO ETA"/>
      <sheetName val="DECANTADORES MELHO"/>
    </sheetNames>
    <sheetDataSet>
      <sheetData sheetId="0"/>
      <sheetData sheetId="1" refreshError="1"/>
      <sheetData sheetId="2" refreshError="1"/>
      <sheetData sheetId="3" refreshError="1"/>
      <sheetData sheetId="4"/>
      <sheetData sheetId="5"/>
      <sheetData sheetId="6"/>
      <sheetData sheetId="7"/>
      <sheetData sheetId="8"/>
      <sheetData sheetId="9"/>
      <sheetData sheetId="10" refreshError="1"/>
      <sheetData sheetId="11"/>
      <sheetData sheetId="12"/>
      <sheetData sheetId="13"/>
      <sheetData sheetId="14"/>
      <sheetData sheetId="15"/>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sheetName val="TABELA RECURSOS"/>
      <sheetName val="CPU BÁSICA"/>
      <sheetName val="CPU BÁSICA 2"/>
      <sheetName val="CPU BÁSICA 1"/>
      <sheetName val="AUX 30 CONCRETO 35 MPa"/>
      <sheetName val="AUX 29 CHAMINÉ PV H = 1,00"/>
      <sheetName val="AUX 28 LASTRO DE SEIXO"/>
      <sheetName val="AUX 27 ESCAVAÇÃO MANUAL"/>
      <sheetName val="AUX 26 CONFECÇÃO SUPORTE "/>
      <sheetName val="AUX 25 CONFECÇÃO PLACA"/>
      <sheetName val="AUX 24 GUIA DE MADEIRA"/>
      <sheetName val="AUX 23 CONF TUBO 60"/>
      <sheetName val="AUX 22 ARGAMASSA 14"/>
      <sheetName val="AUX 21 ARGAMASSA 13"/>
      <sheetName val="AUX 20 AÇO CA 25"/>
      <sheetName val="AUX 19 AÇO CA 50"/>
      <sheetName val="AUX 18 AÇO CA 60"/>
      <sheetName val="AUX 17 CONCRETO CICLÓPICO 12"/>
      <sheetName val="AUX 16 CONCRETO 18 MPa TUBOS"/>
      <sheetName val="AUX 15 CONCRETO 25 MPa"/>
      <sheetName val="AUX 14 CONCRETO 20 MPa"/>
      <sheetName val="AUX 13 CONCRETO 15 MPa"/>
      <sheetName val="AUX 12 CONC 12 MPa"/>
      <sheetName val="AUX 11 CONCRETO 10 MPa"/>
      <sheetName val="AUX 10 FORMA COMP PLASTIIFCA"/>
      <sheetName val="AUX 09 FORMA COMUM"/>
      <sheetName val="AUX 08 USINAGEM CBUQ"/>
      <sheetName val="AUX 07 ESCAV CARGA JAZIDA"/>
      <sheetName val="AUX 06 EXPURGO JAZIDA"/>
      <sheetName val="AUX 05 LIMPEZA JAZIDA"/>
      <sheetName val="AUX 04 ALVENARIA DE TIJOLO"/>
      <sheetName val="AUX 03 FORNEC AÇO CA 60"/>
      <sheetName val="AUX 02 FORNEC AÇO CA 50"/>
      <sheetName val="AUX 01 FORNEC AÇO CA 25"/>
      <sheetName val="8.13 ARBUSTOS"/>
      <sheetName val="8.12 FORN IMPL PLACA SINAL"/>
      <sheetName val="8.11 PINTURA DE FAIXA"/>
      <sheetName val="8.10 FORNEC CAP-20"/>
      <sheetName val="8.9 FORNEC RR-2C"/>
      <sheetName val="8.8 FORNEC CM-30"/>
      <sheetName val="8.7TRANSPORTE MATERIAL JAZIDA"/>
      <sheetName val="8.6 CBUQ CAPA ROLAMENTO"/>
      <sheetName val="8.5 PINTURA LIGAÇÃO"/>
      <sheetName val="8.4 IMPRIMAÇÃO"/>
      <sheetName val="8.3 BASE"/>
      <sheetName val="8.2 SUBASE"/>
      <sheetName val="8.1 REGULARIZAÇÃO"/>
      <sheetName val="7.2 Instal eletrica"/>
      <sheetName val="6.5.4 Poste tubo galv.com lumin"/>
      <sheetName val="6.5.3 GUARDA RODAS"/>
      <sheetName val="6.5.2 GUARDA CORPO"/>
      <sheetName val="6.5.1 LAJE TRANSIÇÃO"/>
      <sheetName val="6.4.2.1 CIMBRAMNETO"/>
      <sheetName val="6.2.3 CONCRETO fck = 25,0 MPa"/>
      <sheetName val="6.1.2 PONTE SERVIÇO"/>
      <sheetName val="6.1.1 ESTACA PRE MOLD 30x30"/>
      <sheetName val="5.14 MANTA GEOTEXTIL (2)"/>
      <sheetName val="5.13 CAMADA DE AREIA"/>
      <sheetName val="5.12 CAMADA DE SEIXO"/>
      <sheetName val="5.11 GUARDA CORPO METALICO"/>
      <sheetName val="5.10 PASSEIO DE TIJOLO CERÂMICO"/>
      <sheetName val="5.9 CAMADA ENCH PASSEIO"/>
      <sheetName val="5.8 BANCO ARGAMASSA ARMADA"/>
      <sheetName val="5.7 GRAMA EM PLACA"/>
      <sheetName val="5.6 TERRA VEGETAL"/>
      <sheetName val="5.5 ESCOR DESCONTIUO VALA"/>
      <sheetName val="5.4 BOCA DE LOBO "/>
      <sheetName val="5.3 CX PASSAGEM TUBO 60"/>
      <sheetName val="5.2 MEIO FIO C SARJETA"/>
      <sheetName val="5.1 TUBULAÇÃO D=0,60 M"/>
      <sheetName val="4.2.6 JUNTA DILAT FUNGENBAND"/>
      <sheetName val="4.2.5 CONCRETO fck = 20,0 MPa"/>
      <sheetName val="4.2.4 AÇO CA 50"/>
      <sheetName val="4.2.3 FORMA"/>
      <sheetName val="4.2.2 LASTRO CONC MAGRO 10 MPa"/>
      <sheetName val="4.2.1 ESCAV MANUAL"/>
      <sheetName val="4.1.7 REATERRO MANUAL DE VALA"/>
      <sheetName val="4.1.6 MANTA GEOTEXTIL"/>
      <sheetName val="4.1.5 ESCAV MEC VALA"/>
      <sheetName val="4.1.4 PLACA PRE MOLDADA (2)"/>
      <sheetName val="4.1.3 PLACA PRE MOLDADA"/>
      <sheetName val="4.1.2 ESTACA PRE MOLDADA 20x20"/>
      <sheetName val="4.1.1 ESTACA PRE MOLDADA 25x25"/>
      <sheetName val="3.8 ESGOTAMENTO COM BOMBA"/>
      <sheetName val="3.7.3 COMPACTAÇÃO 100%"/>
      <sheetName val="3.6 MOMENTO TRANSP MAT 1a "/>
      <sheetName val="3.5 ESCAV MAT 1A CATEGORIA"/>
      <sheetName val="3.4 MOMENTO TRANSPORTE MAT AGUA"/>
      <sheetName val="3.3 ESCAV MAT COM AGUA"/>
      <sheetName val="3.2 EXEC ENSECADEIRA"/>
      <sheetName val="3.1 DESMATAMENTO MANUAL"/>
      <sheetName val="2.5  TRANSPORTE MAT REMOÇÃO"/>
      <sheetName val="2.4 REMOÇÃO DE ENTULHO"/>
      <sheetName val="2.3 DEMOL REM CONC ARMADO"/>
      <sheetName val="2.2 DEM REM ESTRUTURA MADEIRA"/>
      <sheetName val="2.1 REMANEJ FAMÍLIA"/>
      <sheetName val="1.5 Projeto executivo"/>
      <sheetName val="1.4 PLACA SINALIZAÇÃO"/>
      <sheetName val="1.3 LOC TOPOGRÁFICA"/>
      <sheetName val="1.2 Instal canteiro obras"/>
      <sheetName val=" 1.1 Mobilização e desmob "/>
      <sheetName val="Plan1"/>
    </sheetNames>
    <sheetDataSet>
      <sheetData sheetId="0"/>
      <sheetData sheetId="1" refreshError="1">
        <row r="1">
          <cell r="G1" t="str">
            <v>BDI</v>
          </cell>
        </row>
        <row r="2">
          <cell r="C2" t="str">
            <v>Custo Unitário da Mão-de-obra</v>
          </cell>
          <cell r="G2">
            <v>0.23899999999999999</v>
          </cell>
        </row>
        <row r="3">
          <cell r="A3" t="str">
            <v>Item</v>
          </cell>
          <cell r="B3" t="str">
            <v>Código</v>
          </cell>
          <cell r="C3" t="str">
            <v>Denominação</v>
          </cell>
          <cell r="D3" t="str">
            <v>Valor mensal</v>
          </cell>
          <cell r="E3" t="str">
            <v>Encargos</v>
          </cell>
          <cell r="F3" t="str">
            <v>Custo Unitário</v>
          </cell>
          <cell r="G3" t="str">
            <v>Encargos sociais</v>
          </cell>
        </row>
        <row r="4">
          <cell r="A4">
            <v>1</v>
          </cell>
          <cell r="C4" t="str">
            <v>Salário Minimo</v>
          </cell>
          <cell r="D4">
            <v>300</v>
          </cell>
          <cell r="E4">
            <v>378.9</v>
          </cell>
          <cell r="F4">
            <v>3.0859000000000001</v>
          </cell>
          <cell r="G4">
            <v>1.2629999999999999</v>
          </cell>
        </row>
        <row r="5">
          <cell r="A5">
            <v>2</v>
          </cell>
          <cell r="B5" t="str">
            <v>T301</v>
          </cell>
          <cell r="C5" t="str">
            <v>MOTORISTA VEÍCULO LEVE</v>
          </cell>
          <cell r="D5">
            <v>870</v>
          </cell>
          <cell r="E5">
            <v>1098.81</v>
          </cell>
          <cell r="F5">
            <v>8.9490999999999996</v>
          </cell>
        </row>
        <row r="6">
          <cell r="A6">
            <v>3</v>
          </cell>
          <cell r="B6">
            <v>7302</v>
          </cell>
          <cell r="C6" t="str">
            <v>MOTORISTA DE CAMINHÃO</v>
          </cell>
          <cell r="D6">
            <v>960</v>
          </cell>
          <cell r="E6">
            <v>1212.48</v>
          </cell>
          <cell r="F6">
            <v>9.8749000000000002</v>
          </cell>
          <cell r="G6" t="str">
            <v>GRUPO 1</v>
          </cell>
        </row>
        <row r="7">
          <cell r="A7">
            <v>4</v>
          </cell>
          <cell r="B7" t="str">
            <v>T303</v>
          </cell>
          <cell r="C7" t="str">
            <v>MOTORISTA DE VEÍCULO ESPECIAL</v>
          </cell>
          <cell r="D7">
            <v>1020</v>
          </cell>
          <cell r="E7">
            <v>1288.26</v>
          </cell>
          <cell r="F7">
            <v>10.492100000000001</v>
          </cell>
          <cell r="G7" t="str">
            <v>GRUPO 2</v>
          </cell>
        </row>
        <row r="8">
          <cell r="A8">
            <v>5</v>
          </cell>
          <cell r="B8" t="str">
            <v>T311</v>
          </cell>
          <cell r="C8" t="str">
            <v>OPERADOR DE EQUIPAMENTO LEVE 1</v>
          </cell>
          <cell r="D8">
            <v>720</v>
          </cell>
          <cell r="E8">
            <v>909.36</v>
          </cell>
          <cell r="F8">
            <v>7.4062000000000001</v>
          </cell>
          <cell r="G8" t="str">
            <v>GRUPO 3</v>
          </cell>
        </row>
        <row r="9">
          <cell r="A9">
            <v>6</v>
          </cell>
          <cell r="B9" t="str">
            <v>T312</v>
          </cell>
          <cell r="C9" t="str">
            <v>OPERADOR DE EQUIPAMENTO LEVE 2</v>
          </cell>
          <cell r="D9">
            <v>810</v>
          </cell>
          <cell r="E9">
            <v>1023.03</v>
          </cell>
          <cell r="F9">
            <v>8.3320000000000007</v>
          </cell>
        </row>
        <row r="10">
          <cell r="A10">
            <v>7</v>
          </cell>
          <cell r="B10" t="str">
            <v>T313</v>
          </cell>
          <cell r="C10" t="str">
            <v>OPERADOR DE EQUIP. PESADO</v>
          </cell>
          <cell r="D10">
            <v>1050</v>
          </cell>
          <cell r="E10">
            <v>1326.15</v>
          </cell>
          <cell r="F10">
            <v>10.800700000000001</v>
          </cell>
        </row>
        <row r="11">
          <cell r="A11">
            <v>8</v>
          </cell>
          <cell r="B11" t="str">
            <v>T314</v>
          </cell>
          <cell r="C11" t="str">
            <v>OPERADOR DE EQUIP. ESPECIAL</v>
          </cell>
          <cell r="D11">
            <v>1110</v>
          </cell>
          <cell r="E11">
            <v>1401.93</v>
          </cell>
          <cell r="F11">
            <v>11.417899999999999</v>
          </cell>
        </row>
        <row r="12">
          <cell r="A12">
            <v>9</v>
          </cell>
          <cell r="B12" t="str">
            <v>T401</v>
          </cell>
          <cell r="C12" t="str">
            <v>PRÉ-MARCADOR</v>
          </cell>
          <cell r="D12">
            <v>1110</v>
          </cell>
          <cell r="E12">
            <v>1401.93</v>
          </cell>
          <cell r="F12">
            <v>11.417899999999999</v>
          </cell>
        </row>
        <row r="13">
          <cell r="A13">
            <v>10</v>
          </cell>
          <cell r="C13" t="str">
            <v>ASSISTENTE SOCIAL</v>
          </cell>
          <cell r="D13">
            <v>2100</v>
          </cell>
          <cell r="E13">
            <v>2652.3</v>
          </cell>
          <cell r="F13">
            <v>21.601400000000002</v>
          </cell>
        </row>
        <row r="14">
          <cell r="A14">
            <v>11</v>
          </cell>
          <cell r="B14" t="str">
            <v>T501</v>
          </cell>
          <cell r="C14" t="str">
            <v xml:space="preserve">ENCARREGADO DE TURMA </v>
          </cell>
          <cell r="D14">
            <v>1110</v>
          </cell>
          <cell r="E14">
            <v>1401.93</v>
          </cell>
          <cell r="F14">
            <v>11.417899999999999</v>
          </cell>
        </row>
        <row r="15">
          <cell r="A15">
            <v>12</v>
          </cell>
          <cell r="B15" t="str">
            <v>T511</v>
          </cell>
          <cell r="C15" t="str">
            <v>ENCARREGADO DE PAVIMENTAÇÃO</v>
          </cell>
          <cell r="D15">
            <v>2100</v>
          </cell>
          <cell r="E15">
            <v>2652.3</v>
          </cell>
          <cell r="F15">
            <v>21.601400000000002</v>
          </cell>
        </row>
        <row r="16">
          <cell r="A16">
            <v>13</v>
          </cell>
          <cell r="B16" t="str">
            <v>T512</v>
          </cell>
          <cell r="C16" t="str">
            <v>ENCARREGADO DE BRITAGEM</v>
          </cell>
          <cell r="D16">
            <v>2100</v>
          </cell>
          <cell r="E16">
            <v>2652.3</v>
          </cell>
          <cell r="F16">
            <v>21.601400000000002</v>
          </cell>
        </row>
        <row r="17">
          <cell r="A17">
            <v>14</v>
          </cell>
          <cell r="C17" t="str">
            <v>TOPOGRAFO</v>
          </cell>
          <cell r="D17">
            <v>1230</v>
          </cell>
          <cell r="E17">
            <v>1553.49</v>
          </cell>
          <cell r="F17">
            <v>12.652200000000001</v>
          </cell>
        </row>
        <row r="18">
          <cell r="A18">
            <v>15</v>
          </cell>
          <cell r="B18" t="str">
            <v>T602</v>
          </cell>
          <cell r="C18" t="str">
            <v>MONTADOR</v>
          </cell>
          <cell r="D18">
            <v>780</v>
          </cell>
          <cell r="E18">
            <v>985.14</v>
          </cell>
          <cell r="F18">
            <v>8.0234000000000005</v>
          </cell>
        </row>
        <row r="19">
          <cell r="A19">
            <v>16</v>
          </cell>
          <cell r="B19" t="str">
            <v>T603</v>
          </cell>
          <cell r="C19" t="str">
            <v>CARPINTEIRO</v>
          </cell>
          <cell r="D19">
            <v>780</v>
          </cell>
          <cell r="E19">
            <v>985.14</v>
          </cell>
          <cell r="F19">
            <v>8.0234000000000005</v>
          </cell>
        </row>
        <row r="20">
          <cell r="A20">
            <v>17</v>
          </cell>
          <cell r="B20" t="str">
            <v>T604</v>
          </cell>
          <cell r="C20" t="str">
            <v>PEDREIRO</v>
          </cell>
          <cell r="D20">
            <v>780</v>
          </cell>
          <cell r="E20">
            <v>985.14</v>
          </cell>
          <cell r="F20">
            <v>8.0234000000000005</v>
          </cell>
        </row>
        <row r="21">
          <cell r="A21">
            <v>18</v>
          </cell>
          <cell r="B21" t="str">
            <v>T605</v>
          </cell>
          <cell r="C21" t="str">
            <v>ARMADOR</v>
          </cell>
          <cell r="D21">
            <v>780</v>
          </cell>
          <cell r="E21">
            <v>985.14</v>
          </cell>
          <cell r="F21">
            <v>8.0234000000000005</v>
          </cell>
        </row>
        <row r="22">
          <cell r="A22">
            <v>19</v>
          </cell>
          <cell r="B22" t="str">
            <v>T606</v>
          </cell>
          <cell r="C22" t="str">
            <v>FERREIRO</v>
          </cell>
          <cell r="D22">
            <v>780</v>
          </cell>
          <cell r="E22">
            <v>985.14</v>
          </cell>
          <cell r="F22">
            <v>8.0234000000000005</v>
          </cell>
        </row>
        <row r="23">
          <cell r="A23">
            <v>20</v>
          </cell>
          <cell r="B23" t="str">
            <v>T607</v>
          </cell>
          <cell r="C23" t="str">
            <v>PINTOR</v>
          </cell>
          <cell r="D23">
            <v>780</v>
          </cell>
          <cell r="E23">
            <v>985.14</v>
          </cell>
          <cell r="F23">
            <v>8.0234000000000005</v>
          </cell>
        </row>
        <row r="24">
          <cell r="A24">
            <v>21</v>
          </cell>
          <cell r="B24" t="str">
            <v>T608</v>
          </cell>
          <cell r="C24" t="str">
            <v>SOLDADOR</v>
          </cell>
          <cell r="D24">
            <v>780</v>
          </cell>
          <cell r="E24">
            <v>985.14</v>
          </cell>
          <cell r="F24">
            <v>8.0234000000000005</v>
          </cell>
        </row>
        <row r="25">
          <cell r="A25">
            <v>22</v>
          </cell>
          <cell r="B25" t="str">
            <v>T610</v>
          </cell>
          <cell r="C25" t="str">
            <v>SERRALHEIRO</v>
          </cell>
          <cell r="D25">
            <v>780</v>
          </cell>
          <cell r="E25">
            <v>985.14</v>
          </cell>
          <cell r="F25">
            <v>8.0234000000000005</v>
          </cell>
        </row>
        <row r="26">
          <cell r="A26">
            <v>23</v>
          </cell>
          <cell r="B26" t="str">
            <v>T701</v>
          </cell>
          <cell r="C26" t="str">
            <v>SERVENTE</v>
          </cell>
          <cell r="D26">
            <v>570</v>
          </cell>
          <cell r="E26">
            <v>719.91</v>
          </cell>
          <cell r="F26">
            <v>5.8632</v>
          </cell>
        </row>
        <row r="27">
          <cell r="A27">
            <v>24</v>
          </cell>
          <cell r="B27" t="str">
            <v>T702</v>
          </cell>
          <cell r="C27" t="str">
            <v>AJUDANTE</v>
          </cell>
          <cell r="D27">
            <v>630</v>
          </cell>
          <cell r="E27">
            <v>795.69</v>
          </cell>
          <cell r="F27">
            <v>6.4804000000000004</v>
          </cell>
        </row>
        <row r="28">
          <cell r="A28">
            <v>25</v>
          </cell>
          <cell r="C28" t="str">
            <v>ELETRICISTA</v>
          </cell>
          <cell r="D28">
            <v>780</v>
          </cell>
          <cell r="E28">
            <v>985.14</v>
          </cell>
          <cell r="F28">
            <v>8.0234000000000005</v>
          </cell>
        </row>
        <row r="29">
          <cell r="A29">
            <v>26</v>
          </cell>
          <cell r="C29" t="str">
            <v>ADIC. M.O. - FERRAMENTAS</v>
          </cell>
          <cell r="F29">
            <v>0.15509999999999999</v>
          </cell>
        </row>
        <row r="30">
          <cell r="A30">
            <v>27</v>
          </cell>
          <cell r="C30" t="str">
            <v>ADIC. M.O. - FERRAMENTAS</v>
          </cell>
          <cell r="F30">
            <v>0.2051</v>
          </cell>
        </row>
        <row r="32">
          <cell r="C32" t="str">
            <v>Custo Horário de Equipamentos</v>
          </cell>
        </row>
        <row r="33">
          <cell r="A33" t="str">
            <v>Item</v>
          </cell>
          <cell r="B33" t="str">
            <v>Código</v>
          </cell>
          <cell r="C33" t="str">
            <v>Equipamento</v>
          </cell>
          <cell r="D33" t="str">
            <v>Aquisição</v>
          </cell>
          <cell r="E33" t="str">
            <v>Improdutivo</v>
          </cell>
          <cell r="F33" t="str">
            <v>Operativo</v>
          </cell>
        </row>
        <row r="34">
          <cell r="A34">
            <v>30</v>
          </cell>
          <cell r="B34" t="str">
            <v>E001</v>
          </cell>
          <cell r="C34" t="str">
            <v>TRATOR DE ESTEIRA NH 7D (67 kW)</v>
          </cell>
          <cell r="E34">
            <v>10.800700000000001</v>
          </cell>
          <cell r="F34">
            <v>105.14709999999999</v>
          </cell>
        </row>
        <row r="35">
          <cell r="A35">
            <v>31</v>
          </cell>
          <cell r="B35" t="str">
            <v>E002</v>
          </cell>
          <cell r="C35" t="str">
            <v>TRATOR DE ESTEIRA CAT D6M (106 KW)</v>
          </cell>
          <cell r="E35">
            <v>10.800700000000001</v>
          </cell>
          <cell r="F35">
            <v>183.96770000000001</v>
          </cell>
        </row>
        <row r="36">
          <cell r="A36">
            <v>32</v>
          </cell>
          <cell r="B36" t="str">
            <v>E003</v>
          </cell>
          <cell r="C36" t="str">
            <v>TRATOR DE ESTEIRA CAT D8R (228 kW)</v>
          </cell>
          <cell r="E36">
            <v>10.800700000000001</v>
          </cell>
          <cell r="F36">
            <v>355.20600000000002</v>
          </cell>
        </row>
        <row r="37">
          <cell r="A37">
            <v>33</v>
          </cell>
          <cell r="B37" t="str">
            <v>E006</v>
          </cell>
          <cell r="C37" t="str">
            <v>MOTONIVELADORA CAT 120H (100 kW)</v>
          </cell>
          <cell r="E37">
            <v>11.417899999999999</v>
          </cell>
          <cell r="F37">
            <v>124.56229999999999</v>
          </cell>
        </row>
        <row r="38">
          <cell r="A38">
            <v>34</v>
          </cell>
          <cell r="B38" t="str">
            <v>E007</v>
          </cell>
          <cell r="C38" t="str">
            <v>TRATOR AGRÍCOLA M F-292/4 (77 kW)</v>
          </cell>
          <cell r="E38">
            <v>8.3320000000000007</v>
          </cell>
          <cell r="F38">
            <v>66.749700000000004</v>
          </cell>
        </row>
        <row r="39">
          <cell r="A39">
            <v>35</v>
          </cell>
          <cell r="B39" t="str">
            <v>E009</v>
          </cell>
          <cell r="C39" t="str">
            <v>CARREGAD. PNEUS CAT  924G  1,80 M3 ( 89 kW)</v>
          </cell>
          <cell r="E39">
            <v>10.800700000000001</v>
          </cell>
          <cell r="F39">
            <v>102.96259999999999</v>
          </cell>
        </row>
        <row r="40">
          <cell r="A40">
            <v>36</v>
          </cell>
          <cell r="B40" t="str">
            <v>E010</v>
          </cell>
          <cell r="C40" t="str">
            <v>CARREGAD. PNEUS CAT 950G 2,90 M3 (135 kW)</v>
          </cell>
          <cell r="E40">
            <v>10.800700000000001</v>
          </cell>
          <cell r="F40">
            <v>167.08199999999999</v>
          </cell>
        </row>
        <row r="41">
          <cell r="A41">
            <v>37</v>
          </cell>
          <cell r="B41" t="str">
            <v>E011</v>
          </cell>
          <cell r="C41" t="str">
            <v>RETROESCAVADEIRA MF-86HF (57 kW)</v>
          </cell>
          <cell r="E41">
            <v>10.800700000000001</v>
          </cell>
          <cell r="F41">
            <v>55.758699999999997</v>
          </cell>
        </row>
        <row r="42">
          <cell r="A42">
            <v>38</v>
          </cell>
          <cell r="B42" t="str">
            <v>E013</v>
          </cell>
          <cell r="C42" t="str">
            <v>ROLO COMP PÉ CARNEIRO CA-25-PD  (85 kW)</v>
          </cell>
          <cell r="E42">
            <v>8.3320000000000007</v>
          </cell>
          <cell r="F42">
            <v>112.70350000000001</v>
          </cell>
        </row>
        <row r="43">
          <cell r="A43">
            <v>43</v>
          </cell>
          <cell r="B43" t="str">
            <v>E062</v>
          </cell>
          <cell r="C43" t="str">
            <v>ESCAVADEIRA HIDR. CAT 330CL (182 kW)</v>
          </cell>
          <cell r="E43">
            <v>11.417899999999999</v>
          </cell>
          <cell r="F43">
            <v>257.74020000000002</v>
          </cell>
        </row>
        <row r="44">
          <cell r="A44">
            <v>44</v>
          </cell>
          <cell r="B44" t="str">
            <v>E063</v>
          </cell>
          <cell r="C44" t="str">
            <v>ESCAVADEIRA HIDR. CAT 320CL (102 kW)</v>
          </cell>
          <cell r="E44">
            <v>11.417899999999999</v>
          </cell>
          <cell r="F44">
            <v>157.3682</v>
          </cell>
        </row>
        <row r="45">
          <cell r="A45">
            <v>47</v>
          </cell>
          <cell r="B45" t="str">
            <v>E101</v>
          </cell>
          <cell r="C45" t="str">
            <v>GRADE DE DISCOS GA 24 x 24</v>
          </cell>
          <cell r="E45">
            <v>0</v>
          </cell>
          <cell r="F45">
            <v>2.4575999999999998</v>
          </cell>
        </row>
        <row r="46">
          <cell r="A46">
            <v>48</v>
          </cell>
          <cell r="B46" t="str">
            <v>E102</v>
          </cell>
          <cell r="C46" t="str">
            <v>ROLO COMP TANDEM CC-422C (93 kW)</v>
          </cell>
          <cell r="E46">
            <v>8.3320000000000007</v>
          </cell>
          <cell r="F46">
            <v>132.7011</v>
          </cell>
        </row>
        <row r="47">
          <cell r="A47">
            <v>51</v>
          </cell>
          <cell r="B47" t="str">
            <v>E105</v>
          </cell>
          <cell r="C47" t="str">
            <v>ROLO COMP PNEUS SP 8000  (97 kW)</v>
          </cell>
          <cell r="E47">
            <v>8.3320000000000007</v>
          </cell>
          <cell r="F47">
            <v>111.97880000000001</v>
          </cell>
        </row>
        <row r="48">
          <cell r="A48">
            <v>55</v>
          </cell>
          <cell r="B48" t="str">
            <v>E107</v>
          </cell>
          <cell r="C48" t="str">
            <v>VASSOURA MECÂNICA REBOCÁVEL</v>
          </cell>
          <cell r="E48">
            <v>0</v>
          </cell>
          <cell r="F48">
            <v>4.0309999999999997</v>
          </cell>
        </row>
        <row r="49">
          <cell r="A49">
            <v>56</v>
          </cell>
          <cell r="B49" t="str">
            <v>E110</v>
          </cell>
          <cell r="C49" t="str">
            <v>TANQUE ESTOCAGEM DE ASFALTO 20.000 L</v>
          </cell>
          <cell r="E49">
            <v>0</v>
          </cell>
          <cell r="F49">
            <v>4.1859999999999999</v>
          </cell>
        </row>
        <row r="50">
          <cell r="A50">
            <v>57</v>
          </cell>
          <cell r="B50" t="str">
            <v>E111</v>
          </cell>
          <cell r="C50" t="str">
            <v>EQUIP. DISTR. ASFALTO S/ CAMINHÃO (150 kW)</v>
          </cell>
          <cell r="E50">
            <v>9.8749000000000002</v>
          </cell>
          <cell r="F50">
            <v>98.639300000000006</v>
          </cell>
        </row>
        <row r="51">
          <cell r="A51">
            <v>58</v>
          </cell>
          <cell r="B51" t="str">
            <v>E112</v>
          </cell>
          <cell r="C51" t="str">
            <v>AQUECEDOR DE FLUÍDO TÉRMICO</v>
          </cell>
          <cell r="E51">
            <v>0</v>
          </cell>
          <cell r="F51">
            <v>21.924800000000001</v>
          </cell>
        </row>
        <row r="52">
          <cell r="A52">
            <v>74</v>
          </cell>
          <cell r="B52" t="str">
            <v>E139</v>
          </cell>
          <cell r="C52" t="str">
            <v>ROLO COMP VIBRO LISO CA-25D  (86 kW)</v>
          </cell>
          <cell r="E52">
            <v>8.3320000000000007</v>
          </cell>
          <cell r="F52">
            <v>111.0277</v>
          </cell>
        </row>
        <row r="53">
          <cell r="A53">
            <v>75</v>
          </cell>
          <cell r="B53" t="str">
            <v>E147</v>
          </cell>
          <cell r="C53" t="str">
            <v>USINA ASFÁLTO A QUENTE 90/120 T/H (188 kW)</v>
          </cell>
          <cell r="E53">
            <v>11.417899999999999</v>
          </cell>
          <cell r="F53">
            <v>200.3177</v>
          </cell>
        </row>
        <row r="54">
          <cell r="A54">
            <v>76</v>
          </cell>
          <cell r="B54" t="str">
            <v>E149</v>
          </cell>
          <cell r="C54" t="str">
            <v>VIBRO-ACAB. ASFÁLTO VDA-600BM (74 kW)</v>
          </cell>
          <cell r="E54">
            <v>11.417899999999999</v>
          </cell>
          <cell r="F54">
            <v>134.78290000000001</v>
          </cell>
        </row>
        <row r="55">
          <cell r="A55">
            <v>85</v>
          </cell>
          <cell r="B55" t="str">
            <v>E202</v>
          </cell>
          <cell r="C55" t="str">
            <v>COMPRESSOR DE AR 400 PCM (89 kW)</v>
          </cell>
          <cell r="E55">
            <v>8.3320000000000007</v>
          </cell>
          <cell r="F55">
            <v>63.345700000000001</v>
          </cell>
        </row>
        <row r="56">
          <cell r="A56">
            <v>86</v>
          </cell>
          <cell r="B56" t="str">
            <v>E208</v>
          </cell>
          <cell r="C56" t="str">
            <v>COMPRESSOR DE AR 200 PCM (58 kW)</v>
          </cell>
          <cell r="E56">
            <v>8.3320000000000007</v>
          </cell>
          <cell r="F56">
            <v>47.635599999999997</v>
          </cell>
        </row>
        <row r="57">
          <cell r="A57">
            <v>92</v>
          </cell>
          <cell r="B57" t="str">
            <v>E211</v>
          </cell>
          <cell r="C57" t="str">
            <v>MAQUINA P/ PINTURA (2 kW)</v>
          </cell>
          <cell r="E57">
            <v>0</v>
          </cell>
          <cell r="F57">
            <v>0.9577</v>
          </cell>
        </row>
        <row r="58">
          <cell r="A58">
            <v>93</v>
          </cell>
          <cell r="B58" t="str">
            <v>E210</v>
          </cell>
          <cell r="C58" t="str">
            <v>MARTELETE - ROMPEDOR 33 kg</v>
          </cell>
          <cell r="E58">
            <v>7.4062000000000001</v>
          </cell>
          <cell r="F58">
            <v>9.7596000000000007</v>
          </cell>
        </row>
        <row r="59">
          <cell r="A59">
            <v>94</v>
          </cell>
          <cell r="B59" t="str">
            <v>E302</v>
          </cell>
          <cell r="C59" t="str">
            <v>BETONEIRA - 320 L (4 kW)</v>
          </cell>
          <cell r="E59">
            <v>8.3320000000000007</v>
          </cell>
          <cell r="F59">
            <v>9.9809000000000001</v>
          </cell>
        </row>
        <row r="60">
          <cell r="A60">
            <v>98</v>
          </cell>
          <cell r="B60" t="str">
            <v>E303</v>
          </cell>
          <cell r="C60" t="str">
            <v>BETONEIRA - 750 L (9 kW)</v>
          </cell>
          <cell r="E60">
            <v>8.3320000000000007</v>
          </cell>
          <cell r="F60">
            <v>12.4125</v>
          </cell>
        </row>
        <row r="61">
          <cell r="A61">
            <v>99</v>
          </cell>
          <cell r="B61" t="str">
            <v>E304</v>
          </cell>
          <cell r="C61" t="str">
            <v>TRANSP. MANUAL - CARRINHO DE MÃO 80 L</v>
          </cell>
          <cell r="E61">
            <v>0</v>
          </cell>
          <cell r="F61">
            <v>0.13339999999999999</v>
          </cell>
        </row>
        <row r="62">
          <cell r="A62">
            <v>101</v>
          </cell>
          <cell r="B62" t="str">
            <v>E305</v>
          </cell>
          <cell r="C62" t="str">
            <v>TRANSP. MANUAL - GERICA 180 L</v>
          </cell>
          <cell r="E62">
            <v>0</v>
          </cell>
          <cell r="F62">
            <v>0.23350000000000001</v>
          </cell>
        </row>
        <row r="63">
          <cell r="A63">
            <v>103</v>
          </cell>
          <cell r="B63" t="str">
            <v>E306</v>
          </cell>
          <cell r="C63" t="str">
            <v>VIBRADOR DE CONC. - DE IMERSÃO (2 kW)</v>
          </cell>
          <cell r="E63">
            <v>7.4062000000000001</v>
          </cell>
          <cell r="F63">
            <v>8.8386999999999993</v>
          </cell>
        </row>
        <row r="64">
          <cell r="A64">
            <v>104</v>
          </cell>
          <cell r="B64" t="str">
            <v>E310</v>
          </cell>
          <cell r="C64" t="str">
            <v>FAB.PRÉ-MOLD CONC TUBOS D=0,60 M (2 kW)</v>
          </cell>
          <cell r="E64">
            <v>0</v>
          </cell>
          <cell r="F64">
            <v>7.3996000000000004</v>
          </cell>
        </row>
        <row r="65">
          <cell r="A65">
            <v>105</v>
          </cell>
          <cell r="B65" t="str">
            <v>E311</v>
          </cell>
          <cell r="C65" t="str">
            <v>FAB PRÉ-MOLD CONC TUBOS D=0,80 M (2 kW)</v>
          </cell>
          <cell r="E65">
            <v>0</v>
          </cell>
          <cell r="F65">
            <v>7.1071999999999997</v>
          </cell>
        </row>
        <row r="66">
          <cell r="A66">
            <v>106</v>
          </cell>
          <cell r="B66" t="str">
            <v>E312</v>
          </cell>
          <cell r="C66" t="str">
            <v>FAB PRÉ-MOLD CONC TUBOS D=1,00 M (2 kW)</v>
          </cell>
          <cell r="E66">
            <v>0</v>
          </cell>
          <cell r="F66">
            <v>7.4747000000000003</v>
          </cell>
        </row>
        <row r="67">
          <cell r="A67">
            <v>107</v>
          </cell>
          <cell r="B67" t="str">
            <v>E313</v>
          </cell>
          <cell r="C67" t="str">
            <v>FAB PRÉ-MOLD CONC TUBOS D=1,20 M (2 kW)</v>
          </cell>
          <cell r="E67">
            <v>0</v>
          </cell>
          <cell r="F67">
            <v>7.8887</v>
          </cell>
        </row>
        <row r="68">
          <cell r="A68">
            <v>108</v>
          </cell>
          <cell r="B68" t="str">
            <v>E314</v>
          </cell>
          <cell r="C68" t="str">
            <v>FAB PRÉ-MOLD CONC TUBOS D=1,50 M (2 kW)</v>
          </cell>
          <cell r="E68">
            <v>0</v>
          </cell>
          <cell r="F68">
            <v>7.8056999999999999</v>
          </cell>
        </row>
        <row r="69">
          <cell r="A69">
            <v>129</v>
          </cell>
          <cell r="B69" t="str">
            <v>E400</v>
          </cell>
          <cell r="C69" t="str">
            <v>CAMINHÃO BASCULANTE - 5 m3 - 8,8 t (155 kW)</v>
          </cell>
          <cell r="E69">
            <v>9.8749000000000002</v>
          </cell>
          <cell r="F69">
            <v>86.413799999999995</v>
          </cell>
        </row>
        <row r="70">
          <cell r="A70">
            <v>130</v>
          </cell>
          <cell r="B70" t="str">
            <v>E402</v>
          </cell>
          <cell r="C70" t="str">
            <v>CAMINHÃO CARROCERIA - 15t (170 kW)</v>
          </cell>
          <cell r="E70">
            <v>9.8749000000000002</v>
          </cell>
          <cell r="F70">
            <v>108.3706</v>
          </cell>
        </row>
        <row r="71">
          <cell r="A71">
            <v>131</v>
          </cell>
          <cell r="B71" t="str">
            <v>E403</v>
          </cell>
          <cell r="C71" t="str">
            <v>CAMINHÃO BASCULANTE 6 m3  (150 kW)</v>
          </cell>
          <cell r="E71">
            <v>9.8749000000000002</v>
          </cell>
          <cell r="F71">
            <v>97.9148</v>
          </cell>
        </row>
        <row r="72">
          <cell r="A72">
            <v>135</v>
          </cell>
          <cell r="B72" t="str">
            <v>E407</v>
          </cell>
          <cell r="C72" t="str">
            <v>CAMINHÃO TANQUE 10.000 L (170 kW)</v>
          </cell>
          <cell r="E72">
            <v>9.8749000000000002</v>
          </cell>
          <cell r="F72">
            <v>109.7187</v>
          </cell>
        </row>
        <row r="73">
          <cell r="A73">
            <v>136</v>
          </cell>
          <cell r="B73" t="str">
            <v>E408</v>
          </cell>
          <cell r="C73" t="str">
            <v>CAMINHÃO CARROCERIA - 4t (80 kW)</v>
          </cell>
          <cell r="E73">
            <v>9.8749000000000002</v>
          </cell>
          <cell r="F73">
            <v>54.107700000000001</v>
          </cell>
        </row>
        <row r="74">
          <cell r="A74">
            <v>137</v>
          </cell>
          <cell r="B74" t="str">
            <v>E416</v>
          </cell>
          <cell r="C74" t="str">
            <v>VEÍCULO LEVE - PICK UP (4 X 4) (98 kW)</v>
          </cell>
          <cell r="E74">
            <v>8.9490999999999996</v>
          </cell>
          <cell r="F74">
            <v>45.479300000000002</v>
          </cell>
        </row>
        <row r="75">
          <cell r="A75">
            <v>145</v>
          </cell>
          <cell r="B75" t="str">
            <v>E404</v>
          </cell>
          <cell r="C75" t="str">
            <v>CAMINHÃO BASCULANTE 10 m3 - 15 t (170 kW)</v>
          </cell>
          <cell r="E75">
            <v>9.8749000000000002</v>
          </cell>
          <cell r="F75">
            <v>111.63209999999999</v>
          </cell>
        </row>
        <row r="76">
          <cell r="A76">
            <v>146</v>
          </cell>
          <cell r="B76" t="str">
            <v>E432</v>
          </cell>
          <cell r="C76" t="str">
            <v>CAMINHÃO BASCULANTE 20 t (279 kW)</v>
          </cell>
          <cell r="E76">
            <v>9.8749000000000002</v>
          </cell>
          <cell r="F76">
            <v>166.3605</v>
          </cell>
        </row>
        <row r="77">
          <cell r="A77">
            <v>147</v>
          </cell>
          <cell r="B77" t="str">
            <v>E434</v>
          </cell>
          <cell r="C77" t="str">
            <v>CAMINHÃO CARROC C/ GUINDAUTO (150 kW)</v>
          </cell>
          <cell r="E77">
            <v>9.8749000000000002</v>
          </cell>
          <cell r="F77">
            <v>94.581900000000005</v>
          </cell>
        </row>
        <row r="78">
          <cell r="A78">
            <v>148</v>
          </cell>
        </row>
        <row r="79">
          <cell r="A79">
            <v>150</v>
          </cell>
          <cell r="B79" t="str">
            <v>E501</v>
          </cell>
          <cell r="C79" t="str">
            <v>GRUPO GERADOR 36 / 40 KVA (32 kW)</v>
          </cell>
          <cell r="E79">
            <v>8.3320000000000007</v>
          </cell>
          <cell r="F79">
            <v>33.636000000000003</v>
          </cell>
        </row>
        <row r="80">
          <cell r="A80">
            <v>151</v>
          </cell>
          <cell r="B80" t="str">
            <v>E503</v>
          </cell>
          <cell r="C80" t="str">
            <v>GRUPO GERADOR 164 / 180 KVA (144 kW)</v>
          </cell>
          <cell r="E80">
            <v>8.3320000000000007</v>
          </cell>
          <cell r="F80">
            <v>96.774699999999996</v>
          </cell>
        </row>
        <row r="81">
          <cell r="A81">
            <v>156</v>
          </cell>
          <cell r="B81" t="str">
            <v>E509</v>
          </cell>
          <cell r="C81" t="str">
            <v>GRUPO GERADOR 25,0 / 18,0 KVA (20 kW)</v>
          </cell>
          <cell r="E81">
            <v>8.3320000000000007</v>
          </cell>
          <cell r="F81">
            <v>21.651499999999999</v>
          </cell>
        </row>
        <row r="82">
          <cell r="A82">
            <v>162</v>
          </cell>
          <cell r="B82" t="str">
            <v>E903</v>
          </cell>
          <cell r="C82" t="str">
            <v>BATE-ESTACAS GRAV. 3.500/4.000 KG (160 kW)</v>
          </cell>
          <cell r="E82">
            <v>8.3320000000000007</v>
          </cell>
          <cell r="F82">
            <v>99.670699999999997</v>
          </cell>
        </row>
        <row r="83">
          <cell r="A83">
            <v>163</v>
          </cell>
          <cell r="B83" t="str">
            <v>E904</v>
          </cell>
          <cell r="C83" t="str">
            <v>SERRA CIRCULAR 12" (4 kW)</v>
          </cell>
          <cell r="E83">
            <v>0</v>
          </cell>
          <cell r="F83">
            <v>0.1948</v>
          </cell>
        </row>
        <row r="84">
          <cell r="A84">
            <v>165</v>
          </cell>
          <cell r="B84" t="str">
            <v>E906</v>
          </cell>
          <cell r="C84" t="str">
            <v>SOQUETE VIBRATÓRIO (2 kW)</v>
          </cell>
          <cell r="E84">
            <v>7.4062000000000001</v>
          </cell>
          <cell r="F84">
            <v>13.911199999999999</v>
          </cell>
        </row>
        <row r="85">
          <cell r="A85">
            <v>166</v>
          </cell>
          <cell r="B85" t="str">
            <v>E907</v>
          </cell>
          <cell r="C85" t="str">
            <v>CONJUNTO MOTO-BOMBA (11 kW)</v>
          </cell>
          <cell r="E85">
            <v>0</v>
          </cell>
          <cell r="F85">
            <v>13.8764</v>
          </cell>
        </row>
        <row r="86">
          <cell r="A86">
            <v>167</v>
          </cell>
          <cell r="B86" t="str">
            <v>E908</v>
          </cell>
          <cell r="C86" t="str">
            <v>MÁQUINA PINTURA - DERMAC FAIXAS (44 kW)</v>
          </cell>
          <cell r="E86">
            <v>11.417899999999999</v>
          </cell>
          <cell r="F86">
            <v>65.1999</v>
          </cell>
        </row>
        <row r="87">
          <cell r="A87">
            <v>169</v>
          </cell>
          <cell r="B87" t="str">
            <v>E910</v>
          </cell>
        </row>
        <row r="88">
          <cell r="A88">
            <v>170</v>
          </cell>
          <cell r="B88" t="str">
            <v>E917</v>
          </cell>
          <cell r="C88" t="str">
            <v>MÁQUINA UNIVERSAL CORTE (4 kW)</v>
          </cell>
          <cell r="E88">
            <v>7.4062000000000001</v>
          </cell>
          <cell r="F88">
            <v>11.594900000000001</v>
          </cell>
        </row>
        <row r="89">
          <cell r="A89">
            <v>171</v>
          </cell>
          <cell r="B89" t="str">
            <v>E918</v>
          </cell>
          <cell r="C89" t="str">
            <v>PRENSA EXCÊNTRICA (1 kW)</v>
          </cell>
          <cell r="E89">
            <v>0</v>
          </cell>
          <cell r="F89">
            <v>2.4619</v>
          </cell>
        </row>
        <row r="90">
          <cell r="A90">
            <v>172</v>
          </cell>
          <cell r="B90" t="str">
            <v>E919</v>
          </cell>
          <cell r="C90" t="str">
            <v>GUILHOTINA 8 t (3 kW)</v>
          </cell>
          <cell r="E90">
            <v>0</v>
          </cell>
          <cell r="F90">
            <v>4.2878999999999996</v>
          </cell>
        </row>
        <row r="91">
          <cell r="A91">
            <v>173</v>
          </cell>
          <cell r="B91" t="str">
            <v>E924</v>
          </cell>
          <cell r="C91" t="str">
            <v xml:space="preserve">EQUIP. PARA SOLDA </v>
          </cell>
          <cell r="E91">
            <v>0</v>
          </cell>
          <cell r="F91">
            <v>4.9500000000000002E-2</v>
          </cell>
        </row>
        <row r="93">
          <cell r="C93" t="str">
            <v>Custo Unitário de Materiais</v>
          </cell>
        </row>
        <row r="94">
          <cell r="A94" t="str">
            <v>Item</v>
          </cell>
          <cell r="B94" t="str">
            <v>Código</v>
          </cell>
          <cell r="C94" t="str">
            <v>Material</v>
          </cell>
          <cell r="D94" t="str">
            <v>Und</v>
          </cell>
          <cell r="E94" t="str">
            <v>Preço Unitário</v>
          </cell>
        </row>
        <row r="95">
          <cell r="A95">
            <v>212</v>
          </cell>
          <cell r="B95" t="str">
            <v>AM01</v>
          </cell>
          <cell r="C95" t="str">
            <v>AÇO CA 25 D = 4,2 mm</v>
          </cell>
          <cell r="D95" t="str">
            <v>KG</v>
          </cell>
          <cell r="E95">
            <v>4.4275000000000002</v>
          </cell>
        </row>
        <row r="96">
          <cell r="A96">
            <v>213</v>
          </cell>
          <cell r="B96" t="str">
            <v>AM02</v>
          </cell>
          <cell r="C96" t="str">
            <v>AÇO CA 25 D = 6,3 mm</v>
          </cell>
          <cell r="D96" t="str">
            <v>KG</v>
          </cell>
          <cell r="E96">
            <v>3.9904999999999999</v>
          </cell>
        </row>
        <row r="97">
          <cell r="A97">
            <v>215</v>
          </cell>
          <cell r="B97" t="str">
            <v>AM03</v>
          </cell>
          <cell r="C97" t="str">
            <v>AÇO CA 25 D = 10,0 mm</v>
          </cell>
          <cell r="D97" t="str">
            <v>KG</v>
          </cell>
          <cell r="E97">
            <v>3.3119999999999998</v>
          </cell>
        </row>
        <row r="98">
          <cell r="A98">
            <v>216</v>
          </cell>
          <cell r="B98" t="str">
            <v>AM04</v>
          </cell>
          <cell r="C98" t="str">
            <v>AÇO CA 50 D = 6,3 mm</v>
          </cell>
          <cell r="D98" t="str">
            <v>KG</v>
          </cell>
          <cell r="E98">
            <v>4.1859999999999999</v>
          </cell>
        </row>
        <row r="99">
          <cell r="A99">
            <v>217</v>
          </cell>
          <cell r="B99" t="str">
            <v>AM05</v>
          </cell>
          <cell r="C99" t="str">
            <v>AÇO CA 50 D = 10,0 mm</v>
          </cell>
          <cell r="D99" t="str">
            <v>KG</v>
          </cell>
          <cell r="E99">
            <v>3.4729999999999999</v>
          </cell>
        </row>
        <row r="100">
          <cell r="A100">
            <v>218</v>
          </cell>
          <cell r="B100" t="str">
            <v>AM06</v>
          </cell>
          <cell r="C100" t="str">
            <v>AÇO CA 60 D = 4,2 mm</v>
          </cell>
          <cell r="D100" t="str">
            <v>KG</v>
          </cell>
          <cell r="E100">
            <v>3.9904999999999999</v>
          </cell>
        </row>
        <row r="101">
          <cell r="A101">
            <v>219</v>
          </cell>
          <cell r="B101" t="str">
            <v>AM07</v>
          </cell>
          <cell r="C101" t="str">
            <v>AÇO CA 60 D = 5,0 mm</v>
          </cell>
          <cell r="D101" t="str">
            <v>KG</v>
          </cell>
          <cell r="E101">
            <v>3.8755000000000002</v>
          </cell>
        </row>
        <row r="102">
          <cell r="A102">
            <v>220</v>
          </cell>
          <cell r="B102" t="str">
            <v>AM08</v>
          </cell>
          <cell r="C102" t="str">
            <v>AÇO CA 60 D = 6,0 mm</v>
          </cell>
          <cell r="D102" t="str">
            <v>KG</v>
          </cell>
          <cell r="E102">
            <v>3.8755000000000002</v>
          </cell>
        </row>
        <row r="103">
          <cell r="A103">
            <v>235</v>
          </cell>
          <cell r="C103" t="str">
            <v>Casa padrão PMM</v>
          </cell>
          <cell r="D103" t="str">
            <v>gl</v>
          </cell>
          <cell r="E103">
            <v>8395</v>
          </cell>
        </row>
        <row r="104">
          <cell r="A104">
            <v>236</v>
          </cell>
          <cell r="B104" t="str">
            <v>AM35</v>
          </cell>
          <cell r="C104" t="str">
            <v>SEIXO COMERCIAL</v>
          </cell>
          <cell r="D104" t="str">
            <v>M3</v>
          </cell>
          <cell r="E104">
            <v>97.75</v>
          </cell>
        </row>
        <row r="105">
          <cell r="A105">
            <v>237</v>
          </cell>
          <cell r="B105" t="str">
            <v>M003</v>
          </cell>
          <cell r="C105" t="str">
            <v>ÓLEO COMBUSTÍVEL 1A</v>
          </cell>
          <cell r="D105" t="str">
            <v>L</v>
          </cell>
          <cell r="E105">
            <v>1.3524</v>
          </cell>
        </row>
        <row r="106">
          <cell r="A106">
            <v>238</v>
          </cell>
          <cell r="B106" t="str">
            <v>M101</v>
          </cell>
          <cell r="C106" t="str">
            <v>CIMENTO ASFÁLTICO CAP 20</v>
          </cell>
          <cell r="D106" t="str">
            <v>T</v>
          </cell>
          <cell r="E106">
            <v>2025.7135000000001</v>
          </cell>
        </row>
        <row r="107">
          <cell r="A107">
            <v>239</v>
          </cell>
          <cell r="B107" t="str">
            <v>M103</v>
          </cell>
          <cell r="C107" t="str">
            <v>ASFÁLTO DILUÍDO CM-30</v>
          </cell>
          <cell r="D107" t="str">
            <v>T</v>
          </cell>
          <cell r="E107">
            <v>2715.3915000000002</v>
          </cell>
        </row>
        <row r="108">
          <cell r="A108">
            <v>240</v>
          </cell>
          <cell r="B108" t="str">
            <v>M108</v>
          </cell>
          <cell r="C108" t="str">
            <v>EMULSÃO ASFÁLTICA RR-2C</v>
          </cell>
          <cell r="D108" t="str">
            <v>T</v>
          </cell>
          <cell r="E108">
            <v>1970.2260000000001</v>
          </cell>
        </row>
        <row r="109">
          <cell r="A109">
            <v>241</v>
          </cell>
          <cell r="B109" t="str">
            <v>M202</v>
          </cell>
          <cell r="C109" t="str">
            <v>CIMENTO PORTLAND CP-32</v>
          </cell>
          <cell r="D109" t="str">
            <v>KG</v>
          </cell>
          <cell r="E109">
            <v>0.46</v>
          </cell>
        </row>
        <row r="110">
          <cell r="A110">
            <v>242</v>
          </cell>
          <cell r="B110" t="str">
            <v>M319</v>
          </cell>
          <cell r="C110" t="str">
            <v>ARAME RECOZIDO no. 18</v>
          </cell>
          <cell r="D110" t="str">
            <v>KG</v>
          </cell>
          <cell r="E110">
            <v>5.7039999999999997</v>
          </cell>
        </row>
        <row r="111">
          <cell r="A111">
            <v>243</v>
          </cell>
          <cell r="B111" t="str">
            <v>M320</v>
          </cell>
          <cell r="C111" t="str">
            <v>PREGOS DE FERRO 18x30</v>
          </cell>
          <cell r="D111" t="str">
            <v>KG</v>
          </cell>
          <cell r="E111">
            <v>4.83</v>
          </cell>
        </row>
        <row r="112">
          <cell r="A112">
            <v>255</v>
          </cell>
          <cell r="C112" t="str">
            <v>REDE ELÉTRICA - TUBULAÇOES E CABOS</v>
          </cell>
          <cell r="D112" t="str">
            <v>M</v>
          </cell>
          <cell r="E112">
            <v>97.75</v>
          </cell>
        </row>
        <row r="113">
          <cell r="A113">
            <v>256</v>
          </cell>
          <cell r="C113" t="str">
            <v>POSTE TUBO AÇO GALVANIZADO.H =10,0 m C/ LUMINÁRIA</v>
          </cell>
          <cell r="D113" t="str">
            <v>CJ</v>
          </cell>
          <cell r="E113">
            <v>1801.7708</v>
          </cell>
        </row>
        <row r="114">
          <cell r="A114">
            <v>257</v>
          </cell>
          <cell r="B114" t="str">
            <v>M334</v>
          </cell>
          <cell r="C114" t="str">
            <v>PARAF. ZINCADO C/ FENDA 1 1/2" x 3/16"</v>
          </cell>
          <cell r="D114" t="str">
            <v>UN</v>
          </cell>
          <cell r="E114">
            <v>0.13800000000000001</v>
          </cell>
        </row>
        <row r="115">
          <cell r="A115">
            <v>290</v>
          </cell>
          <cell r="B115" t="str">
            <v>M335</v>
          </cell>
          <cell r="C115" t="str">
            <v>PARAF. ZINCADO FRANCÊS 4" x 5/16"</v>
          </cell>
          <cell r="D115" t="str">
            <v>UN</v>
          </cell>
          <cell r="E115">
            <v>0.59799999999999998</v>
          </cell>
        </row>
        <row r="116">
          <cell r="A116">
            <v>291</v>
          </cell>
          <cell r="B116" t="str">
            <v>M340</v>
          </cell>
          <cell r="C116" t="str">
            <v>TAMPÃO DE FERRO FUNDIDO</v>
          </cell>
          <cell r="D116" t="str">
            <v>UN</v>
          </cell>
          <cell r="E116">
            <v>375.70499999999998</v>
          </cell>
        </row>
        <row r="117">
          <cell r="A117">
            <v>294</v>
          </cell>
          <cell r="B117" t="str">
            <v>M343</v>
          </cell>
          <cell r="C117" t="str">
            <v>DEFENSA METÁLICA SEMI-MALEÁVEL SIMPLES</v>
          </cell>
          <cell r="D117" t="str">
            <v>MOD</v>
          </cell>
          <cell r="E117">
            <v>822.89400000000001</v>
          </cell>
        </row>
        <row r="118">
          <cell r="A118">
            <v>295</v>
          </cell>
          <cell r="C118" t="str">
            <v>CHAPA DE AÇO FINA</v>
          </cell>
          <cell r="D118" t="str">
            <v>M2</v>
          </cell>
          <cell r="E118">
            <v>52.9</v>
          </cell>
        </row>
        <row r="119">
          <cell r="A119">
            <v>300</v>
          </cell>
          <cell r="B119" t="str">
            <v>M398</v>
          </cell>
          <cell r="C119" t="str">
            <v xml:space="preserve">CHAPA DE AÇO </v>
          </cell>
          <cell r="D119" t="str">
            <v>KG</v>
          </cell>
          <cell r="E119">
            <v>4.83</v>
          </cell>
        </row>
        <row r="120">
          <cell r="A120">
            <v>303</v>
          </cell>
          <cell r="B120" t="str">
            <v>M346</v>
          </cell>
          <cell r="C120" t="str">
            <v>CHAPA DE AÇO no. 16 (TRATADA)</v>
          </cell>
          <cell r="D120" t="str">
            <v>M2</v>
          </cell>
          <cell r="E120">
            <v>112.7</v>
          </cell>
        </row>
        <row r="121">
          <cell r="A121">
            <v>304</v>
          </cell>
          <cell r="B121" t="str">
            <v>M401</v>
          </cell>
          <cell r="C121" t="str">
            <v>PONTALETES D=15 cm (TRONCO P/ ESC.)</v>
          </cell>
          <cell r="D121" t="str">
            <v>M</v>
          </cell>
          <cell r="E121">
            <v>1.6214999999999999</v>
          </cell>
        </row>
        <row r="122">
          <cell r="A122">
            <v>305</v>
          </cell>
          <cell r="B122" t="str">
            <v>M402</v>
          </cell>
          <cell r="C122" t="str">
            <v>PONTALETES D=20 cm (TRONCO P/ ESC.)</v>
          </cell>
          <cell r="D122" t="str">
            <v>M</v>
          </cell>
          <cell r="E122">
            <v>1.6214999999999999</v>
          </cell>
        </row>
        <row r="123">
          <cell r="A123">
            <v>306</v>
          </cell>
          <cell r="B123" t="str">
            <v>M409</v>
          </cell>
          <cell r="C123" t="str">
            <v>PRANCHÃO DE 1a 5,0 cm x 30,0 cm</v>
          </cell>
          <cell r="D123" t="str">
            <v>M</v>
          </cell>
          <cell r="E123">
            <v>17.25</v>
          </cell>
        </row>
        <row r="124">
          <cell r="A124">
            <v>308</v>
          </cell>
          <cell r="B124" t="str">
            <v>M410</v>
          </cell>
          <cell r="C124" t="str">
            <v>COMPENSADO RESINADO DE 17 mm</v>
          </cell>
          <cell r="D124" t="str">
            <v>M2</v>
          </cell>
          <cell r="E124">
            <v>17.107399999999998</v>
          </cell>
        </row>
        <row r="125">
          <cell r="A125">
            <v>309</v>
          </cell>
          <cell r="B125" t="str">
            <v>M406</v>
          </cell>
          <cell r="C125" t="str">
            <v>CAIBROS DE 7,5 cm x 7,5 cm</v>
          </cell>
          <cell r="D125" t="str">
            <v>M</v>
          </cell>
          <cell r="E125">
            <v>2.4609999999999999</v>
          </cell>
        </row>
        <row r="126">
          <cell r="A126">
            <v>310</v>
          </cell>
          <cell r="B126" t="str">
            <v>M407</v>
          </cell>
          <cell r="C126" t="str">
            <v>TÁBUA DE 1a 2,5 cm x 15,0 cm</v>
          </cell>
          <cell r="D126" t="str">
            <v>M</v>
          </cell>
          <cell r="E126">
            <v>2.7945000000000002</v>
          </cell>
        </row>
        <row r="127">
          <cell r="A127">
            <v>311</v>
          </cell>
          <cell r="B127" t="str">
            <v>M408</v>
          </cell>
          <cell r="C127" t="str">
            <v>TÁBUA DE 5a 2,5 cm x 30,0 cm</v>
          </cell>
          <cell r="D127" t="str">
            <v>M</v>
          </cell>
          <cell r="E127">
            <v>5.29</v>
          </cell>
        </row>
        <row r="128">
          <cell r="A128">
            <v>312</v>
          </cell>
          <cell r="B128" t="str">
            <v>M411</v>
          </cell>
          <cell r="C128" t="str">
            <v>COMPENSADO PLASTIFICADO DE 17 mm</v>
          </cell>
          <cell r="D128" t="str">
            <v>M2</v>
          </cell>
          <cell r="E128">
            <v>34.422600000000003</v>
          </cell>
        </row>
        <row r="129">
          <cell r="A129">
            <v>313</v>
          </cell>
          <cell r="B129" t="str">
            <v>M412</v>
          </cell>
          <cell r="C129" t="str">
            <v>GASTALHO 10 x 2,0 cm</v>
          </cell>
          <cell r="D129" t="str">
            <v>M</v>
          </cell>
          <cell r="E129">
            <v>1.38</v>
          </cell>
        </row>
        <row r="130">
          <cell r="A130">
            <v>314</v>
          </cell>
          <cell r="B130" t="str">
            <v>M413</v>
          </cell>
          <cell r="C130" t="str">
            <v>GASTALHO 7,5 x 2,5 cm</v>
          </cell>
          <cell r="D130" t="str">
            <v>M</v>
          </cell>
          <cell r="E130">
            <v>1.38</v>
          </cell>
        </row>
        <row r="131">
          <cell r="A131">
            <v>315</v>
          </cell>
          <cell r="B131" t="str">
            <v>M415</v>
          </cell>
          <cell r="C131" t="str">
            <v>TÁBUA 2,5 x 22,5 cm</v>
          </cell>
          <cell r="D131" t="str">
            <v>M</v>
          </cell>
          <cell r="E131">
            <v>4.2089999999999996</v>
          </cell>
        </row>
        <row r="132">
          <cell r="A132">
            <v>316</v>
          </cell>
          <cell r="B132" t="str">
            <v>M414</v>
          </cell>
          <cell r="C132" t="str">
            <v>PRANCHÃO 7,5 x 30,0 cm</v>
          </cell>
          <cell r="D132" t="str">
            <v>M</v>
          </cell>
          <cell r="E132">
            <v>34.5</v>
          </cell>
        </row>
        <row r="133">
          <cell r="A133">
            <v>325</v>
          </cell>
          <cell r="B133" t="str">
            <v>M601</v>
          </cell>
          <cell r="C133" t="str">
            <v>TINTA REFLETIVA ACRÍLICA P/ 2 ANOS</v>
          </cell>
          <cell r="D133" t="str">
            <v>L</v>
          </cell>
          <cell r="E133">
            <v>15.4643</v>
          </cell>
        </row>
        <row r="134">
          <cell r="A134">
            <v>326</v>
          </cell>
          <cell r="B134" t="str">
            <v>M602</v>
          </cell>
          <cell r="C134" t="str">
            <v>ADUBO NPK (4.14.8)</v>
          </cell>
          <cell r="D134" t="str">
            <v>KG</v>
          </cell>
          <cell r="E134">
            <v>0.89700000000000002</v>
          </cell>
        </row>
        <row r="135">
          <cell r="A135">
            <v>327</v>
          </cell>
          <cell r="B135" t="str">
            <v>M603</v>
          </cell>
          <cell r="C135" t="str">
            <v>INSETICIDA</v>
          </cell>
          <cell r="D135" t="str">
            <v>L</v>
          </cell>
          <cell r="E135">
            <v>26.45</v>
          </cell>
        </row>
        <row r="136">
          <cell r="A136">
            <v>328</v>
          </cell>
          <cell r="B136" t="str">
            <v>M604</v>
          </cell>
          <cell r="C136" t="str">
            <v>ADITIVO PLASTIMENT BV-40</v>
          </cell>
          <cell r="D136" t="str">
            <v>KG</v>
          </cell>
          <cell r="E136">
            <v>2.9580000000000002</v>
          </cell>
        </row>
        <row r="137">
          <cell r="A137">
            <v>330</v>
          </cell>
          <cell r="B137" t="str">
            <v>M609</v>
          </cell>
          <cell r="C137" t="str">
            <v>TINTA ESMALTE SINTÉTICO SEMI-FOSCO</v>
          </cell>
          <cell r="D137" t="str">
            <v>L</v>
          </cell>
          <cell r="E137">
            <v>13.409000000000001</v>
          </cell>
        </row>
        <row r="138">
          <cell r="A138">
            <v>331</v>
          </cell>
          <cell r="B138" t="str">
            <v>M611</v>
          </cell>
          <cell r="C138" t="str">
            <v>REDUTOR TIPO 2002 PRIM. QUALIDADE</v>
          </cell>
          <cell r="D138" t="str">
            <v>L</v>
          </cell>
          <cell r="E138">
            <v>8.2225000000000001</v>
          </cell>
        </row>
        <row r="139">
          <cell r="A139">
            <v>332</v>
          </cell>
          <cell r="B139" t="str">
            <v>M615</v>
          </cell>
          <cell r="C139" t="str">
            <v>MICROESFERAS PRE-MIX</v>
          </cell>
          <cell r="D139" t="str">
            <v>KG</v>
          </cell>
          <cell r="E139">
            <v>4.3470000000000004</v>
          </cell>
        </row>
        <row r="140">
          <cell r="A140">
            <v>333</v>
          </cell>
          <cell r="B140" t="str">
            <v>M616</v>
          </cell>
          <cell r="C140" t="str">
            <v>MICROESFERAS DROP-ON</v>
          </cell>
          <cell r="D140" t="str">
            <v>KG</v>
          </cell>
          <cell r="E140">
            <v>4.3470000000000004</v>
          </cell>
        </row>
        <row r="141">
          <cell r="A141">
            <v>344</v>
          </cell>
          <cell r="B141" t="str">
            <v>M621</v>
          </cell>
          <cell r="C141" t="str">
            <v>DESMOLDANTE</v>
          </cell>
          <cell r="D141" t="str">
            <v>KG</v>
          </cell>
          <cell r="E141">
            <v>3.6254</v>
          </cell>
        </row>
        <row r="142">
          <cell r="A142">
            <v>345</v>
          </cell>
          <cell r="B142" t="str">
            <v>M622</v>
          </cell>
          <cell r="C142" t="str">
            <v>Interplast N</v>
          </cell>
          <cell r="D142" t="str">
            <v>kg</v>
          </cell>
          <cell r="E142">
            <v>5.2554999999999996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sheetName val="TABELA RECURSOS"/>
      <sheetName val="CPU BÁSICA"/>
      <sheetName val="CPU BÁSICA 2"/>
      <sheetName val="CPU BÁSICA 1"/>
      <sheetName val="AUX 30 CONCRETO 35 MPa"/>
      <sheetName val="AUX 29 CHAMINÉ PV H = 1,00"/>
      <sheetName val="AUX 28 LASTRO DE SEIXO"/>
      <sheetName val="AUX 27 ESCAVAÇÃO MANUAL"/>
      <sheetName val="AUX 26 CONFECÇÃO SUPORTE "/>
      <sheetName val="AUX 25 CONFECÇÃO PLACA"/>
      <sheetName val="AUX 24 GUIA DE MADEIRA"/>
      <sheetName val="AUX 23 CONF TUBO 60"/>
      <sheetName val="AUX 22 ARGAMASSA 14"/>
      <sheetName val="AUX 21 ARGAMASSA 13"/>
      <sheetName val="AUX 20 AÇO CA 25"/>
      <sheetName val="AUX 19 AÇO CA 50"/>
      <sheetName val="AUX 18 AÇO CA 60"/>
      <sheetName val="AUX 17 CONCRETO CICLÓPICO 12"/>
      <sheetName val="AUX 16 CONCRETO 18 MPa TUBOS"/>
      <sheetName val="AUX 15 CONCRETO 25 MPa"/>
      <sheetName val="AUX 14 CONCRETO 20 MPa"/>
      <sheetName val="AUX 13 CONCRETO 15 MPa"/>
      <sheetName val="AUX 12 CONC 12 MPa"/>
      <sheetName val="AUX 11 CONCRETO 10 MPa"/>
      <sheetName val="AUX 10 FORMA COMP PLASTIIFCA"/>
      <sheetName val="AUX 09 FORMA COMUM"/>
      <sheetName val="AUX 08 USINAGEM CBUQ"/>
      <sheetName val="AUX 07 ESCAV CARGA JAZIDA"/>
      <sheetName val="AUX 06 EXPURGO JAZIDA"/>
      <sheetName val="AUX 05 LIMPEZA JAZIDA"/>
      <sheetName val="AUX 04 ALVENARIA DE TIJOLO"/>
      <sheetName val="AUX 03 FORNEC AÇO CA 60"/>
      <sheetName val="AUX 02 FORNEC AÇO CA 50"/>
      <sheetName val="AUX 01 FORNEC AÇO CA 25"/>
      <sheetName val="8.13 ARBUSTOS"/>
      <sheetName val="8.12 FORN IMPL PLACA SINAL"/>
      <sheetName val="8.11 PINTURA DE FAIXA"/>
      <sheetName val="8.10 FORNEC CAP-20"/>
      <sheetName val="8.9 FORNEC RR-2C"/>
      <sheetName val="8.8 FORNEC CM-30"/>
      <sheetName val="8.7TRANSPORTE MATERIAL JAZIDA"/>
      <sheetName val="8.6 CBUQ CAPA ROLAMENTO"/>
      <sheetName val="8.5 PINTURA LIGAÇÃO"/>
      <sheetName val="8.4 IMPRIMAÇÃO"/>
      <sheetName val="8.3 BASE"/>
      <sheetName val="8.2 SUBASE"/>
      <sheetName val="8.1 REGULARIZAÇÃO"/>
      <sheetName val="7.2 Instal eletrica"/>
      <sheetName val="6.5.4 Poste tubo galv.com lumin"/>
      <sheetName val="6.5.3 GUARDA RODAS"/>
      <sheetName val="6.5.2 GUARDA CORPO"/>
      <sheetName val="6.5.1 LAJE TRANSIÇÃO"/>
      <sheetName val="6.4.2.1 CIMBRAMNETO"/>
      <sheetName val="6.2.3 CONCRETO fck = 25,0 MPa"/>
      <sheetName val="6.1.2 PONTE SERVIÇO"/>
      <sheetName val="6.1.1 ESTACA PRE MOLD 30x30"/>
      <sheetName val="5.14 MANTA GEOTEXTIL (2)"/>
      <sheetName val="5.13 CAMADA DE AREIA"/>
      <sheetName val="5.12 CAMADA DE SEIXO"/>
      <sheetName val="5.11 GUARDA CORPO METALICO"/>
      <sheetName val="5.10 PASSEIO DE TIJOLO CERÂMICO"/>
      <sheetName val="5.9 CAMADA ENCH PASSEIO"/>
      <sheetName val="5.8 BANCO ARGAMASSA ARMADA"/>
      <sheetName val="5.7 GRAMA EM PLACA"/>
      <sheetName val="5.6 TERRA VEGETAL"/>
      <sheetName val="5.5 ESCOR DESCONTIUO VALA"/>
      <sheetName val="5.4 BOCA DE LOBO "/>
      <sheetName val="5.3 CX PASSAGEM TUBO 60"/>
      <sheetName val="5.2 MEIO FIO C SARJETA"/>
      <sheetName val="5.1 TUBULAÇÃO D=0,60 M"/>
      <sheetName val="4.2.6 JUNTA DILAT FUNGENBAND"/>
      <sheetName val="4.2.5 CONCRETO fck = 20,0 MPa"/>
      <sheetName val="4.2.4 AÇO CA 50"/>
      <sheetName val="4.2.3 FORMA"/>
      <sheetName val="4.2.2 LASTRO CONC MAGRO 10 MPa"/>
      <sheetName val="4.2.1 ESCAV MANUAL"/>
      <sheetName val="4.1.7 REATERRO MANUAL DE VALA"/>
      <sheetName val="4.1.6 MANTA GEOTEXTIL"/>
      <sheetName val="4.1.5 ESCAV MEC VALA"/>
      <sheetName val="4.1.4 PLACA PRE MOLDADA (2)"/>
      <sheetName val="4.1.3 PLACA PRE MOLDADA"/>
      <sheetName val="4.1.2 ESTACA PRE MOLDADA 20x20"/>
      <sheetName val="4.1.1 ESTACA PRE MOLDADA 25x25"/>
      <sheetName val="3.8 ESGOTAMENTO COM BOMBA"/>
      <sheetName val="3.7.3 COMPACTAÇÃO 100%"/>
      <sheetName val="3.6 MOMENTO TRANSP MAT 1a "/>
      <sheetName val="3.5 ESCAV MAT 1A CATEGORIA"/>
      <sheetName val="3.4 MOMENTO TRANSPORTE MAT AGUA"/>
      <sheetName val="3.3 ESCAV MAT COM AGUA"/>
      <sheetName val="3.2 EXEC ENSECADEIRA"/>
      <sheetName val="3.1 DESMATAMENTO MANUAL"/>
      <sheetName val="2.5  TRANSPORTE MAT REMOÇÃO"/>
      <sheetName val="2.4 REMOÇÃO DE ENTULHO"/>
      <sheetName val="2.3 DEMOL REM CONC ARMADO"/>
      <sheetName val="2.2 DEM REM ESTRUTURA MADEIRA"/>
      <sheetName val="2.1 REMANEJ FAMÍLIA"/>
      <sheetName val="1.5 Projeto executivo"/>
      <sheetName val="1.4 PLACA SINALIZAÇÃO"/>
      <sheetName val="1.3 LOC TOPOGRÁFICA"/>
      <sheetName val="1.2 Instal canteiro obras"/>
      <sheetName val=" 1.1 Mobilização e desmob "/>
      <sheetName val="Plan1"/>
    </sheetNames>
    <sheetDataSet>
      <sheetData sheetId="0"/>
      <sheetData sheetId="1" refreshError="1">
        <row r="1">
          <cell r="G1" t="str">
            <v>BDI</v>
          </cell>
        </row>
        <row r="2">
          <cell r="C2" t="str">
            <v>Custo Unitário da Mão-de-obra</v>
          </cell>
          <cell r="G2">
            <v>0.23899999999999999</v>
          </cell>
        </row>
        <row r="3">
          <cell r="A3" t="str">
            <v>Item</v>
          </cell>
          <cell r="B3" t="str">
            <v>Código</v>
          </cell>
          <cell r="C3" t="str">
            <v>Denominação</v>
          </cell>
          <cell r="D3" t="str">
            <v>Valor mensal</v>
          </cell>
          <cell r="E3" t="str">
            <v>Encargos</v>
          </cell>
          <cell r="F3" t="str">
            <v>Custo Unitário</v>
          </cell>
          <cell r="G3" t="str">
            <v>Encargos sociais</v>
          </cell>
        </row>
        <row r="4">
          <cell r="A4">
            <v>1</v>
          </cell>
          <cell r="C4" t="str">
            <v>Salário Minimo</v>
          </cell>
          <cell r="D4">
            <v>300</v>
          </cell>
          <cell r="E4">
            <v>378.9</v>
          </cell>
          <cell r="F4">
            <v>3.0859000000000001</v>
          </cell>
          <cell r="G4">
            <v>1.2629999999999999</v>
          </cell>
        </row>
        <row r="5">
          <cell r="A5">
            <v>2</v>
          </cell>
          <cell r="B5" t="str">
            <v>T301</v>
          </cell>
          <cell r="C5" t="str">
            <v>MOTORISTA VEÍCULO LEVE</v>
          </cell>
          <cell r="D5">
            <v>870</v>
          </cell>
          <cell r="E5">
            <v>1098.81</v>
          </cell>
          <cell r="F5">
            <v>8.9490999999999996</v>
          </cell>
        </row>
        <row r="6">
          <cell r="A6">
            <v>3</v>
          </cell>
          <cell r="B6">
            <v>7302</v>
          </cell>
          <cell r="C6" t="str">
            <v>MOTORISTA DE CAMINHÃO</v>
          </cell>
          <cell r="D6">
            <v>960</v>
          </cell>
          <cell r="E6">
            <v>1212.48</v>
          </cell>
          <cell r="F6">
            <v>9.8749000000000002</v>
          </cell>
          <cell r="G6" t="str">
            <v>GRUPO 1</v>
          </cell>
        </row>
        <row r="7">
          <cell r="A7">
            <v>4</v>
          </cell>
          <cell r="B7" t="str">
            <v>T303</v>
          </cell>
          <cell r="C7" t="str">
            <v>MOTORISTA DE VEÍCULO ESPECIAL</v>
          </cell>
          <cell r="D7">
            <v>1020</v>
          </cell>
          <cell r="E7">
            <v>1288.26</v>
          </cell>
          <cell r="F7">
            <v>10.492100000000001</v>
          </cell>
          <cell r="G7" t="str">
            <v>GRUPO 2</v>
          </cell>
        </row>
        <row r="8">
          <cell r="A8">
            <v>5</v>
          </cell>
          <cell r="B8" t="str">
            <v>T311</v>
          </cell>
          <cell r="C8" t="str">
            <v>OPERADOR DE EQUIPAMENTO LEVE 1</v>
          </cell>
          <cell r="D8">
            <v>720</v>
          </cell>
          <cell r="E8">
            <v>909.36</v>
          </cell>
          <cell r="F8">
            <v>7.4062000000000001</v>
          </cell>
          <cell r="G8" t="str">
            <v>GRUPO 3</v>
          </cell>
        </row>
        <row r="9">
          <cell r="A9">
            <v>6</v>
          </cell>
          <cell r="B9" t="str">
            <v>T312</v>
          </cell>
          <cell r="C9" t="str">
            <v>OPERADOR DE EQUIPAMENTO LEVE 2</v>
          </cell>
          <cell r="D9">
            <v>810</v>
          </cell>
          <cell r="E9">
            <v>1023.03</v>
          </cell>
          <cell r="F9">
            <v>8.3320000000000007</v>
          </cell>
        </row>
        <row r="10">
          <cell r="A10">
            <v>7</v>
          </cell>
          <cell r="B10" t="str">
            <v>T313</v>
          </cell>
          <cell r="C10" t="str">
            <v>OPERADOR DE EQUIP. PESADO</v>
          </cell>
          <cell r="D10">
            <v>1050</v>
          </cell>
          <cell r="E10">
            <v>1326.15</v>
          </cell>
          <cell r="F10">
            <v>10.800700000000001</v>
          </cell>
        </row>
        <row r="11">
          <cell r="A11">
            <v>8</v>
          </cell>
          <cell r="B11" t="str">
            <v>T314</v>
          </cell>
          <cell r="C11" t="str">
            <v>OPERADOR DE EQUIP. ESPECIAL</v>
          </cell>
          <cell r="D11">
            <v>1110</v>
          </cell>
          <cell r="E11">
            <v>1401.93</v>
          </cell>
          <cell r="F11">
            <v>11.417899999999999</v>
          </cell>
        </row>
        <row r="12">
          <cell r="A12">
            <v>9</v>
          </cell>
          <cell r="B12" t="str">
            <v>T401</v>
          </cell>
          <cell r="C12" t="str">
            <v>PRÉ-MARCADOR</v>
          </cell>
          <cell r="D12">
            <v>1110</v>
          </cell>
          <cell r="E12">
            <v>1401.93</v>
          </cell>
          <cell r="F12">
            <v>11.417899999999999</v>
          </cell>
        </row>
        <row r="13">
          <cell r="A13">
            <v>10</v>
          </cell>
          <cell r="C13" t="str">
            <v>ASSISTENTE SOCIAL</v>
          </cell>
          <cell r="D13">
            <v>2100</v>
          </cell>
          <cell r="E13">
            <v>2652.3</v>
          </cell>
          <cell r="F13">
            <v>21.601400000000002</v>
          </cell>
        </row>
        <row r="14">
          <cell r="A14">
            <v>11</v>
          </cell>
          <cell r="B14" t="str">
            <v>T501</v>
          </cell>
          <cell r="C14" t="str">
            <v xml:space="preserve">ENCARREGADO DE TURMA </v>
          </cell>
          <cell r="D14">
            <v>1110</v>
          </cell>
          <cell r="E14">
            <v>1401.93</v>
          </cell>
          <cell r="F14">
            <v>11.417899999999999</v>
          </cell>
        </row>
        <row r="15">
          <cell r="A15">
            <v>12</v>
          </cell>
          <cell r="B15" t="str">
            <v>T511</v>
          </cell>
          <cell r="C15" t="str">
            <v>ENCARREGADO DE PAVIMENTAÇÃO</v>
          </cell>
          <cell r="D15">
            <v>2100</v>
          </cell>
          <cell r="E15">
            <v>2652.3</v>
          </cell>
          <cell r="F15">
            <v>21.601400000000002</v>
          </cell>
        </row>
        <row r="16">
          <cell r="A16">
            <v>13</v>
          </cell>
          <cell r="B16" t="str">
            <v>T512</v>
          </cell>
          <cell r="C16" t="str">
            <v>ENCARREGADO DE BRITAGEM</v>
          </cell>
          <cell r="D16">
            <v>2100</v>
          </cell>
          <cell r="E16">
            <v>2652.3</v>
          </cell>
          <cell r="F16">
            <v>21.601400000000002</v>
          </cell>
        </row>
        <row r="17">
          <cell r="A17">
            <v>14</v>
          </cell>
          <cell r="C17" t="str">
            <v>TOPOGRAFO</v>
          </cell>
          <cell r="D17">
            <v>1230</v>
          </cell>
          <cell r="E17">
            <v>1553.49</v>
          </cell>
          <cell r="F17">
            <v>12.652200000000001</v>
          </cell>
        </row>
        <row r="18">
          <cell r="A18">
            <v>15</v>
          </cell>
          <cell r="B18" t="str">
            <v>T602</v>
          </cell>
          <cell r="C18" t="str">
            <v>MONTADOR</v>
          </cell>
          <cell r="D18">
            <v>780</v>
          </cell>
          <cell r="E18">
            <v>985.14</v>
          </cell>
          <cell r="F18">
            <v>8.0234000000000005</v>
          </cell>
        </row>
        <row r="19">
          <cell r="A19">
            <v>16</v>
          </cell>
          <cell r="B19" t="str">
            <v>T603</v>
          </cell>
          <cell r="C19" t="str">
            <v>CARPINTEIRO</v>
          </cell>
          <cell r="D19">
            <v>780</v>
          </cell>
          <cell r="E19">
            <v>985.14</v>
          </cell>
          <cell r="F19">
            <v>8.0234000000000005</v>
          </cell>
        </row>
        <row r="20">
          <cell r="A20">
            <v>17</v>
          </cell>
          <cell r="B20" t="str">
            <v>T604</v>
          </cell>
          <cell r="C20" t="str">
            <v>PEDREIRO</v>
          </cell>
          <cell r="D20">
            <v>780</v>
          </cell>
          <cell r="E20">
            <v>985.14</v>
          </cell>
          <cell r="F20">
            <v>8.0234000000000005</v>
          </cell>
        </row>
        <row r="21">
          <cell r="A21">
            <v>18</v>
          </cell>
          <cell r="B21" t="str">
            <v>T605</v>
          </cell>
          <cell r="C21" t="str">
            <v>ARMADOR</v>
          </cell>
          <cell r="D21">
            <v>780</v>
          </cell>
          <cell r="E21">
            <v>985.14</v>
          </cell>
          <cell r="F21">
            <v>8.0234000000000005</v>
          </cell>
        </row>
        <row r="22">
          <cell r="A22">
            <v>19</v>
          </cell>
          <cell r="B22" t="str">
            <v>T606</v>
          </cell>
          <cell r="C22" t="str">
            <v>FERREIRO</v>
          </cell>
          <cell r="D22">
            <v>780</v>
          </cell>
          <cell r="E22">
            <v>985.14</v>
          </cell>
          <cell r="F22">
            <v>8.0234000000000005</v>
          </cell>
        </row>
        <row r="23">
          <cell r="A23">
            <v>20</v>
          </cell>
          <cell r="B23" t="str">
            <v>T607</v>
          </cell>
          <cell r="C23" t="str">
            <v>PINTOR</v>
          </cell>
          <cell r="D23">
            <v>780</v>
          </cell>
          <cell r="E23">
            <v>985.14</v>
          </cell>
          <cell r="F23">
            <v>8.0234000000000005</v>
          </cell>
        </row>
        <row r="24">
          <cell r="A24">
            <v>21</v>
          </cell>
          <cell r="B24" t="str">
            <v>T608</v>
          </cell>
          <cell r="C24" t="str">
            <v>SOLDADOR</v>
          </cell>
          <cell r="D24">
            <v>780</v>
          </cell>
          <cell r="E24">
            <v>985.14</v>
          </cell>
          <cell r="F24">
            <v>8.0234000000000005</v>
          </cell>
        </row>
        <row r="25">
          <cell r="A25">
            <v>22</v>
          </cell>
          <cell r="B25" t="str">
            <v>T610</v>
          </cell>
          <cell r="C25" t="str">
            <v>SERRALHEIRO</v>
          </cell>
          <cell r="D25">
            <v>780</v>
          </cell>
          <cell r="E25">
            <v>985.14</v>
          </cell>
          <cell r="F25">
            <v>8.0234000000000005</v>
          </cell>
        </row>
        <row r="26">
          <cell r="A26">
            <v>23</v>
          </cell>
          <cell r="B26" t="str">
            <v>T701</v>
          </cell>
          <cell r="C26" t="str">
            <v>SERVENTE</v>
          </cell>
          <cell r="D26">
            <v>570</v>
          </cell>
          <cell r="E26">
            <v>719.91</v>
          </cell>
          <cell r="F26">
            <v>5.8632</v>
          </cell>
        </row>
        <row r="27">
          <cell r="A27">
            <v>24</v>
          </cell>
          <cell r="B27" t="str">
            <v>T702</v>
          </cell>
          <cell r="C27" t="str">
            <v>AJUDANTE</v>
          </cell>
          <cell r="D27">
            <v>630</v>
          </cell>
          <cell r="E27">
            <v>795.69</v>
          </cell>
          <cell r="F27">
            <v>6.4804000000000004</v>
          </cell>
        </row>
        <row r="28">
          <cell r="A28">
            <v>25</v>
          </cell>
          <cell r="C28" t="str">
            <v>ELETRICISTA</v>
          </cell>
          <cell r="D28">
            <v>780</v>
          </cell>
          <cell r="E28">
            <v>985.14</v>
          </cell>
          <cell r="F28">
            <v>8.0234000000000005</v>
          </cell>
        </row>
        <row r="29">
          <cell r="A29">
            <v>26</v>
          </cell>
          <cell r="C29" t="str">
            <v>ADIC. M.O. - FERRAMENTAS</v>
          </cell>
          <cell r="F29">
            <v>0.15509999999999999</v>
          </cell>
        </row>
        <row r="30">
          <cell r="A30">
            <v>27</v>
          </cell>
          <cell r="C30" t="str">
            <v>ADIC. M.O. - FERRAMENTAS</v>
          </cell>
          <cell r="F30">
            <v>0.2051</v>
          </cell>
        </row>
        <row r="32">
          <cell r="C32" t="str">
            <v>Custo Horário de Equipamentos</v>
          </cell>
        </row>
        <row r="33">
          <cell r="A33" t="str">
            <v>Item</v>
          </cell>
          <cell r="B33" t="str">
            <v>Código</v>
          </cell>
          <cell r="C33" t="str">
            <v>Equipamento</v>
          </cell>
          <cell r="D33" t="str">
            <v>Aquisição</v>
          </cell>
          <cell r="E33" t="str">
            <v>Improdutivo</v>
          </cell>
          <cell r="F33" t="str">
            <v>Operativo</v>
          </cell>
        </row>
        <row r="34">
          <cell r="A34">
            <v>30</v>
          </cell>
          <cell r="B34" t="str">
            <v>E001</v>
          </cell>
          <cell r="C34" t="str">
            <v>TRATOR DE ESTEIRA NH 7D (67 kW)</v>
          </cell>
          <cell r="E34">
            <v>10.800700000000001</v>
          </cell>
          <cell r="F34">
            <v>105.14709999999999</v>
          </cell>
        </row>
        <row r="35">
          <cell r="A35">
            <v>31</v>
          </cell>
          <cell r="B35" t="str">
            <v>E002</v>
          </cell>
          <cell r="C35" t="str">
            <v>TRATOR DE ESTEIRA CAT D6M (106 KW)</v>
          </cell>
          <cell r="E35">
            <v>10.800700000000001</v>
          </cell>
          <cell r="F35">
            <v>183.96770000000001</v>
          </cell>
        </row>
        <row r="36">
          <cell r="A36">
            <v>32</v>
          </cell>
          <cell r="B36" t="str">
            <v>E003</v>
          </cell>
          <cell r="C36" t="str">
            <v>TRATOR DE ESTEIRA CAT D8R (228 kW)</v>
          </cell>
          <cell r="E36">
            <v>10.800700000000001</v>
          </cell>
          <cell r="F36">
            <v>355.20600000000002</v>
          </cell>
        </row>
        <row r="37">
          <cell r="A37">
            <v>33</v>
          </cell>
          <cell r="B37" t="str">
            <v>E006</v>
          </cell>
          <cell r="C37" t="str">
            <v>MOTONIVELADORA CAT 120H (100 kW)</v>
          </cell>
          <cell r="E37">
            <v>11.417899999999999</v>
          </cell>
          <cell r="F37">
            <v>124.56229999999999</v>
          </cell>
        </row>
        <row r="38">
          <cell r="A38">
            <v>34</v>
          </cell>
          <cell r="B38" t="str">
            <v>E007</v>
          </cell>
          <cell r="C38" t="str">
            <v>TRATOR AGRÍCOLA M F-292/4 (77 kW)</v>
          </cell>
          <cell r="E38">
            <v>8.3320000000000007</v>
          </cell>
          <cell r="F38">
            <v>66.749700000000004</v>
          </cell>
        </row>
        <row r="39">
          <cell r="A39">
            <v>35</v>
          </cell>
          <cell r="B39" t="str">
            <v>E009</v>
          </cell>
          <cell r="C39" t="str">
            <v>CARREGAD. PNEUS CAT  924G  1,80 M3 ( 89 kW)</v>
          </cell>
          <cell r="E39">
            <v>10.800700000000001</v>
          </cell>
          <cell r="F39">
            <v>102.96259999999999</v>
          </cell>
        </row>
        <row r="40">
          <cell r="A40">
            <v>36</v>
          </cell>
          <cell r="B40" t="str">
            <v>E010</v>
          </cell>
          <cell r="C40" t="str">
            <v>CARREGAD. PNEUS CAT 950G 2,90 M3 (135 kW)</v>
          </cell>
          <cell r="E40">
            <v>10.800700000000001</v>
          </cell>
          <cell r="F40">
            <v>167.08199999999999</v>
          </cell>
        </row>
        <row r="41">
          <cell r="A41">
            <v>37</v>
          </cell>
          <cell r="B41" t="str">
            <v>E011</v>
          </cell>
          <cell r="C41" t="str">
            <v>RETROESCAVADEIRA MF-86HF (57 kW)</v>
          </cell>
          <cell r="E41">
            <v>10.800700000000001</v>
          </cell>
          <cell r="F41">
            <v>55.758699999999997</v>
          </cell>
        </row>
        <row r="42">
          <cell r="A42">
            <v>38</v>
          </cell>
          <cell r="B42" t="str">
            <v>E013</v>
          </cell>
          <cell r="C42" t="str">
            <v>ROLO COMP PÉ CARNEIRO CA-25-PD  (85 kW)</v>
          </cell>
          <cell r="E42">
            <v>8.3320000000000007</v>
          </cell>
          <cell r="F42">
            <v>112.70350000000001</v>
          </cell>
        </row>
        <row r="43">
          <cell r="A43">
            <v>43</v>
          </cell>
          <cell r="B43" t="str">
            <v>E062</v>
          </cell>
          <cell r="C43" t="str">
            <v>ESCAVADEIRA HIDR. CAT 330CL (182 kW)</v>
          </cell>
          <cell r="E43">
            <v>11.417899999999999</v>
          </cell>
          <cell r="F43">
            <v>257.74020000000002</v>
          </cell>
        </row>
        <row r="44">
          <cell r="A44">
            <v>44</v>
          </cell>
          <cell r="B44" t="str">
            <v>E063</v>
          </cell>
          <cell r="C44" t="str">
            <v>ESCAVADEIRA HIDR. CAT 320CL (102 kW)</v>
          </cell>
          <cell r="E44">
            <v>11.417899999999999</v>
          </cell>
          <cell r="F44">
            <v>157.3682</v>
          </cell>
        </row>
        <row r="45">
          <cell r="A45">
            <v>47</v>
          </cell>
          <cell r="B45" t="str">
            <v>E101</v>
          </cell>
          <cell r="C45" t="str">
            <v>GRADE DE DISCOS GA 24 x 24</v>
          </cell>
          <cell r="E45">
            <v>0</v>
          </cell>
          <cell r="F45">
            <v>2.4575999999999998</v>
          </cell>
        </row>
        <row r="46">
          <cell r="A46">
            <v>48</v>
          </cell>
          <cell r="B46" t="str">
            <v>E102</v>
          </cell>
          <cell r="C46" t="str">
            <v>ROLO COMP TANDEM CC-422C (93 kW)</v>
          </cell>
          <cell r="E46">
            <v>8.3320000000000007</v>
          </cell>
          <cell r="F46">
            <v>132.7011</v>
          </cell>
        </row>
        <row r="47">
          <cell r="A47">
            <v>51</v>
          </cell>
          <cell r="B47" t="str">
            <v>E105</v>
          </cell>
          <cell r="C47" t="str">
            <v>ROLO COMP PNEUS SP 8000  (97 kW)</v>
          </cell>
          <cell r="E47">
            <v>8.3320000000000007</v>
          </cell>
          <cell r="F47">
            <v>111.97880000000001</v>
          </cell>
        </row>
        <row r="48">
          <cell r="A48">
            <v>55</v>
          </cell>
          <cell r="B48" t="str">
            <v>E107</v>
          </cell>
          <cell r="C48" t="str">
            <v>VASSOURA MECÂNICA REBOCÁVEL</v>
          </cell>
          <cell r="E48">
            <v>0</v>
          </cell>
          <cell r="F48">
            <v>4.0309999999999997</v>
          </cell>
        </row>
        <row r="49">
          <cell r="A49">
            <v>56</v>
          </cell>
          <cell r="B49" t="str">
            <v>E110</v>
          </cell>
          <cell r="C49" t="str">
            <v>TANQUE ESTOCAGEM DE ASFALTO 20.000 L</v>
          </cell>
          <cell r="E49">
            <v>0</v>
          </cell>
          <cell r="F49">
            <v>4.1859999999999999</v>
          </cell>
        </row>
        <row r="50">
          <cell r="A50">
            <v>57</v>
          </cell>
          <cell r="B50" t="str">
            <v>E111</v>
          </cell>
          <cell r="C50" t="str">
            <v>EQUIP. DISTR. ASFALTO S/ CAMINHÃO (150 kW)</v>
          </cell>
          <cell r="E50">
            <v>9.8749000000000002</v>
          </cell>
          <cell r="F50">
            <v>98.639300000000006</v>
          </cell>
        </row>
        <row r="51">
          <cell r="A51">
            <v>58</v>
          </cell>
          <cell r="B51" t="str">
            <v>E112</v>
          </cell>
          <cell r="C51" t="str">
            <v>AQUECEDOR DE FLUÍDO TÉRMICO</v>
          </cell>
          <cell r="E51">
            <v>0</v>
          </cell>
          <cell r="F51">
            <v>21.924800000000001</v>
          </cell>
        </row>
        <row r="52">
          <cell r="A52">
            <v>74</v>
          </cell>
          <cell r="B52" t="str">
            <v>E139</v>
          </cell>
          <cell r="C52" t="str">
            <v>ROLO COMP VIBRO LISO CA-25D  (86 kW)</v>
          </cell>
          <cell r="E52">
            <v>8.3320000000000007</v>
          </cell>
          <cell r="F52">
            <v>111.0277</v>
          </cell>
        </row>
        <row r="53">
          <cell r="A53">
            <v>75</v>
          </cell>
          <cell r="B53" t="str">
            <v>E147</v>
          </cell>
          <cell r="C53" t="str">
            <v>USINA ASFÁLTO A QUENTE 90/120 T/H (188 kW)</v>
          </cell>
          <cell r="E53">
            <v>11.417899999999999</v>
          </cell>
          <cell r="F53">
            <v>200.3177</v>
          </cell>
        </row>
        <row r="54">
          <cell r="A54">
            <v>76</v>
          </cell>
          <cell r="B54" t="str">
            <v>E149</v>
          </cell>
          <cell r="C54" t="str">
            <v>VIBRO-ACAB. ASFÁLTO VDA-600BM (74 kW)</v>
          </cell>
          <cell r="E54">
            <v>11.417899999999999</v>
          </cell>
          <cell r="F54">
            <v>134.78290000000001</v>
          </cell>
        </row>
        <row r="55">
          <cell r="A55">
            <v>85</v>
          </cell>
          <cell r="B55" t="str">
            <v>E202</v>
          </cell>
          <cell r="C55" t="str">
            <v>COMPRESSOR DE AR 400 PCM (89 kW)</v>
          </cell>
          <cell r="E55">
            <v>8.3320000000000007</v>
          </cell>
          <cell r="F55">
            <v>63.345700000000001</v>
          </cell>
        </row>
        <row r="56">
          <cell r="A56">
            <v>86</v>
          </cell>
          <cell r="B56" t="str">
            <v>E208</v>
          </cell>
          <cell r="C56" t="str">
            <v>COMPRESSOR DE AR 200 PCM (58 kW)</v>
          </cell>
          <cell r="E56">
            <v>8.3320000000000007</v>
          </cell>
          <cell r="F56">
            <v>47.635599999999997</v>
          </cell>
        </row>
        <row r="57">
          <cell r="A57">
            <v>92</v>
          </cell>
          <cell r="B57" t="str">
            <v>E211</v>
          </cell>
          <cell r="C57" t="str">
            <v>MAQUINA P/ PINTURA (2 kW)</v>
          </cell>
          <cell r="E57">
            <v>0</v>
          </cell>
          <cell r="F57">
            <v>0.9577</v>
          </cell>
        </row>
        <row r="58">
          <cell r="A58">
            <v>93</v>
          </cell>
          <cell r="B58" t="str">
            <v>E210</v>
          </cell>
          <cell r="C58" t="str">
            <v>MARTELETE - ROMPEDOR 33 kg</v>
          </cell>
          <cell r="E58">
            <v>7.4062000000000001</v>
          </cell>
          <cell r="F58">
            <v>9.7596000000000007</v>
          </cell>
        </row>
        <row r="59">
          <cell r="A59">
            <v>94</v>
          </cell>
          <cell r="B59" t="str">
            <v>E302</v>
          </cell>
          <cell r="C59" t="str">
            <v>BETONEIRA - 320 L (4 kW)</v>
          </cell>
          <cell r="E59">
            <v>8.3320000000000007</v>
          </cell>
          <cell r="F59">
            <v>9.9809000000000001</v>
          </cell>
        </row>
        <row r="60">
          <cell r="A60">
            <v>98</v>
          </cell>
          <cell r="B60" t="str">
            <v>E303</v>
          </cell>
          <cell r="C60" t="str">
            <v>BETONEIRA - 750 L (9 kW)</v>
          </cell>
          <cell r="E60">
            <v>8.3320000000000007</v>
          </cell>
          <cell r="F60">
            <v>12.4125</v>
          </cell>
        </row>
        <row r="61">
          <cell r="A61">
            <v>99</v>
          </cell>
          <cell r="B61" t="str">
            <v>E304</v>
          </cell>
          <cell r="C61" t="str">
            <v>TRANSP. MANUAL - CARRINHO DE MÃO 80 L</v>
          </cell>
          <cell r="E61">
            <v>0</v>
          </cell>
          <cell r="F61">
            <v>0.13339999999999999</v>
          </cell>
        </row>
        <row r="62">
          <cell r="A62">
            <v>101</v>
          </cell>
          <cell r="B62" t="str">
            <v>E305</v>
          </cell>
          <cell r="C62" t="str">
            <v>TRANSP. MANUAL - GERICA 180 L</v>
          </cell>
          <cell r="E62">
            <v>0</v>
          </cell>
          <cell r="F62">
            <v>0.23350000000000001</v>
          </cell>
        </row>
        <row r="63">
          <cell r="A63">
            <v>103</v>
          </cell>
          <cell r="B63" t="str">
            <v>E306</v>
          </cell>
          <cell r="C63" t="str">
            <v>VIBRADOR DE CONC. - DE IMERSÃO (2 kW)</v>
          </cell>
          <cell r="E63">
            <v>7.4062000000000001</v>
          </cell>
          <cell r="F63">
            <v>8.8386999999999993</v>
          </cell>
        </row>
        <row r="64">
          <cell r="A64">
            <v>104</v>
          </cell>
          <cell r="B64" t="str">
            <v>E310</v>
          </cell>
          <cell r="C64" t="str">
            <v>FAB.PRÉ-MOLD CONC TUBOS D=0,60 M (2 kW)</v>
          </cell>
          <cell r="E64">
            <v>0</v>
          </cell>
          <cell r="F64">
            <v>7.3996000000000004</v>
          </cell>
        </row>
        <row r="65">
          <cell r="A65">
            <v>105</v>
          </cell>
          <cell r="B65" t="str">
            <v>E311</v>
          </cell>
          <cell r="C65" t="str">
            <v>FAB PRÉ-MOLD CONC TUBOS D=0,80 M (2 kW)</v>
          </cell>
          <cell r="E65">
            <v>0</v>
          </cell>
          <cell r="F65">
            <v>7.1071999999999997</v>
          </cell>
        </row>
        <row r="66">
          <cell r="A66">
            <v>106</v>
          </cell>
          <cell r="B66" t="str">
            <v>E312</v>
          </cell>
          <cell r="C66" t="str">
            <v>FAB PRÉ-MOLD CONC TUBOS D=1,00 M (2 kW)</v>
          </cell>
          <cell r="E66">
            <v>0</v>
          </cell>
          <cell r="F66">
            <v>7.4747000000000003</v>
          </cell>
        </row>
        <row r="67">
          <cell r="A67">
            <v>107</v>
          </cell>
          <cell r="B67" t="str">
            <v>E313</v>
          </cell>
          <cell r="C67" t="str">
            <v>FAB PRÉ-MOLD CONC TUBOS D=1,20 M (2 kW)</v>
          </cell>
          <cell r="E67">
            <v>0</v>
          </cell>
          <cell r="F67">
            <v>7.8887</v>
          </cell>
        </row>
        <row r="68">
          <cell r="A68">
            <v>108</v>
          </cell>
          <cell r="B68" t="str">
            <v>E314</v>
          </cell>
          <cell r="C68" t="str">
            <v>FAB PRÉ-MOLD CONC TUBOS D=1,50 M (2 kW)</v>
          </cell>
          <cell r="E68">
            <v>0</v>
          </cell>
          <cell r="F68">
            <v>7.8056999999999999</v>
          </cell>
        </row>
        <row r="69">
          <cell r="A69">
            <v>129</v>
          </cell>
          <cell r="B69" t="str">
            <v>E400</v>
          </cell>
          <cell r="C69" t="str">
            <v>CAMINHÃO BASCULANTE - 5 m3 - 8,8 t (155 kW)</v>
          </cell>
          <cell r="E69">
            <v>9.8749000000000002</v>
          </cell>
          <cell r="F69">
            <v>86.413799999999995</v>
          </cell>
        </row>
        <row r="70">
          <cell r="A70">
            <v>130</v>
          </cell>
          <cell r="B70" t="str">
            <v>E402</v>
          </cell>
          <cell r="C70" t="str">
            <v>CAMINHÃO CARROCERIA - 15t (170 kW)</v>
          </cell>
          <cell r="E70">
            <v>9.8749000000000002</v>
          </cell>
          <cell r="F70">
            <v>108.3706</v>
          </cell>
        </row>
        <row r="71">
          <cell r="A71">
            <v>131</v>
          </cell>
          <cell r="B71" t="str">
            <v>E403</v>
          </cell>
          <cell r="C71" t="str">
            <v>CAMINHÃO BASCULANTE 6 m3  (150 kW)</v>
          </cell>
          <cell r="E71">
            <v>9.8749000000000002</v>
          </cell>
          <cell r="F71">
            <v>97.9148</v>
          </cell>
        </row>
        <row r="72">
          <cell r="A72">
            <v>135</v>
          </cell>
          <cell r="B72" t="str">
            <v>E407</v>
          </cell>
          <cell r="C72" t="str">
            <v>CAMINHÃO TANQUE 10.000 L (170 kW)</v>
          </cell>
          <cell r="E72">
            <v>9.8749000000000002</v>
          </cell>
          <cell r="F72">
            <v>109.7187</v>
          </cell>
        </row>
        <row r="73">
          <cell r="A73">
            <v>136</v>
          </cell>
          <cell r="B73" t="str">
            <v>E408</v>
          </cell>
          <cell r="C73" t="str">
            <v>CAMINHÃO CARROCERIA - 4t (80 kW)</v>
          </cell>
          <cell r="E73">
            <v>9.8749000000000002</v>
          </cell>
          <cell r="F73">
            <v>54.107700000000001</v>
          </cell>
        </row>
        <row r="74">
          <cell r="A74">
            <v>137</v>
          </cell>
          <cell r="B74" t="str">
            <v>E416</v>
          </cell>
          <cell r="C74" t="str">
            <v>VEÍCULO LEVE - PICK UP (4 X 4) (98 kW)</v>
          </cell>
          <cell r="E74">
            <v>8.9490999999999996</v>
          </cell>
          <cell r="F74">
            <v>45.479300000000002</v>
          </cell>
        </row>
        <row r="75">
          <cell r="A75">
            <v>145</v>
          </cell>
          <cell r="B75" t="str">
            <v>E404</v>
          </cell>
          <cell r="C75" t="str">
            <v>CAMINHÃO BASCULANTE 10 m3 - 15 t (170 kW)</v>
          </cell>
          <cell r="E75">
            <v>9.8749000000000002</v>
          </cell>
          <cell r="F75">
            <v>111.63209999999999</v>
          </cell>
        </row>
        <row r="76">
          <cell r="A76">
            <v>146</v>
          </cell>
          <cell r="B76" t="str">
            <v>E432</v>
          </cell>
          <cell r="C76" t="str">
            <v>CAMINHÃO BASCULANTE 20 t (279 kW)</v>
          </cell>
          <cell r="E76">
            <v>9.8749000000000002</v>
          </cell>
          <cell r="F76">
            <v>166.3605</v>
          </cell>
        </row>
        <row r="77">
          <cell r="A77">
            <v>147</v>
          </cell>
          <cell r="B77" t="str">
            <v>E434</v>
          </cell>
          <cell r="C77" t="str">
            <v>CAMINHÃO CARROC C/ GUINDAUTO (150 kW)</v>
          </cell>
          <cell r="E77">
            <v>9.8749000000000002</v>
          </cell>
          <cell r="F77">
            <v>94.581900000000005</v>
          </cell>
        </row>
        <row r="78">
          <cell r="A78">
            <v>148</v>
          </cell>
        </row>
        <row r="79">
          <cell r="A79">
            <v>150</v>
          </cell>
          <cell r="B79" t="str">
            <v>E501</v>
          </cell>
          <cell r="C79" t="str">
            <v>GRUPO GERADOR 36 / 40 KVA (32 kW)</v>
          </cell>
          <cell r="E79">
            <v>8.3320000000000007</v>
          </cell>
          <cell r="F79">
            <v>33.636000000000003</v>
          </cell>
        </row>
        <row r="80">
          <cell r="A80">
            <v>151</v>
          </cell>
          <cell r="B80" t="str">
            <v>E503</v>
          </cell>
          <cell r="C80" t="str">
            <v>GRUPO GERADOR 164 / 180 KVA (144 kW)</v>
          </cell>
          <cell r="E80">
            <v>8.3320000000000007</v>
          </cell>
          <cell r="F80">
            <v>96.774699999999996</v>
          </cell>
        </row>
        <row r="81">
          <cell r="A81">
            <v>156</v>
          </cell>
          <cell r="B81" t="str">
            <v>E509</v>
          </cell>
          <cell r="C81" t="str">
            <v>GRUPO GERADOR 25,0 / 18,0 KVA (20 kW)</v>
          </cell>
          <cell r="E81">
            <v>8.3320000000000007</v>
          </cell>
          <cell r="F81">
            <v>21.651499999999999</v>
          </cell>
        </row>
        <row r="82">
          <cell r="A82">
            <v>162</v>
          </cell>
          <cell r="B82" t="str">
            <v>E903</v>
          </cell>
          <cell r="C82" t="str">
            <v>BATE-ESTACAS GRAV. 3.500/4.000 KG (160 kW)</v>
          </cell>
          <cell r="E82">
            <v>8.3320000000000007</v>
          </cell>
          <cell r="F82">
            <v>99.670699999999997</v>
          </cell>
        </row>
        <row r="83">
          <cell r="A83">
            <v>163</v>
          </cell>
          <cell r="B83" t="str">
            <v>E904</v>
          </cell>
          <cell r="C83" t="str">
            <v>SERRA CIRCULAR 12" (4 kW)</v>
          </cell>
          <cell r="E83">
            <v>0</v>
          </cell>
          <cell r="F83">
            <v>0.1948</v>
          </cell>
        </row>
        <row r="84">
          <cell r="A84">
            <v>165</v>
          </cell>
          <cell r="B84" t="str">
            <v>E906</v>
          </cell>
          <cell r="C84" t="str">
            <v>SOQUETE VIBRATÓRIO (2 kW)</v>
          </cell>
          <cell r="E84">
            <v>7.4062000000000001</v>
          </cell>
          <cell r="F84">
            <v>13.911199999999999</v>
          </cell>
        </row>
        <row r="85">
          <cell r="A85">
            <v>166</v>
          </cell>
          <cell r="B85" t="str">
            <v>E907</v>
          </cell>
          <cell r="C85" t="str">
            <v>CONJUNTO MOTO-BOMBA (11 kW)</v>
          </cell>
          <cell r="E85">
            <v>0</v>
          </cell>
          <cell r="F85">
            <v>13.8764</v>
          </cell>
        </row>
        <row r="86">
          <cell r="A86">
            <v>167</v>
          </cell>
          <cell r="B86" t="str">
            <v>E908</v>
          </cell>
          <cell r="C86" t="str">
            <v>MÁQUINA PINTURA - DERMAC FAIXAS (44 kW)</v>
          </cell>
          <cell r="E86">
            <v>11.417899999999999</v>
          </cell>
          <cell r="F86">
            <v>65.1999</v>
          </cell>
        </row>
        <row r="87">
          <cell r="A87">
            <v>169</v>
          </cell>
          <cell r="B87" t="str">
            <v>E910</v>
          </cell>
        </row>
        <row r="88">
          <cell r="A88">
            <v>170</v>
          </cell>
          <cell r="B88" t="str">
            <v>E917</v>
          </cell>
          <cell r="C88" t="str">
            <v>MÁQUINA UNIVERSAL CORTE (4 kW)</v>
          </cell>
          <cell r="E88">
            <v>7.4062000000000001</v>
          </cell>
          <cell r="F88">
            <v>11.594900000000001</v>
          </cell>
        </row>
        <row r="89">
          <cell r="A89">
            <v>171</v>
          </cell>
          <cell r="B89" t="str">
            <v>E918</v>
          </cell>
          <cell r="C89" t="str">
            <v>PRENSA EXCÊNTRICA (1 kW)</v>
          </cell>
          <cell r="E89">
            <v>0</v>
          </cell>
          <cell r="F89">
            <v>2.4619</v>
          </cell>
        </row>
        <row r="90">
          <cell r="A90">
            <v>172</v>
          </cell>
          <cell r="B90" t="str">
            <v>E919</v>
          </cell>
          <cell r="C90" t="str">
            <v>GUILHOTINA 8 t (3 kW)</v>
          </cell>
          <cell r="E90">
            <v>0</v>
          </cell>
          <cell r="F90">
            <v>4.2878999999999996</v>
          </cell>
        </row>
        <row r="91">
          <cell r="A91">
            <v>173</v>
          </cell>
          <cell r="B91" t="str">
            <v>E924</v>
          </cell>
          <cell r="C91" t="str">
            <v xml:space="preserve">EQUIP. PARA SOLDA </v>
          </cell>
          <cell r="E91">
            <v>0</v>
          </cell>
          <cell r="F91">
            <v>4.9500000000000002E-2</v>
          </cell>
        </row>
        <row r="93">
          <cell r="C93" t="str">
            <v>Custo Unitário de Materiais</v>
          </cell>
        </row>
        <row r="94">
          <cell r="A94" t="str">
            <v>Item</v>
          </cell>
          <cell r="B94" t="str">
            <v>Código</v>
          </cell>
          <cell r="C94" t="str">
            <v>Material</v>
          </cell>
          <cell r="D94" t="str">
            <v>Und</v>
          </cell>
          <cell r="E94" t="str">
            <v>Preço Unitário</v>
          </cell>
        </row>
        <row r="95">
          <cell r="A95">
            <v>212</v>
          </cell>
          <cell r="B95" t="str">
            <v>AM01</v>
          </cell>
          <cell r="C95" t="str">
            <v>AÇO CA 25 D = 4,2 mm</v>
          </cell>
          <cell r="D95" t="str">
            <v>KG</v>
          </cell>
          <cell r="E95">
            <v>4.4275000000000002</v>
          </cell>
        </row>
        <row r="96">
          <cell r="A96">
            <v>213</v>
          </cell>
          <cell r="B96" t="str">
            <v>AM02</v>
          </cell>
          <cell r="C96" t="str">
            <v>AÇO CA 25 D = 6,3 mm</v>
          </cell>
          <cell r="D96" t="str">
            <v>KG</v>
          </cell>
          <cell r="E96">
            <v>3.9904999999999999</v>
          </cell>
        </row>
        <row r="97">
          <cell r="A97">
            <v>215</v>
          </cell>
          <cell r="B97" t="str">
            <v>AM03</v>
          </cell>
          <cell r="C97" t="str">
            <v>AÇO CA 25 D = 10,0 mm</v>
          </cell>
          <cell r="D97" t="str">
            <v>KG</v>
          </cell>
          <cell r="E97">
            <v>3.3119999999999998</v>
          </cell>
        </row>
        <row r="98">
          <cell r="A98">
            <v>216</v>
          </cell>
          <cell r="B98" t="str">
            <v>AM04</v>
          </cell>
          <cell r="C98" t="str">
            <v>AÇO CA 50 D = 6,3 mm</v>
          </cell>
          <cell r="D98" t="str">
            <v>KG</v>
          </cell>
          <cell r="E98">
            <v>4.1859999999999999</v>
          </cell>
        </row>
        <row r="99">
          <cell r="A99">
            <v>217</v>
          </cell>
          <cell r="B99" t="str">
            <v>AM05</v>
          </cell>
          <cell r="C99" t="str">
            <v>AÇO CA 50 D = 10,0 mm</v>
          </cell>
          <cell r="D99" t="str">
            <v>KG</v>
          </cell>
          <cell r="E99">
            <v>3.4729999999999999</v>
          </cell>
        </row>
        <row r="100">
          <cell r="A100">
            <v>218</v>
          </cell>
          <cell r="B100" t="str">
            <v>AM06</v>
          </cell>
          <cell r="C100" t="str">
            <v>AÇO CA 60 D = 4,2 mm</v>
          </cell>
          <cell r="D100" t="str">
            <v>KG</v>
          </cell>
          <cell r="E100">
            <v>3.9904999999999999</v>
          </cell>
        </row>
        <row r="101">
          <cell r="A101">
            <v>219</v>
          </cell>
          <cell r="B101" t="str">
            <v>AM07</v>
          </cell>
          <cell r="C101" t="str">
            <v>AÇO CA 60 D = 5,0 mm</v>
          </cell>
          <cell r="D101" t="str">
            <v>KG</v>
          </cell>
          <cell r="E101">
            <v>3.8755000000000002</v>
          </cell>
        </row>
        <row r="102">
          <cell r="A102">
            <v>220</v>
          </cell>
          <cell r="B102" t="str">
            <v>AM08</v>
          </cell>
          <cell r="C102" t="str">
            <v>AÇO CA 60 D = 6,0 mm</v>
          </cell>
          <cell r="D102" t="str">
            <v>KG</v>
          </cell>
          <cell r="E102">
            <v>3.8755000000000002</v>
          </cell>
        </row>
        <row r="103">
          <cell r="A103">
            <v>235</v>
          </cell>
          <cell r="C103" t="str">
            <v>Casa padrão PMM</v>
          </cell>
          <cell r="D103" t="str">
            <v>gl</v>
          </cell>
          <cell r="E103">
            <v>8395</v>
          </cell>
        </row>
        <row r="104">
          <cell r="A104">
            <v>236</v>
          </cell>
          <cell r="B104" t="str">
            <v>AM35</v>
          </cell>
          <cell r="C104" t="str">
            <v>SEIXO COMERCIAL</v>
          </cell>
          <cell r="D104" t="str">
            <v>M3</v>
          </cell>
          <cell r="E104">
            <v>97.75</v>
          </cell>
        </row>
        <row r="105">
          <cell r="A105">
            <v>237</v>
          </cell>
          <cell r="B105" t="str">
            <v>M003</v>
          </cell>
          <cell r="C105" t="str">
            <v>ÓLEO COMBUSTÍVEL 1A</v>
          </cell>
          <cell r="D105" t="str">
            <v>L</v>
          </cell>
          <cell r="E105">
            <v>1.3524</v>
          </cell>
        </row>
        <row r="106">
          <cell r="A106">
            <v>238</v>
          </cell>
          <cell r="B106" t="str">
            <v>M101</v>
          </cell>
          <cell r="C106" t="str">
            <v>CIMENTO ASFÁLTICO CAP 20</v>
          </cell>
          <cell r="D106" t="str">
            <v>T</v>
          </cell>
          <cell r="E106">
            <v>2025.7135000000001</v>
          </cell>
        </row>
        <row r="107">
          <cell r="A107">
            <v>239</v>
          </cell>
          <cell r="B107" t="str">
            <v>M103</v>
          </cell>
          <cell r="C107" t="str">
            <v>ASFÁLTO DILUÍDO CM-30</v>
          </cell>
          <cell r="D107" t="str">
            <v>T</v>
          </cell>
          <cell r="E107">
            <v>2715.3915000000002</v>
          </cell>
        </row>
        <row r="108">
          <cell r="A108">
            <v>240</v>
          </cell>
          <cell r="B108" t="str">
            <v>M108</v>
          </cell>
          <cell r="C108" t="str">
            <v>EMULSÃO ASFÁLTICA RR-2C</v>
          </cell>
          <cell r="D108" t="str">
            <v>T</v>
          </cell>
          <cell r="E108">
            <v>1970.2260000000001</v>
          </cell>
        </row>
        <row r="109">
          <cell r="A109">
            <v>241</v>
          </cell>
          <cell r="B109" t="str">
            <v>M202</v>
          </cell>
          <cell r="C109" t="str">
            <v>CIMENTO PORTLAND CP-32</v>
          </cell>
          <cell r="D109" t="str">
            <v>KG</v>
          </cell>
          <cell r="E109">
            <v>0.46</v>
          </cell>
        </row>
        <row r="110">
          <cell r="A110">
            <v>242</v>
          </cell>
          <cell r="B110" t="str">
            <v>M319</v>
          </cell>
          <cell r="C110" t="str">
            <v>ARAME RECOZIDO no. 18</v>
          </cell>
          <cell r="D110" t="str">
            <v>KG</v>
          </cell>
          <cell r="E110">
            <v>5.7039999999999997</v>
          </cell>
        </row>
        <row r="111">
          <cell r="A111">
            <v>243</v>
          </cell>
          <cell r="B111" t="str">
            <v>M320</v>
          </cell>
          <cell r="C111" t="str">
            <v>PREGOS DE FERRO 18x30</v>
          </cell>
          <cell r="D111" t="str">
            <v>KG</v>
          </cell>
          <cell r="E111">
            <v>4.83</v>
          </cell>
        </row>
        <row r="112">
          <cell r="A112">
            <v>255</v>
          </cell>
          <cell r="C112" t="str">
            <v>REDE ELÉTRICA - TUBULAÇOES E CABOS</v>
          </cell>
          <cell r="D112" t="str">
            <v>M</v>
          </cell>
          <cell r="E112">
            <v>97.75</v>
          </cell>
        </row>
        <row r="113">
          <cell r="A113">
            <v>256</v>
          </cell>
          <cell r="C113" t="str">
            <v>POSTE TUBO AÇO GALVANIZADO.H =10,0 m C/ LUMINÁRIA</v>
          </cell>
          <cell r="D113" t="str">
            <v>CJ</v>
          </cell>
          <cell r="E113">
            <v>1801.7708</v>
          </cell>
        </row>
        <row r="114">
          <cell r="A114">
            <v>257</v>
          </cell>
          <cell r="B114" t="str">
            <v>M334</v>
          </cell>
          <cell r="C114" t="str">
            <v>PARAF. ZINCADO C/ FENDA 1 1/2" x 3/16"</v>
          </cell>
          <cell r="D114" t="str">
            <v>UN</v>
          </cell>
          <cell r="E114">
            <v>0.13800000000000001</v>
          </cell>
        </row>
        <row r="115">
          <cell r="A115">
            <v>290</v>
          </cell>
          <cell r="B115" t="str">
            <v>M335</v>
          </cell>
          <cell r="C115" t="str">
            <v>PARAF. ZINCADO FRANCÊS 4" x 5/16"</v>
          </cell>
          <cell r="D115" t="str">
            <v>UN</v>
          </cell>
          <cell r="E115">
            <v>0.59799999999999998</v>
          </cell>
        </row>
        <row r="116">
          <cell r="A116">
            <v>291</v>
          </cell>
          <cell r="B116" t="str">
            <v>M340</v>
          </cell>
          <cell r="C116" t="str">
            <v>TAMPÃO DE FERRO FUNDIDO</v>
          </cell>
          <cell r="D116" t="str">
            <v>UN</v>
          </cell>
          <cell r="E116">
            <v>375.70499999999998</v>
          </cell>
        </row>
        <row r="117">
          <cell r="A117">
            <v>294</v>
          </cell>
          <cell r="B117" t="str">
            <v>M343</v>
          </cell>
          <cell r="C117" t="str">
            <v>DEFENSA METÁLICA SEMI-MALEÁVEL SIMPLES</v>
          </cell>
          <cell r="D117" t="str">
            <v>MOD</v>
          </cell>
          <cell r="E117">
            <v>822.89400000000001</v>
          </cell>
        </row>
        <row r="118">
          <cell r="A118">
            <v>295</v>
          </cell>
          <cell r="C118" t="str">
            <v>CHAPA DE AÇO FINA</v>
          </cell>
          <cell r="D118" t="str">
            <v>M2</v>
          </cell>
          <cell r="E118">
            <v>52.9</v>
          </cell>
        </row>
        <row r="119">
          <cell r="A119">
            <v>300</v>
          </cell>
          <cell r="B119" t="str">
            <v>M398</v>
          </cell>
          <cell r="C119" t="str">
            <v xml:space="preserve">CHAPA DE AÇO </v>
          </cell>
          <cell r="D119" t="str">
            <v>KG</v>
          </cell>
          <cell r="E119">
            <v>4.83</v>
          </cell>
        </row>
        <row r="120">
          <cell r="A120">
            <v>303</v>
          </cell>
          <cell r="B120" t="str">
            <v>M346</v>
          </cell>
          <cell r="C120" t="str">
            <v>CHAPA DE AÇO no. 16 (TRATADA)</v>
          </cell>
          <cell r="D120" t="str">
            <v>M2</v>
          </cell>
          <cell r="E120">
            <v>112.7</v>
          </cell>
        </row>
        <row r="121">
          <cell r="A121">
            <v>304</v>
          </cell>
          <cell r="B121" t="str">
            <v>M401</v>
          </cell>
          <cell r="C121" t="str">
            <v>PONTALETES D=15 cm (TRONCO P/ ESC.)</v>
          </cell>
          <cell r="D121" t="str">
            <v>M</v>
          </cell>
          <cell r="E121">
            <v>1.6214999999999999</v>
          </cell>
        </row>
        <row r="122">
          <cell r="A122">
            <v>305</v>
          </cell>
          <cell r="B122" t="str">
            <v>M402</v>
          </cell>
          <cell r="C122" t="str">
            <v>PONTALETES D=20 cm (TRONCO P/ ESC.)</v>
          </cell>
          <cell r="D122" t="str">
            <v>M</v>
          </cell>
          <cell r="E122">
            <v>1.6214999999999999</v>
          </cell>
        </row>
        <row r="123">
          <cell r="A123">
            <v>306</v>
          </cell>
          <cell r="B123" t="str">
            <v>M409</v>
          </cell>
          <cell r="C123" t="str">
            <v>PRANCHÃO DE 1a 5,0 cm x 30,0 cm</v>
          </cell>
          <cell r="D123" t="str">
            <v>M</v>
          </cell>
          <cell r="E123">
            <v>17.25</v>
          </cell>
        </row>
        <row r="124">
          <cell r="A124">
            <v>308</v>
          </cell>
          <cell r="B124" t="str">
            <v>M410</v>
          </cell>
          <cell r="C124" t="str">
            <v>COMPENSADO RESINADO DE 17 mm</v>
          </cell>
          <cell r="D124" t="str">
            <v>M2</v>
          </cell>
          <cell r="E124">
            <v>17.107399999999998</v>
          </cell>
        </row>
        <row r="125">
          <cell r="A125">
            <v>309</v>
          </cell>
          <cell r="B125" t="str">
            <v>M406</v>
          </cell>
          <cell r="C125" t="str">
            <v>CAIBROS DE 7,5 cm x 7,5 cm</v>
          </cell>
          <cell r="D125" t="str">
            <v>M</v>
          </cell>
          <cell r="E125">
            <v>2.4609999999999999</v>
          </cell>
        </row>
        <row r="126">
          <cell r="A126">
            <v>310</v>
          </cell>
          <cell r="B126" t="str">
            <v>M407</v>
          </cell>
          <cell r="C126" t="str">
            <v>TÁBUA DE 1a 2,5 cm x 15,0 cm</v>
          </cell>
          <cell r="D126" t="str">
            <v>M</v>
          </cell>
          <cell r="E126">
            <v>2.7945000000000002</v>
          </cell>
        </row>
        <row r="127">
          <cell r="A127">
            <v>311</v>
          </cell>
          <cell r="B127" t="str">
            <v>M408</v>
          </cell>
          <cell r="C127" t="str">
            <v>TÁBUA DE 5a 2,5 cm x 30,0 cm</v>
          </cell>
          <cell r="D127" t="str">
            <v>M</v>
          </cell>
          <cell r="E127">
            <v>5.29</v>
          </cell>
        </row>
        <row r="128">
          <cell r="A128">
            <v>312</v>
          </cell>
          <cell r="B128" t="str">
            <v>M411</v>
          </cell>
          <cell r="C128" t="str">
            <v>COMPENSADO PLASTIFICADO DE 17 mm</v>
          </cell>
          <cell r="D128" t="str">
            <v>M2</v>
          </cell>
          <cell r="E128">
            <v>34.422600000000003</v>
          </cell>
        </row>
        <row r="129">
          <cell r="A129">
            <v>313</v>
          </cell>
          <cell r="B129" t="str">
            <v>M412</v>
          </cell>
          <cell r="C129" t="str">
            <v>GASTALHO 10 x 2,0 cm</v>
          </cell>
          <cell r="D129" t="str">
            <v>M</v>
          </cell>
          <cell r="E129">
            <v>1.38</v>
          </cell>
        </row>
        <row r="130">
          <cell r="A130">
            <v>314</v>
          </cell>
          <cell r="B130" t="str">
            <v>M413</v>
          </cell>
          <cell r="C130" t="str">
            <v>GASTALHO 7,5 x 2,5 cm</v>
          </cell>
          <cell r="D130" t="str">
            <v>M</v>
          </cell>
          <cell r="E130">
            <v>1.38</v>
          </cell>
        </row>
        <row r="131">
          <cell r="A131">
            <v>315</v>
          </cell>
          <cell r="B131" t="str">
            <v>M415</v>
          </cell>
          <cell r="C131" t="str">
            <v>TÁBUA 2,5 x 22,5 cm</v>
          </cell>
          <cell r="D131" t="str">
            <v>M</v>
          </cell>
          <cell r="E131">
            <v>4.2089999999999996</v>
          </cell>
        </row>
        <row r="132">
          <cell r="A132">
            <v>316</v>
          </cell>
          <cell r="B132" t="str">
            <v>M414</v>
          </cell>
          <cell r="C132" t="str">
            <v>PRANCHÃO 7,5 x 30,0 cm</v>
          </cell>
          <cell r="D132" t="str">
            <v>M</v>
          </cell>
          <cell r="E132">
            <v>34.5</v>
          </cell>
        </row>
        <row r="133">
          <cell r="A133">
            <v>325</v>
          </cell>
          <cell r="B133" t="str">
            <v>M601</v>
          </cell>
          <cell r="C133" t="str">
            <v>TINTA REFLETIVA ACRÍLICA P/ 2 ANOS</v>
          </cell>
          <cell r="D133" t="str">
            <v>L</v>
          </cell>
          <cell r="E133">
            <v>15.4643</v>
          </cell>
        </row>
        <row r="134">
          <cell r="A134">
            <v>326</v>
          </cell>
          <cell r="B134" t="str">
            <v>M602</v>
          </cell>
          <cell r="C134" t="str">
            <v>ADUBO NPK (4.14.8)</v>
          </cell>
          <cell r="D134" t="str">
            <v>KG</v>
          </cell>
          <cell r="E134">
            <v>0.89700000000000002</v>
          </cell>
        </row>
        <row r="135">
          <cell r="A135">
            <v>327</v>
          </cell>
          <cell r="B135" t="str">
            <v>M603</v>
          </cell>
          <cell r="C135" t="str">
            <v>INSETICIDA</v>
          </cell>
          <cell r="D135" t="str">
            <v>L</v>
          </cell>
          <cell r="E135">
            <v>26.45</v>
          </cell>
        </row>
        <row r="136">
          <cell r="A136">
            <v>328</v>
          </cell>
          <cell r="B136" t="str">
            <v>M604</v>
          </cell>
          <cell r="C136" t="str">
            <v>ADITIVO PLASTIMENT BV-40</v>
          </cell>
          <cell r="D136" t="str">
            <v>KG</v>
          </cell>
          <cell r="E136">
            <v>2.9580000000000002</v>
          </cell>
        </row>
        <row r="137">
          <cell r="A137">
            <v>330</v>
          </cell>
          <cell r="B137" t="str">
            <v>M609</v>
          </cell>
          <cell r="C137" t="str">
            <v>TINTA ESMALTE SINTÉTICO SEMI-FOSCO</v>
          </cell>
          <cell r="D137" t="str">
            <v>L</v>
          </cell>
          <cell r="E137">
            <v>13.409000000000001</v>
          </cell>
        </row>
        <row r="138">
          <cell r="A138">
            <v>331</v>
          </cell>
          <cell r="B138" t="str">
            <v>M611</v>
          </cell>
          <cell r="C138" t="str">
            <v>REDUTOR TIPO 2002 PRIM. QUALIDADE</v>
          </cell>
          <cell r="D138" t="str">
            <v>L</v>
          </cell>
          <cell r="E138">
            <v>8.2225000000000001</v>
          </cell>
        </row>
        <row r="139">
          <cell r="A139">
            <v>332</v>
          </cell>
          <cell r="B139" t="str">
            <v>M615</v>
          </cell>
          <cell r="C139" t="str">
            <v>MICROESFERAS PRE-MIX</v>
          </cell>
          <cell r="D139" t="str">
            <v>KG</v>
          </cell>
          <cell r="E139">
            <v>4.3470000000000004</v>
          </cell>
        </row>
        <row r="140">
          <cell r="A140">
            <v>333</v>
          </cell>
          <cell r="B140" t="str">
            <v>M616</v>
          </cell>
          <cell r="C140" t="str">
            <v>MICROESFERAS DROP-ON</v>
          </cell>
          <cell r="D140" t="str">
            <v>KG</v>
          </cell>
          <cell r="E140">
            <v>4.3470000000000004</v>
          </cell>
        </row>
        <row r="141">
          <cell r="A141">
            <v>344</v>
          </cell>
          <cell r="B141" t="str">
            <v>M621</v>
          </cell>
          <cell r="C141" t="str">
            <v>DESMOLDANTE</v>
          </cell>
          <cell r="D141" t="str">
            <v>KG</v>
          </cell>
          <cell r="E141">
            <v>3.6254</v>
          </cell>
        </row>
        <row r="142">
          <cell r="A142">
            <v>345</v>
          </cell>
          <cell r="B142" t="str">
            <v>M622</v>
          </cell>
          <cell r="C142" t="str">
            <v>Interplast N</v>
          </cell>
          <cell r="D142" t="str">
            <v>kg</v>
          </cell>
          <cell r="E142">
            <v>5.2554999999999996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KsKr"/>
      <sheetName val="Etapa Única"/>
      <sheetName val="Trans.2o. trecho"/>
      <sheetName val="ETA-Mat"/>
      <sheetName val="INCCTOT"/>
      <sheetName val="Jacaraci"/>
      <sheetName val="Demanda-Total"/>
      <sheetName val="V reservação"/>
      <sheetName val="Pre dimensADUTORA"/>
      <sheetName val="Lista"/>
      <sheetName val="Zona A"/>
      <sheetName val="Zona B"/>
      <sheetName val="EEAB1(3+1)3G"/>
    </sheetNames>
    <sheetDataSet>
      <sheetData sheetId="0" refreshError="1"/>
      <sheetData sheetId="1" refreshError="1"/>
      <sheetData sheetId="2" refreshError="1">
        <row r="125">
          <cell r="C125">
            <v>15.399999999999977</v>
          </cell>
          <cell r="E125">
            <v>19.659999999999968</v>
          </cell>
        </row>
        <row r="126">
          <cell r="C126">
            <v>15.542336341085161</v>
          </cell>
          <cell r="E126">
            <v>19.802336341085152</v>
          </cell>
        </row>
        <row r="127">
          <cell r="C127">
            <v>16.257148068197694</v>
          </cell>
          <cell r="E127">
            <v>20.517148068197685</v>
          </cell>
        </row>
        <row r="128">
          <cell r="C128">
            <v>17.518811323131445</v>
          </cell>
          <cell r="E128">
            <v>21.778811323131436</v>
          </cell>
        </row>
        <row r="129">
          <cell r="C129">
            <v>19.303780580867624</v>
          </cell>
          <cell r="E129">
            <v>23.563780580867615</v>
          </cell>
        </row>
        <row r="130">
          <cell r="C130">
            <v>21.598989322352281</v>
          </cell>
          <cell r="E130">
            <v>25.858989322352272</v>
          </cell>
        </row>
        <row r="131">
          <cell r="C131">
            <v>24.396686091835932</v>
          </cell>
          <cell r="E131">
            <v>28.656686091835923</v>
          </cell>
        </row>
        <row r="132">
          <cell r="C132">
            <v>27.42734006018452</v>
          </cell>
          <cell r="E132">
            <v>31.687340060184511</v>
          </cell>
        </row>
        <row r="133">
          <cell r="C133">
            <v>31.13573066002607</v>
          </cell>
          <cell r="E133">
            <v>35.395730660026061</v>
          </cell>
        </row>
        <row r="134">
          <cell r="C134">
            <v>35.325379219265528</v>
          </cell>
          <cell r="E134">
            <v>39.585379219265519</v>
          </cell>
        </row>
      </sheetData>
      <sheetData sheetId="3" refreshError="1"/>
      <sheetData sheetId="4" refreshError="1"/>
      <sheetData sheetId="5" refreshError="1"/>
      <sheetData sheetId="6"/>
      <sheetData sheetId="7"/>
      <sheetData sheetId="8"/>
      <sheetData sheetId="9"/>
      <sheetData sheetId="10"/>
      <sheetData sheetId="11"/>
      <sheetData sheetId="12"/>
      <sheetData sheetId="13"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ADOS"/>
      <sheetName val="NOVO"/>
      <sheetName val="BDI"/>
      <sheetName val="ORÇAMENTO"/>
      <sheetName val="CÁLCULO"/>
      <sheetName val="Planilha1"/>
      <sheetName val="EVENTOS"/>
      <sheetName val="CRONO"/>
      <sheetName val="CRONOPLE"/>
      <sheetName val="PLE"/>
      <sheetName val="QCI"/>
      <sheetName val="BM"/>
      <sheetName val="RRE"/>
      <sheetName val="OFÍCIO"/>
      <sheetName val="ADM LOCAL"/>
      <sheetName val=" DADOS DA OBRA"/>
      <sheetName val="SERVIÇOS PRELIMINARES"/>
      <sheetName val="TERRA PLANAGEM"/>
      <sheetName val="REV. PRIMARIO"/>
      <sheetName val="PAV."/>
      <sheetName val="MOBILIZAÇAO"/>
      <sheetName val="SINALIZAÇÃO"/>
      <sheetName val="CALÇADA"/>
    </sheetNames>
    <sheetDataSet>
      <sheetData sheetId="0" refreshError="1">
        <row r="3">
          <cell r="O3">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1-VIG_FUND-AGO2000"/>
    </sheetNames>
    <sheetDataSet>
      <sheetData sheetId="0">
        <row r="13">
          <cell r="B13">
            <v>1</v>
          </cell>
          <cell r="C13">
            <v>0.15</v>
          </cell>
          <cell r="D13">
            <v>0.2</v>
          </cell>
          <cell r="E13">
            <v>0.5</v>
          </cell>
          <cell r="F13">
            <v>0.1</v>
          </cell>
          <cell r="G13">
            <v>2.25</v>
          </cell>
          <cell r="H13">
            <v>0.47249999999999998</v>
          </cell>
          <cell r="I13">
            <v>0.78749999999999998</v>
          </cell>
          <cell r="J13">
            <v>2.8125000000000001E-2</v>
          </cell>
          <cell r="K13">
            <v>2.25</v>
          </cell>
          <cell r="L13">
            <v>0.16874999999999998</v>
          </cell>
        </row>
        <row r="14">
          <cell r="B14">
            <v>1</v>
          </cell>
          <cell r="C14">
            <v>0.2</v>
          </cell>
          <cell r="D14">
            <v>0.2</v>
          </cell>
          <cell r="E14">
            <v>0.5</v>
          </cell>
          <cell r="F14">
            <v>0.1</v>
          </cell>
          <cell r="G14">
            <v>18.257000000000005</v>
          </cell>
          <cell r="H14">
            <v>4.3816800000000011</v>
          </cell>
          <cell r="I14">
            <v>7.3028000000000022</v>
          </cell>
          <cell r="J14">
            <v>0.27385500000000013</v>
          </cell>
          <cell r="K14">
            <v>18.257000000000005</v>
          </cell>
          <cell r="L14">
            <v>1.8257000000000005</v>
          </cell>
        </row>
        <row r="15">
          <cell r="B15">
            <v>1</v>
          </cell>
          <cell r="C15">
            <v>0.25</v>
          </cell>
          <cell r="D15">
            <v>0.2</v>
          </cell>
          <cell r="E15">
            <v>0.6</v>
          </cell>
          <cell r="F15">
            <v>0.1</v>
          </cell>
          <cell r="G15">
            <v>5.1250000000000009</v>
          </cell>
          <cell r="H15">
            <v>1.6143750000000003</v>
          </cell>
          <cell r="I15">
            <v>2.3062500000000004</v>
          </cell>
          <cell r="J15">
            <v>8.9687500000000017E-2</v>
          </cell>
          <cell r="K15">
            <v>6.1500000000000012</v>
          </cell>
          <cell r="L15">
            <v>0.76875000000000016</v>
          </cell>
        </row>
        <row r="16">
          <cell r="B16">
            <v>1</v>
          </cell>
          <cell r="C16">
            <v>0.15</v>
          </cell>
          <cell r="D16">
            <v>0.2</v>
          </cell>
          <cell r="E16">
            <v>0.5</v>
          </cell>
          <cell r="F16">
            <v>0.1</v>
          </cell>
          <cell r="G16">
            <v>9.2299999999999986</v>
          </cell>
          <cell r="H16">
            <v>1.9382999999999997</v>
          </cell>
          <cell r="I16">
            <v>3.2304999999999993</v>
          </cell>
          <cell r="J16">
            <v>0.11537499999999999</v>
          </cell>
          <cell r="K16">
            <v>9.2299999999999986</v>
          </cell>
          <cell r="L16">
            <v>0.69224999999999992</v>
          </cell>
        </row>
        <row r="17">
          <cell r="B17">
            <v>1</v>
          </cell>
          <cell r="C17">
            <v>0.25</v>
          </cell>
          <cell r="D17">
            <v>0.2</v>
          </cell>
          <cell r="E17">
            <v>0.6</v>
          </cell>
          <cell r="F17">
            <v>0.1</v>
          </cell>
          <cell r="G17">
            <v>4.9000000000000004</v>
          </cell>
          <cell r="H17">
            <v>1.5435000000000001</v>
          </cell>
          <cell r="I17">
            <v>2.2050000000000001</v>
          </cell>
          <cell r="J17">
            <v>8.5750000000000007E-2</v>
          </cell>
          <cell r="K17">
            <v>5.88</v>
          </cell>
          <cell r="L17">
            <v>0.73499999999999999</v>
          </cell>
        </row>
        <row r="18">
          <cell r="B18">
            <v>1</v>
          </cell>
          <cell r="C18">
            <v>0.2</v>
          </cell>
          <cell r="D18">
            <v>0.2</v>
          </cell>
          <cell r="E18">
            <v>0.6</v>
          </cell>
          <cell r="F18">
            <v>0.1</v>
          </cell>
          <cell r="G18">
            <v>7.9049999999999994</v>
          </cell>
          <cell r="H18">
            <v>2.2133999999999996</v>
          </cell>
          <cell r="I18">
            <v>3.1619999999999999</v>
          </cell>
          <cell r="J18">
            <v>0.11857500000000001</v>
          </cell>
          <cell r="K18">
            <v>9.4859999999999989</v>
          </cell>
          <cell r="L18">
            <v>0.94859999999999989</v>
          </cell>
        </row>
        <row r="19">
          <cell r="B19">
            <v>1</v>
          </cell>
          <cell r="C19">
            <v>0.4</v>
          </cell>
          <cell r="D19">
            <v>0.2</v>
          </cell>
          <cell r="E19">
            <v>0.6</v>
          </cell>
          <cell r="F19">
            <v>0.1</v>
          </cell>
          <cell r="G19">
            <v>3.5</v>
          </cell>
          <cell r="H19">
            <v>1.4700000000000002</v>
          </cell>
          <cell r="I19">
            <v>2.1000000000000005</v>
          </cell>
          <cell r="J19">
            <v>8.7500000000000008E-2</v>
          </cell>
          <cell r="K19">
            <v>4.2</v>
          </cell>
          <cell r="L19">
            <v>0.84</v>
          </cell>
        </row>
        <row r="20">
          <cell r="B20">
            <v>1</v>
          </cell>
          <cell r="C20">
            <v>0.25</v>
          </cell>
          <cell r="D20">
            <v>0.2</v>
          </cell>
          <cell r="E20">
            <v>0.6</v>
          </cell>
          <cell r="F20">
            <v>0.1</v>
          </cell>
          <cell r="G20">
            <v>7.9249999999999989</v>
          </cell>
          <cell r="H20">
            <v>2.4963749999999996</v>
          </cell>
          <cell r="I20">
            <v>3.5662499999999997</v>
          </cell>
          <cell r="J20">
            <v>0.13868749999999996</v>
          </cell>
          <cell r="K20">
            <v>9.509999999999998</v>
          </cell>
          <cell r="L20">
            <v>1.1887499999999998</v>
          </cell>
        </row>
        <row r="21">
          <cell r="B21">
            <v>1</v>
          </cell>
          <cell r="C21">
            <v>0.2</v>
          </cell>
          <cell r="D21">
            <v>0.2</v>
          </cell>
          <cell r="E21">
            <v>0.5</v>
          </cell>
          <cell r="F21">
            <v>0.1</v>
          </cell>
          <cell r="G21">
            <v>7.3</v>
          </cell>
          <cell r="H21">
            <v>1.752</v>
          </cell>
          <cell r="I21">
            <v>2.92</v>
          </cell>
          <cell r="J21">
            <v>0.10950000000000003</v>
          </cell>
          <cell r="K21">
            <v>7.3</v>
          </cell>
          <cell r="L21">
            <v>0.73</v>
          </cell>
        </row>
        <row r="22">
          <cell r="B22">
            <v>1</v>
          </cell>
          <cell r="C22">
            <v>0.25</v>
          </cell>
          <cell r="D22">
            <v>0.2</v>
          </cell>
          <cell r="E22">
            <v>0.6</v>
          </cell>
          <cell r="F22">
            <v>0.1</v>
          </cell>
          <cell r="G22">
            <v>7.85</v>
          </cell>
          <cell r="H22">
            <v>2.47275</v>
          </cell>
          <cell r="I22">
            <v>3.5324999999999998</v>
          </cell>
          <cell r="J22">
            <v>0.137375</v>
          </cell>
          <cell r="K22">
            <v>9.42</v>
          </cell>
          <cell r="L22">
            <v>1.1775</v>
          </cell>
        </row>
        <row r="23">
          <cell r="B23">
            <v>1</v>
          </cell>
          <cell r="C23">
            <v>0.2</v>
          </cell>
          <cell r="D23">
            <v>0.2</v>
          </cell>
          <cell r="E23">
            <v>0.6</v>
          </cell>
          <cell r="F23">
            <v>0.1</v>
          </cell>
          <cell r="G23">
            <v>7.9249999999999989</v>
          </cell>
          <cell r="H23">
            <v>2.2189999999999994</v>
          </cell>
          <cell r="I23">
            <v>3.17</v>
          </cell>
          <cell r="J23">
            <v>0.11887500000000001</v>
          </cell>
          <cell r="K23">
            <v>9.509999999999998</v>
          </cell>
          <cell r="L23">
            <v>0.95099999999999985</v>
          </cell>
        </row>
        <row r="24">
          <cell r="B24">
            <v>1</v>
          </cell>
          <cell r="C24">
            <v>0.3</v>
          </cell>
          <cell r="D24">
            <v>0.2</v>
          </cell>
          <cell r="E24">
            <v>0.5</v>
          </cell>
          <cell r="F24">
            <v>0.1</v>
          </cell>
          <cell r="G24">
            <v>3.6</v>
          </cell>
          <cell r="H24">
            <v>1.08</v>
          </cell>
          <cell r="I24">
            <v>1.8</v>
          </cell>
          <cell r="J24">
            <v>7.2000000000000008E-2</v>
          </cell>
          <cell r="K24">
            <v>3.6</v>
          </cell>
          <cell r="L24">
            <v>0.54</v>
          </cell>
        </row>
        <row r="25">
          <cell r="H25">
            <v>0</v>
          </cell>
          <cell r="I25">
            <v>0</v>
          </cell>
          <cell r="J25">
            <v>0</v>
          </cell>
          <cell r="K25">
            <v>0</v>
          </cell>
          <cell r="L25">
            <v>0</v>
          </cell>
        </row>
        <row r="26">
          <cell r="H26">
            <v>29.741640000000004</v>
          </cell>
          <cell r="I26">
            <v>46.0824</v>
          </cell>
          <cell r="J26">
            <v>1.734005</v>
          </cell>
          <cell r="K26">
            <v>123.48899999999998</v>
          </cell>
          <cell r="L26">
            <v>12.784500000000001</v>
          </cell>
        </row>
        <row r="28">
          <cell r="K28" t="str">
            <v xml:space="preserve"> (C/REL A AREA CONSTR)</v>
          </cell>
        </row>
        <row r="30">
          <cell r="C30">
            <v>29.741640000000004</v>
          </cell>
          <cell r="D30" t="str">
            <v>M3</v>
          </cell>
          <cell r="I30">
            <v>2.3263827290860029</v>
          </cell>
          <cell r="J30" t="str">
            <v>M3/M3</v>
          </cell>
          <cell r="K30">
            <v>4.1831894005457261E-2</v>
          </cell>
          <cell r="L30" t="str">
            <v>M3/M2</v>
          </cell>
        </row>
        <row r="31">
          <cell r="C31">
            <v>46.0824</v>
          </cell>
          <cell r="D31" t="str">
            <v>M2</v>
          </cell>
          <cell r="I31">
            <v>3.6045523876569279</v>
          </cell>
          <cell r="J31" t="str">
            <v>M2/M3</v>
          </cell>
          <cell r="K31">
            <v>6.481532532560691E-2</v>
          </cell>
          <cell r="L31" t="str">
            <v>M2/M2</v>
          </cell>
        </row>
        <row r="32">
          <cell r="C32">
            <v>1.734005</v>
          </cell>
          <cell r="D32" t="str">
            <v>M3</v>
          </cell>
          <cell r="I32">
            <v>0.13563338417615078</v>
          </cell>
          <cell r="J32" t="str">
            <v>M3/M3</v>
          </cell>
          <cell r="K32">
            <v>2.4388942023685616E-3</v>
          </cell>
          <cell r="L32" t="str">
            <v>M3/M2</v>
          </cell>
        </row>
        <row r="33">
          <cell r="C33">
            <v>123.48899999999998</v>
          </cell>
          <cell r="D33" t="str">
            <v>M2</v>
          </cell>
          <cell r="I33">
            <v>9.6592749032030945</v>
          </cell>
          <cell r="J33" t="str">
            <v>M2/M3</v>
          </cell>
          <cell r="K33">
            <v>0.17368843005429122</v>
          </cell>
          <cell r="L33" t="str">
            <v>M2/M2</v>
          </cell>
        </row>
        <row r="34">
          <cell r="C34">
            <v>12.784500000000001</v>
          </cell>
          <cell r="D34" t="str">
            <v>M3</v>
          </cell>
          <cell r="I34" t="str">
            <v xml:space="preserve">      -</v>
          </cell>
          <cell r="K34">
            <v>1.7981518467467442E-2</v>
          </cell>
          <cell r="L34" t="str">
            <v>M3/M2</v>
          </cell>
        </row>
        <row r="35">
          <cell r="C35">
            <v>1294</v>
          </cell>
          <cell r="D35" t="str">
            <v>KG</v>
          </cell>
          <cell r="I35">
            <v>101.21631663342328</v>
          </cell>
          <cell r="J35" t="str">
            <v>KG/M3</v>
          </cell>
          <cell r="K35">
            <v>1.8200230667529325</v>
          </cell>
        </row>
        <row r="36">
          <cell r="C36">
            <v>16.914594444444447</v>
          </cell>
          <cell r="D36" t="str">
            <v>M3</v>
          </cell>
          <cell r="I36">
            <v>1.3230548276776131</v>
          </cell>
          <cell r="J36" t="str">
            <v>M3/M3</v>
          </cell>
          <cell r="K36">
            <v>2.3790534817356952E-2</v>
          </cell>
          <cell r="L36" t="str">
            <v>M3/M2</v>
          </cell>
        </row>
        <row r="37">
          <cell r="C37">
            <v>16.675159222222224</v>
          </cell>
          <cell r="D37" t="str">
            <v>M3</v>
          </cell>
          <cell r="I37">
            <v>1.3043262718309063</v>
          </cell>
          <cell r="J37" t="str">
            <v>M3/M3</v>
          </cell>
          <cell r="K37">
            <v>2.3453766944530399E-2</v>
          </cell>
          <cell r="L37" t="str">
            <v>M3/M2</v>
          </cell>
        </row>
        <row r="38">
          <cell r="C38">
            <v>710.98</v>
          </cell>
          <cell r="D38" t="str">
            <v>M2</v>
          </cell>
        </row>
      </sheetData>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DOS (F)"/>
      <sheetName val="Lista Amoras"/>
      <sheetName val="QCI "/>
      <sheetName val="RESUMO"/>
      <sheetName val="ORÇAMENTO (F)"/>
      <sheetName val="ORÇAMENTO"/>
      <sheetName val="CRONOGRAMA GERAL"/>
      <sheetName val="MC-DRE"/>
      <sheetName val="MC-TER"/>
      <sheetName val="MC-PAV e DREN SUPER"/>
      <sheetName val="MC- URBANIZAÇÃO "/>
      <sheetName val="MC-SINALIZAÇÃO"/>
      <sheetName val="DADOS PROJETO ÁGUA"/>
      <sheetName val="MC - ÁGUA PARTE 1"/>
      <sheetName val="MC ÁGUA PARTE 2"/>
      <sheetName val="MC-PONTE"/>
      <sheetName val="Orç PONTE"/>
      <sheetName val="CPU I"/>
      <sheetName val="CPU Ia"/>
      <sheetName val="CPU II"/>
      <sheetName val="CPU III"/>
      <sheetName val="CPU IV"/>
      <sheetName val="CPU V"/>
      <sheetName val="CPU VI"/>
      <sheetName val="CPU-VII"/>
      <sheetName val="CPU VII"/>
      <sheetName val="CPU VIII"/>
      <sheetName val="CPU IX"/>
      <sheetName val="LS"/>
      <sheetName val="BDI"/>
      <sheetName val="BDI EQUIPAMENTO"/>
      <sheetName val="BDI PTS"/>
      <sheetName val="CPU-cbuq"/>
      <sheetName val="PV PARA REDE 600"/>
    </sheetNames>
    <sheetDataSet>
      <sheetData sheetId="0"/>
      <sheetData sheetId="1"/>
      <sheetData sheetId="2">
        <row r="13">
          <cell r="E13">
            <v>610907.1</v>
          </cell>
        </row>
        <row r="20">
          <cell r="E20">
            <v>4550986.97</v>
          </cell>
        </row>
        <row r="103">
          <cell r="E103">
            <v>61000.38</v>
          </cell>
        </row>
        <row r="127">
          <cell r="E127">
            <v>1896945.84</v>
          </cell>
        </row>
        <row r="139">
          <cell r="E139">
            <v>5534652.0700000003</v>
          </cell>
        </row>
        <row r="160">
          <cell r="E160">
            <v>2573046.19</v>
          </cell>
        </row>
        <row r="162">
          <cell r="E162">
            <v>3268381.1</v>
          </cell>
        </row>
        <row r="164">
          <cell r="E164">
            <v>189050.75</v>
          </cell>
        </row>
        <row r="166">
          <cell r="E166">
            <v>7600.11</v>
          </cell>
        </row>
        <row r="172">
          <cell r="E172">
            <v>37575.599999999999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de projeto"/>
      <sheetName val="dimensionamento"/>
    </sheetNames>
    <sheetDataSet>
      <sheetData sheetId="0">
        <row r="5">
          <cell r="D5">
            <v>1.2</v>
          </cell>
        </row>
        <row r="6">
          <cell r="D6">
            <v>1.5</v>
          </cell>
        </row>
        <row r="7">
          <cell r="D7">
            <v>200</v>
          </cell>
        </row>
        <row r="8">
          <cell r="D8">
            <v>130</v>
          </cell>
        </row>
        <row r="9">
          <cell r="D9">
            <v>140</v>
          </cell>
        </row>
        <row r="10">
          <cell r="D10">
            <v>1</v>
          </cell>
        </row>
        <row r="11">
          <cell r="D11">
            <v>16</v>
          </cell>
        </row>
        <row r="12">
          <cell r="D12">
            <v>3</v>
          </cell>
        </row>
        <row r="14">
          <cell r="D14">
            <v>3210</v>
          </cell>
        </row>
        <row r="15">
          <cell r="D15">
            <v>3</v>
          </cell>
        </row>
      </sheetData>
      <sheetData sheetId="1">
        <row r="30">
          <cell r="C30">
            <v>3210</v>
          </cell>
        </row>
        <row r="31">
          <cell r="C31">
            <v>3306.3</v>
          </cell>
        </row>
        <row r="32">
          <cell r="C32">
            <v>3405.4890000000005</v>
          </cell>
        </row>
        <row r="33">
          <cell r="C33">
            <v>3507.6536700000006</v>
          </cell>
        </row>
        <row r="34">
          <cell r="C34">
            <v>3612.8832801000008</v>
          </cell>
        </row>
        <row r="35">
          <cell r="C35">
            <v>3721.2697785030009</v>
          </cell>
        </row>
        <row r="36">
          <cell r="C36">
            <v>3832.9078718580909</v>
          </cell>
        </row>
        <row r="37">
          <cell r="C37">
            <v>3947.8951080138336</v>
          </cell>
        </row>
        <row r="38">
          <cell r="C38">
            <v>4066.3319612542487</v>
          </cell>
        </row>
        <row r="39">
          <cell r="C39">
            <v>4188.3219200918766</v>
          </cell>
        </row>
        <row r="40">
          <cell r="C40">
            <v>4313.9715776946332</v>
          </cell>
        </row>
        <row r="41">
          <cell r="C41">
            <v>4443.3907250254724</v>
          </cell>
        </row>
        <row r="42">
          <cell r="C42">
            <v>4576.6924467762365</v>
          </cell>
        </row>
        <row r="43">
          <cell r="C43">
            <v>4713.9932201795236</v>
          </cell>
        </row>
        <row r="44">
          <cell r="C44">
            <v>4855.4130167849098</v>
          </cell>
        </row>
        <row r="45">
          <cell r="C45">
            <v>5001.0754072884574</v>
          </cell>
        </row>
      </sheetData>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umo Geral "/>
      <sheetName val="Plan Licit VI"/>
      <sheetName val="Plan Licit 40H"/>
      <sheetName val="Cron VI"/>
      <sheetName val="Cron 40H"/>
      <sheetName val="B.D.I"/>
      <sheetName val="ENCARGOS "/>
      <sheetName val="Composição1"/>
      <sheetName val="Composição1a"/>
      <sheetName val="Composição2"/>
      <sheetName val="Composição3"/>
      <sheetName val="Composição3a"/>
      <sheetName val="Composição4"/>
      <sheetName val="Composição4a"/>
      <sheetName val="Composição5"/>
      <sheetName val="Composição6"/>
      <sheetName val="Composição7"/>
      <sheetName val="Composição8"/>
      <sheetName val="Composição9"/>
      <sheetName val="Composição10"/>
    </sheetNames>
    <sheetDataSet>
      <sheetData sheetId="0"/>
      <sheetData sheetId="1"/>
      <sheetData sheetId="2"/>
      <sheetData sheetId="3"/>
      <sheetData sheetId="4"/>
      <sheetData sheetId="5">
        <row r="22">
          <cell r="J22">
            <v>0.27457229088975987</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ição ORSE"/>
    </sheetNames>
    <sheetDataSet>
      <sheetData sheetId="0" refreshError="1">
        <row r="12">
          <cell r="H12" t="str">
            <v xml:space="preserve"> 0,0059524</v>
          </cell>
        </row>
        <row r="20">
          <cell r="H20" t="str">
            <v xml:space="preserve"> 0,0178571</v>
          </cell>
        </row>
      </sheetData>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DOS"/>
      <sheetName val="ORÇAMENTO"/>
      <sheetName val="MC-DRE"/>
      <sheetName val="MC-TER"/>
      <sheetName val="MC-PAV"/>
      <sheetName val="CRONOGRAMA"/>
      <sheetName val="Planilha1"/>
      <sheetName val="Planilha2"/>
      <sheetName val="Planilha3"/>
      <sheetName val="Planilha4"/>
      <sheetName val="Planilha5"/>
      <sheetName val="Planilha6"/>
      <sheetName val="CPU-VII"/>
      <sheetName val="Planilha7"/>
      <sheetName val="Planilha8"/>
      <sheetName val="LS"/>
      <sheetName val="BDI"/>
      <sheetName val="CPU-cbuq"/>
      <sheetName val="PV PARA REDE 600"/>
    </sheetNames>
    <sheetDataSet>
      <sheetData sheetId="0"/>
      <sheetData sheetId="1">
        <row r="9">
          <cell r="D9" t="str">
            <v>EXECUÇÃO DOS SERVIÇOS DE INFRAESTRUTURA NO UNA/ATALAIA/JADERLÂNDIA  - NO MUNICÍPIO DE ANANINDEUA - PA.</v>
          </cell>
        </row>
        <row r="104">
          <cell r="F104" t="str">
            <v>Recuperação de PV´s ou Caixas de águas pluviais para bueiros simples</v>
          </cell>
        </row>
        <row r="105">
          <cell r="F105" t="str">
            <v>Recuperação de BL´s simples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KsKr"/>
      <sheetName val="Etapa Única"/>
      <sheetName val="Trans.2o. trecho"/>
      <sheetName val="ETA-Mat"/>
      <sheetName val="INCCTOT"/>
      <sheetName val="Jacaraci"/>
      <sheetName val="Demanda-Total"/>
      <sheetName val="V reservação"/>
      <sheetName val="Pre dimensADUTORA"/>
      <sheetName val="Lista"/>
      <sheetName val="Zona A"/>
      <sheetName val="Zona B"/>
      <sheetName val="EEAB1(3+1)3G"/>
    </sheetNames>
    <sheetDataSet>
      <sheetData sheetId="0" refreshError="1"/>
      <sheetData sheetId="1" refreshError="1"/>
      <sheetData sheetId="2" refreshError="1">
        <row r="125">
          <cell r="C125">
            <v>15.399999999999977</v>
          </cell>
          <cell r="E125">
            <v>19.659999999999968</v>
          </cell>
        </row>
        <row r="126">
          <cell r="C126">
            <v>15.542336341085161</v>
          </cell>
          <cell r="E126">
            <v>19.802336341085152</v>
          </cell>
        </row>
        <row r="127">
          <cell r="C127">
            <v>16.257148068197694</v>
          </cell>
          <cell r="E127">
            <v>20.517148068197685</v>
          </cell>
        </row>
        <row r="128">
          <cell r="C128">
            <v>17.518811323131445</v>
          </cell>
          <cell r="E128">
            <v>21.778811323131436</v>
          </cell>
        </row>
        <row r="129">
          <cell r="C129">
            <v>19.303780580867624</v>
          </cell>
          <cell r="E129">
            <v>23.563780580867615</v>
          </cell>
        </row>
        <row r="130">
          <cell r="C130">
            <v>21.598989322352281</v>
          </cell>
          <cell r="E130">
            <v>25.858989322352272</v>
          </cell>
        </row>
        <row r="131">
          <cell r="C131">
            <v>24.396686091835932</v>
          </cell>
          <cell r="E131">
            <v>28.656686091835923</v>
          </cell>
        </row>
        <row r="132">
          <cell r="C132">
            <v>27.42734006018452</v>
          </cell>
          <cell r="E132">
            <v>31.687340060184511</v>
          </cell>
        </row>
        <row r="133">
          <cell r="C133">
            <v>31.13573066002607</v>
          </cell>
          <cell r="E133">
            <v>35.395730660026061</v>
          </cell>
        </row>
        <row r="134">
          <cell r="C134">
            <v>35.325379219265528</v>
          </cell>
          <cell r="E134">
            <v>39.585379219265519</v>
          </cell>
        </row>
      </sheetData>
      <sheetData sheetId="3" refreshError="1"/>
      <sheetData sheetId="4" refreshError="1"/>
      <sheetData sheetId="5" refreshError="1"/>
      <sheetData sheetId="6"/>
      <sheetData sheetId="7"/>
      <sheetData sheetId="8"/>
      <sheetData sheetId="9"/>
      <sheetData sheetId="10"/>
      <sheetData sheetId="11"/>
      <sheetData sheetId="12"/>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ual"/>
      <sheetName val="Prazo OKOK"/>
      <sheetName val="Prazo OKOK (2)"/>
      <sheetName val="Feriados"/>
      <sheetName val="Prazo OK (2)"/>
      <sheetName val="Prazo OK (3)"/>
      <sheetName val="Prazo OK"/>
      <sheetName val="Calendário Normal"/>
      <sheetName val="Plan2"/>
      <sheetName val="Plan3"/>
    </sheetNames>
    <sheetDataSet>
      <sheetData sheetId="0"/>
      <sheetData sheetId="1" refreshError="1"/>
      <sheetData sheetId="2" refreshError="1"/>
      <sheetData sheetId="3"/>
      <sheetData sheetId="4" refreshError="1"/>
      <sheetData sheetId="5" refreshError="1"/>
      <sheetData sheetId="6"/>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comp"/>
    </sheetNames>
    <sheetDataSet>
      <sheetData sheetId="0"/>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8" Type="http://schemas.openxmlformats.org/officeDocument/2006/relationships/oleObject" Target="../embeddings/oleObject4.bin"/><Relationship Id="rId3" Type="http://schemas.openxmlformats.org/officeDocument/2006/relationships/oleObject" Target="../embeddings/oleObject1.bin"/><Relationship Id="rId7" Type="http://schemas.openxmlformats.org/officeDocument/2006/relationships/image" Target="../media/image5.wmf"/><Relationship Id="rId2" Type="http://schemas.openxmlformats.org/officeDocument/2006/relationships/vmlDrawing" Target="../drawings/vmlDrawing4.vml"/><Relationship Id="rId1" Type="http://schemas.openxmlformats.org/officeDocument/2006/relationships/drawing" Target="../drawings/drawing12.xml"/><Relationship Id="rId6" Type="http://schemas.openxmlformats.org/officeDocument/2006/relationships/oleObject" Target="../embeddings/oleObject3.bin"/><Relationship Id="rId5" Type="http://schemas.openxmlformats.org/officeDocument/2006/relationships/oleObject" Target="../embeddings/oleObject2.bin"/><Relationship Id="rId4" Type="http://schemas.openxmlformats.org/officeDocument/2006/relationships/image" Target="../media/image4.emf"/></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3.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5.x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0.xml"/><Relationship Id="rId1" Type="http://schemas.openxmlformats.org/officeDocument/2006/relationships/printerSettings" Target="../printerSettings/printerSettings18.bin"/><Relationship Id="rId4" Type="http://schemas.openxmlformats.org/officeDocument/2006/relationships/comments" Target="../comments6.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8.xml"/><Relationship Id="rId1" Type="http://schemas.openxmlformats.org/officeDocument/2006/relationships/printerSettings" Target="../printerSettings/printerSettings25.bin"/><Relationship Id="rId4" Type="http://schemas.openxmlformats.org/officeDocument/2006/relationships/comments" Target="../comments7.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app.orcafascio.com/orc/orcamentos/65dcd4ef3ada2806031d3b4e/composicoes/664b66308a85cb0b9b92b720"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2">
    <tabColor rgb="FF92D050"/>
    <pageSetUpPr fitToPage="1"/>
  </sheetPr>
  <dimension ref="A1:U97"/>
  <sheetViews>
    <sheetView view="pageBreakPreview" topLeftCell="A34" zoomScale="39" zoomScaleNormal="100" zoomScaleSheetLayoutView="39" workbookViewId="0">
      <selection activeCell="AF90" sqref="AF90"/>
    </sheetView>
  </sheetViews>
  <sheetFormatPr defaultColWidth="9.140625" defaultRowHeight="17.25"/>
  <cols>
    <col min="1" max="1" width="10.140625" style="256" customWidth="1"/>
    <col min="2" max="2" width="24" style="256" customWidth="1"/>
    <col min="3" max="3" width="25.7109375" style="256" hidden="1" customWidth="1"/>
    <col min="4" max="5" width="20.7109375" style="256" customWidth="1"/>
    <col min="6" max="9" width="15.7109375" style="256" customWidth="1"/>
    <col min="10" max="10" width="18.28515625" style="256" customWidth="1"/>
    <col min="11" max="11" width="18.5703125" style="256" customWidth="1"/>
    <col min="12" max="12" width="18.42578125" style="256" customWidth="1"/>
    <col min="13" max="13" width="19.85546875" style="256" customWidth="1"/>
    <col min="14" max="14" width="21.140625" style="256" customWidth="1"/>
    <col min="15" max="15" width="24.85546875" style="256" customWidth="1"/>
    <col min="16" max="17" width="20.140625" style="256" customWidth="1"/>
    <col min="18" max="18" width="19.42578125" style="256" customWidth="1"/>
    <col min="19" max="19" width="17.7109375" style="256" bestFit="1" customWidth="1"/>
    <col min="20" max="20" width="15.42578125" style="256" bestFit="1" customWidth="1"/>
    <col min="21" max="21" width="13.85546875" style="256" bestFit="1" customWidth="1"/>
    <col min="22" max="16384" width="9.140625" style="256"/>
  </cols>
  <sheetData>
    <row r="1" spans="1:21" ht="15" customHeight="1">
      <c r="A1" s="1431"/>
      <c r="B1" s="1432"/>
      <c r="C1" s="1432"/>
      <c r="D1" s="1432"/>
      <c r="E1" s="1432"/>
      <c r="F1" s="1432"/>
      <c r="G1" s="1432"/>
      <c r="H1" s="1432"/>
      <c r="I1" s="1432"/>
      <c r="J1" s="1432"/>
      <c r="K1" s="1432"/>
      <c r="L1" s="1432"/>
      <c r="M1" s="1432"/>
      <c r="N1" s="1432"/>
      <c r="O1" s="1432"/>
      <c r="P1" s="1432"/>
      <c r="Q1" s="1432"/>
      <c r="R1" s="1433"/>
    </row>
    <row r="2" spans="1:21" ht="15" customHeight="1">
      <c r="A2" s="1434"/>
      <c r="B2" s="1435"/>
      <c r="C2" s="1435"/>
      <c r="D2" s="1435"/>
      <c r="E2" s="1435"/>
      <c r="F2" s="1435"/>
      <c r="G2" s="1435"/>
      <c r="H2" s="1435"/>
      <c r="I2" s="1435"/>
      <c r="J2" s="1435"/>
      <c r="K2" s="1435"/>
      <c r="L2" s="1435"/>
      <c r="M2" s="1435"/>
      <c r="N2" s="1435"/>
      <c r="O2" s="1435"/>
      <c r="P2" s="1435"/>
      <c r="Q2" s="1435"/>
      <c r="R2" s="1436"/>
    </row>
    <row r="3" spans="1:21" ht="15" customHeight="1">
      <c r="A3" s="1421"/>
      <c r="B3" s="1422"/>
      <c r="C3" s="1422"/>
      <c r="D3" s="1422"/>
      <c r="E3" s="1422"/>
      <c r="F3" s="1422"/>
      <c r="G3" s="1422"/>
      <c r="H3" s="1422"/>
      <c r="I3" s="1422"/>
      <c r="J3" s="1422"/>
      <c r="K3" s="1422"/>
      <c r="L3" s="1422"/>
      <c r="M3" s="1422"/>
      <c r="N3" s="1422"/>
      <c r="O3" s="1422"/>
      <c r="P3" s="1422"/>
      <c r="Q3" s="1422"/>
      <c r="R3" s="1423"/>
    </row>
    <row r="4" spans="1:21" ht="15" customHeight="1">
      <c r="A4" s="1421"/>
      <c r="B4" s="1422"/>
      <c r="C4" s="1422"/>
      <c r="D4" s="1422"/>
      <c r="E4" s="1422"/>
      <c r="F4" s="1422"/>
      <c r="G4" s="1422"/>
      <c r="H4" s="1422"/>
      <c r="I4" s="1422"/>
      <c r="J4" s="1422"/>
      <c r="K4" s="1422"/>
      <c r="L4" s="1422"/>
      <c r="M4" s="1422"/>
      <c r="N4" s="1422"/>
      <c r="O4" s="1422"/>
      <c r="P4" s="1422"/>
      <c r="Q4" s="1422"/>
      <c r="R4" s="1423"/>
    </row>
    <row r="5" spans="1:21" ht="24.75" customHeight="1">
      <c r="A5" s="1434" t="s">
        <v>17</v>
      </c>
      <c r="B5" s="1435"/>
      <c r="C5" s="1435"/>
      <c r="D5" s="1435"/>
      <c r="E5" s="1435"/>
      <c r="F5" s="1435"/>
      <c r="G5" s="1435"/>
      <c r="H5" s="1435"/>
      <c r="I5" s="1435"/>
      <c r="J5" s="1435"/>
      <c r="K5" s="1435"/>
      <c r="L5" s="1435"/>
      <c r="M5" s="1435"/>
      <c r="N5" s="1435"/>
      <c r="O5" s="1435"/>
      <c r="P5" s="1435"/>
      <c r="Q5" s="1435"/>
      <c r="R5" s="1436"/>
    </row>
    <row r="6" spans="1:21" ht="15" customHeight="1">
      <c r="A6" s="1421" t="s">
        <v>185</v>
      </c>
      <c r="B6" s="1422"/>
      <c r="C6" s="1422"/>
      <c r="D6" s="1422"/>
      <c r="E6" s="1422"/>
      <c r="F6" s="1422"/>
      <c r="G6" s="1422"/>
      <c r="H6" s="1422"/>
      <c r="I6" s="1422"/>
      <c r="J6" s="1422"/>
      <c r="K6" s="1422"/>
      <c r="L6" s="1422"/>
      <c r="M6" s="1422"/>
      <c r="N6" s="1422"/>
      <c r="O6" s="1422"/>
      <c r="P6" s="1422"/>
      <c r="Q6" s="1422"/>
      <c r="R6" s="1423"/>
    </row>
    <row r="7" spans="1:21" ht="15" customHeight="1">
      <c r="A7" s="1421" t="s">
        <v>16</v>
      </c>
      <c r="B7" s="1422"/>
      <c r="C7" s="1422"/>
      <c r="D7" s="1422"/>
      <c r="E7" s="1422"/>
      <c r="F7" s="1422"/>
      <c r="G7" s="1422"/>
      <c r="H7" s="1422"/>
      <c r="I7" s="1422"/>
      <c r="J7" s="1422"/>
      <c r="K7" s="1422"/>
      <c r="L7" s="1422"/>
      <c r="M7" s="1422"/>
      <c r="N7" s="1422"/>
      <c r="O7" s="1422"/>
      <c r="P7" s="1422"/>
      <c r="Q7" s="1422"/>
      <c r="R7" s="1423"/>
    </row>
    <row r="8" spans="1:21" ht="15" customHeight="1" thickBot="1">
      <c r="A8" s="935"/>
      <c r="B8" s="257"/>
      <c r="C8" s="257"/>
      <c r="D8" s="257"/>
      <c r="E8" s="257"/>
      <c r="F8" s="257"/>
      <c r="G8" s="257"/>
      <c r="H8" s="257"/>
      <c r="I8" s="257"/>
      <c r="J8" s="257"/>
      <c r="K8" s="257"/>
      <c r="L8" s="257"/>
      <c r="M8" s="257"/>
      <c r="N8" s="257"/>
      <c r="O8" s="257"/>
      <c r="P8" s="257"/>
      <c r="Q8" s="257"/>
      <c r="R8" s="936"/>
    </row>
    <row r="9" spans="1:21" ht="39" customHeight="1" thickTop="1" thickBot="1">
      <c r="A9" s="1424" t="s">
        <v>459</v>
      </c>
      <c r="B9" s="1425"/>
      <c r="C9" s="1425"/>
      <c r="D9" s="1425"/>
      <c r="E9" s="1425"/>
      <c r="F9" s="1425"/>
      <c r="G9" s="1425"/>
      <c r="H9" s="1425"/>
      <c r="I9" s="1425"/>
      <c r="J9" s="1425"/>
      <c r="K9" s="1425"/>
      <c r="L9" s="1425"/>
      <c r="M9" s="1425"/>
      <c r="N9" s="1425"/>
      <c r="O9" s="1425"/>
      <c r="P9" s="1425"/>
      <c r="Q9" s="1425"/>
      <c r="R9" s="1426"/>
    </row>
    <row r="10" spans="1:21" ht="35.25" customHeight="1" thickTop="1">
      <c r="A10" s="1427" t="str">
        <f>ORÇAMENTO!D9</f>
        <v>SISTEMA DE SANEAMENTO INTEGRADO NO BAIRRO DO ICUÍ: ABASTECIMENTO DE ÁGUA, DRENAGEM URBANA E MANEJO DE ÁGUAS PLUVIAIS E PAVIMENTAÇÃO NO MUNICÍPIO DE ANANINDEUA/ PA</v>
      </c>
      <c r="B10" s="1428"/>
      <c r="C10" s="1428"/>
      <c r="D10" s="1428"/>
      <c r="E10" s="1428"/>
      <c r="F10" s="1428"/>
      <c r="G10" s="1428"/>
      <c r="H10" s="1428"/>
      <c r="I10" s="1428"/>
      <c r="J10" s="1428"/>
      <c r="K10" s="1428"/>
      <c r="L10" s="1428"/>
      <c r="M10" s="1428"/>
      <c r="N10" s="1428"/>
      <c r="O10" s="1428"/>
      <c r="P10" s="1428"/>
      <c r="Q10" s="1428"/>
      <c r="R10" s="1429"/>
    </row>
    <row r="11" spans="1:21" ht="51.75">
      <c r="A11" s="472" t="s">
        <v>6</v>
      </c>
      <c r="B11" s="472" t="s">
        <v>617</v>
      </c>
      <c r="C11" s="472" t="s">
        <v>298</v>
      </c>
      <c r="D11" s="472" t="s">
        <v>299</v>
      </c>
      <c r="E11" s="472" t="s">
        <v>618</v>
      </c>
      <c r="F11" s="472" t="s">
        <v>316</v>
      </c>
      <c r="G11" s="472" t="s">
        <v>296</v>
      </c>
      <c r="H11" s="472" t="s">
        <v>970</v>
      </c>
      <c r="I11" s="472" t="s">
        <v>618</v>
      </c>
      <c r="J11" s="472" t="s">
        <v>1</v>
      </c>
      <c r="K11" s="472" t="s">
        <v>454</v>
      </c>
      <c r="L11" s="472" t="s">
        <v>457</v>
      </c>
      <c r="M11" s="472" t="s">
        <v>456</v>
      </c>
      <c r="N11" s="472" t="s">
        <v>584</v>
      </c>
      <c r="O11" s="472" t="s">
        <v>455</v>
      </c>
      <c r="P11" s="472" t="s">
        <v>10</v>
      </c>
      <c r="Q11" s="472" t="s">
        <v>927</v>
      </c>
      <c r="R11" s="472" t="s">
        <v>21</v>
      </c>
    </row>
    <row r="12" spans="1:21" s="252" customFormat="1" ht="39.950000000000003" customHeight="1">
      <c r="A12" s="937">
        <f>'Lista Amoras'!A6</f>
        <v>1</v>
      </c>
      <c r="B12" s="589" t="str">
        <f>'Lista Amoras'!B6</f>
        <v>R. DA PUPUNHEIRA</v>
      </c>
      <c r="C12" s="255" t="e">
        <f>#REF!</f>
        <v>#REF!</v>
      </c>
      <c r="D12" s="248" t="str">
        <f>'Lista Amoras'!D6</f>
        <v>ICUÍ LARANJEIRA</v>
      </c>
      <c r="E12" s="248" t="str">
        <f>'Lista Amoras'!E6</f>
        <v>PISCINÃO</v>
      </c>
      <c r="F12" s="249">
        <f>'Lista Amoras'!F6</f>
        <v>302</v>
      </c>
      <c r="G12" s="250">
        <f>'Lista Amoras'!G6</f>
        <v>4</v>
      </c>
      <c r="H12" s="250">
        <f>'Lista Amoras'!H6</f>
        <v>4</v>
      </c>
      <c r="I12" s="250">
        <f>F12*G12</f>
        <v>1208</v>
      </c>
      <c r="J12" s="251"/>
      <c r="K12" s="251"/>
      <c r="L12" s="251"/>
      <c r="M12" s="251"/>
      <c r="N12" s="251"/>
      <c r="O12" s="251"/>
      <c r="P12" s="251"/>
      <c r="Q12" s="251"/>
      <c r="R12" s="938"/>
      <c r="T12" s="253"/>
      <c r="U12" s="254"/>
    </row>
    <row r="13" spans="1:21" s="252" customFormat="1" ht="39.950000000000003" customHeight="1">
      <c r="A13" s="937">
        <f>'Lista Amoras'!A7</f>
        <v>2</v>
      </c>
      <c r="B13" s="589" t="str">
        <f>'Lista Amoras'!B7</f>
        <v>R. TANGERINA</v>
      </c>
      <c r="C13" s="255" t="e">
        <f>#REF!</f>
        <v>#REF!</v>
      </c>
      <c r="D13" s="248" t="str">
        <f>'Lista Amoras'!D7</f>
        <v>ICUÍ LARANJEIRA</v>
      </c>
      <c r="E13" s="248" t="str">
        <f>'Lista Amoras'!E7</f>
        <v>PISCINÃO</v>
      </c>
      <c r="F13" s="249">
        <f>'Lista Amoras'!F7</f>
        <v>319</v>
      </c>
      <c r="G13" s="250">
        <f>'Lista Amoras'!G7</f>
        <v>4</v>
      </c>
      <c r="H13" s="250">
        <f>'Lista Amoras'!H7</f>
        <v>4</v>
      </c>
      <c r="I13" s="250">
        <f>F13*G13</f>
        <v>1276</v>
      </c>
      <c r="J13" s="251"/>
      <c r="K13" s="251"/>
      <c r="L13" s="251"/>
      <c r="M13" s="251"/>
      <c r="N13" s="251"/>
      <c r="O13" s="251"/>
      <c r="P13" s="251"/>
      <c r="Q13" s="251"/>
      <c r="R13" s="938"/>
    </row>
    <row r="14" spans="1:21" s="252" customFormat="1" ht="39.950000000000003" customHeight="1">
      <c r="A14" s="937">
        <f>'Lista Amoras'!A8</f>
        <v>3</v>
      </c>
      <c r="B14" s="589" t="str">
        <f>'Lista Amoras'!B8</f>
        <v>PASS. LARANJEIRA</v>
      </c>
      <c r="C14" s="255" t="e">
        <f>#REF!</f>
        <v>#REF!</v>
      </c>
      <c r="D14" s="248" t="str">
        <f>'Lista Amoras'!D8</f>
        <v>ICUÍ LARANJEIRA</v>
      </c>
      <c r="E14" s="248" t="str">
        <f>'Lista Amoras'!E8</f>
        <v>PISCINÃO</v>
      </c>
      <c r="F14" s="249">
        <f>'Lista Amoras'!F8</f>
        <v>293</v>
      </c>
      <c r="G14" s="250">
        <f>'Lista Amoras'!G8</f>
        <v>4.5</v>
      </c>
      <c r="H14" s="250">
        <f>'Lista Amoras'!H8</f>
        <v>4.5</v>
      </c>
      <c r="I14" s="250">
        <f t="shared" ref="I14:I33" si="0">F14*G14</f>
        <v>1318.5</v>
      </c>
      <c r="J14" s="251"/>
      <c r="K14" s="251"/>
      <c r="L14" s="251"/>
      <c r="M14" s="251"/>
      <c r="N14" s="251"/>
      <c r="O14" s="251"/>
      <c r="P14" s="251"/>
      <c r="Q14" s="251"/>
      <c r="R14" s="938"/>
    </row>
    <row r="15" spans="1:21" s="252" customFormat="1" ht="39.950000000000003" customHeight="1">
      <c r="A15" s="937">
        <f>'Lista Amoras'!A9</f>
        <v>4</v>
      </c>
      <c r="B15" s="589" t="str">
        <f>'Lista Amoras'!B9</f>
        <v xml:space="preserve">TV. FÉ EM DEUS </v>
      </c>
      <c r="C15" s="255" t="e">
        <f>#REF!</f>
        <v>#REF!</v>
      </c>
      <c r="D15" s="248" t="str">
        <f>'Lista Amoras'!D9</f>
        <v>ICUÍ LARANJEIRA</v>
      </c>
      <c r="E15" s="248" t="str">
        <f>'Lista Amoras'!E9</f>
        <v>PISCINÃO</v>
      </c>
      <c r="F15" s="249">
        <f>'Lista Amoras'!F9</f>
        <v>159.88</v>
      </c>
      <c r="G15" s="250">
        <f>'Lista Amoras'!G9</f>
        <v>5.71</v>
      </c>
      <c r="H15" s="250">
        <f>'Lista Amoras'!H9</f>
        <v>5.71</v>
      </c>
      <c r="I15" s="250">
        <f t="shared" si="0"/>
        <v>912.91</v>
      </c>
      <c r="J15" s="251"/>
      <c r="K15" s="251"/>
      <c r="L15" s="251"/>
      <c r="M15" s="251"/>
      <c r="N15" s="251"/>
      <c r="O15" s="251"/>
      <c r="P15" s="251"/>
      <c r="Q15" s="251"/>
      <c r="R15" s="938"/>
    </row>
    <row r="16" spans="1:21" s="252" customFormat="1" ht="39.950000000000003" customHeight="1">
      <c r="A16" s="937">
        <f>'Lista Amoras'!A10</f>
        <v>5</v>
      </c>
      <c r="B16" s="589" t="str">
        <f>'Lista Amoras'!B10</f>
        <v>RUA PAULO ASSUNÇÃO</v>
      </c>
      <c r="C16" s="255" t="e">
        <f>#REF!</f>
        <v>#REF!</v>
      </c>
      <c r="D16" s="248" t="str">
        <f>'Lista Amoras'!D10</f>
        <v>ICUÍ LARANJEIRA</v>
      </c>
      <c r="E16" s="248" t="str">
        <f>'Lista Amoras'!E10</f>
        <v>PISCINÃO</v>
      </c>
      <c r="F16" s="249">
        <f>'Lista Amoras'!F10</f>
        <v>698.13</v>
      </c>
      <c r="G16" s="250">
        <f>'Lista Amoras'!G10</f>
        <v>5.58</v>
      </c>
      <c r="H16" s="250">
        <f>'Lista Amoras'!H10</f>
        <v>5.58</v>
      </c>
      <c r="I16" s="250">
        <f t="shared" si="0"/>
        <v>3895.57</v>
      </c>
      <c r="J16" s="251"/>
      <c r="K16" s="251"/>
      <c r="L16" s="251"/>
      <c r="M16" s="251"/>
      <c r="N16" s="251"/>
      <c r="O16" s="251"/>
      <c r="P16" s="251"/>
      <c r="Q16" s="251"/>
      <c r="R16" s="938"/>
    </row>
    <row r="17" spans="1:18" s="252" customFormat="1" ht="39.950000000000003" customHeight="1">
      <c r="A17" s="937">
        <f>'Lista Amoras'!A11</f>
        <v>6</v>
      </c>
      <c r="B17" s="589" t="str">
        <f>'Lista Amoras'!B11</f>
        <v>PASS PAULO ASSUNÇÃO</v>
      </c>
      <c r="C17" s="255" t="e">
        <f>#REF!</f>
        <v>#REF!</v>
      </c>
      <c r="D17" s="248" t="str">
        <f>'Lista Amoras'!D11</f>
        <v>ICUÍ LARANJEIRA</v>
      </c>
      <c r="E17" s="248" t="str">
        <f>'Lista Amoras'!E11</f>
        <v>PISCINÃO</v>
      </c>
      <c r="F17" s="249">
        <f>'Lista Amoras'!F11</f>
        <v>262.44</v>
      </c>
      <c r="G17" s="250">
        <f>'Lista Amoras'!G11</f>
        <v>5.2</v>
      </c>
      <c r="H17" s="250">
        <f>'Lista Amoras'!H11</f>
        <v>5.2</v>
      </c>
      <c r="I17" s="250">
        <f t="shared" si="0"/>
        <v>1364.69</v>
      </c>
      <c r="J17" s="251"/>
      <c r="K17" s="251"/>
      <c r="L17" s="251"/>
      <c r="M17" s="251"/>
      <c r="N17" s="251"/>
      <c r="O17" s="251"/>
      <c r="P17" s="251"/>
      <c r="Q17" s="251"/>
      <c r="R17" s="938"/>
    </row>
    <row r="18" spans="1:18" s="252" customFormat="1" ht="39.950000000000003" customHeight="1">
      <c r="A18" s="937">
        <f>'Lista Amoras'!A12</f>
        <v>7</v>
      </c>
      <c r="B18" s="589" t="str">
        <f>'Lista Amoras'!B12</f>
        <v>RUA DO PISCINÃO</v>
      </c>
      <c r="C18" s="255" t="e">
        <f>#REF!</f>
        <v>#REF!</v>
      </c>
      <c r="D18" s="248" t="str">
        <f>'Lista Amoras'!D12</f>
        <v>ICUÍ LARANJEIRA</v>
      </c>
      <c r="E18" s="248" t="str">
        <f>'Lista Amoras'!E12</f>
        <v>PISCINÃO</v>
      </c>
      <c r="F18" s="249">
        <f>'Lista Amoras'!F12</f>
        <v>438</v>
      </c>
      <c r="G18" s="250">
        <f>'Lista Amoras'!G12</f>
        <v>4.2</v>
      </c>
      <c r="H18" s="250">
        <f>'Lista Amoras'!H12</f>
        <v>4.2</v>
      </c>
      <c r="I18" s="250">
        <f t="shared" si="0"/>
        <v>1839.6</v>
      </c>
      <c r="J18" s="251"/>
      <c r="K18" s="251"/>
      <c r="L18" s="251"/>
      <c r="M18" s="251"/>
      <c r="N18" s="251"/>
      <c r="O18" s="251"/>
      <c r="P18" s="251"/>
      <c r="Q18" s="251"/>
      <c r="R18" s="938"/>
    </row>
    <row r="19" spans="1:18" s="252" customFormat="1" ht="39.950000000000003" customHeight="1">
      <c r="A19" s="937">
        <f>'Lista Amoras'!A13</f>
        <v>8</v>
      </c>
      <c r="B19" s="589" t="str">
        <f>'Lista Amoras'!B13</f>
        <v>TV DEUS PROVERÁ</v>
      </c>
      <c r="C19" s="255" t="e">
        <f>#REF!</f>
        <v>#REF!</v>
      </c>
      <c r="D19" s="248" t="str">
        <f>'Lista Amoras'!D13</f>
        <v>ICUÍ LARANJEIRA</v>
      </c>
      <c r="E19" s="248" t="str">
        <f>'Lista Amoras'!E13</f>
        <v>PISCINÃO</v>
      </c>
      <c r="F19" s="249">
        <f>'Lista Amoras'!F13</f>
        <v>182.75</v>
      </c>
      <c r="G19" s="250">
        <f>'Lista Amoras'!G13</f>
        <v>3.9</v>
      </c>
      <c r="H19" s="250">
        <f>'Lista Amoras'!H13</f>
        <v>3.9</v>
      </c>
      <c r="I19" s="250">
        <f>F19*G19</f>
        <v>712.73</v>
      </c>
      <c r="J19" s="251"/>
      <c r="K19" s="251"/>
      <c r="L19" s="251"/>
      <c r="M19" s="251"/>
      <c r="N19" s="251"/>
      <c r="O19" s="251"/>
      <c r="P19" s="251"/>
      <c r="Q19" s="251"/>
      <c r="R19" s="938"/>
    </row>
    <row r="20" spans="1:18" s="252" customFormat="1" ht="39.950000000000003" customHeight="1">
      <c r="A20" s="937">
        <f>'Lista Amoras'!A14</f>
        <v>9</v>
      </c>
      <c r="B20" s="589" t="str">
        <f>'Lista Amoras'!B14</f>
        <v>RUA A</v>
      </c>
      <c r="C20" s="255" t="e">
        <f>#REF!</f>
        <v>#REF!</v>
      </c>
      <c r="D20" s="248" t="str">
        <f>'Lista Amoras'!D14</f>
        <v>ICUÍ LARANJEIRA</v>
      </c>
      <c r="E20" s="248" t="str">
        <f>'Lista Amoras'!E14</f>
        <v>PISCINÃO</v>
      </c>
      <c r="F20" s="249">
        <f>'Lista Amoras'!F14</f>
        <v>131.02000000000001</v>
      </c>
      <c r="G20" s="250">
        <f>'Lista Amoras'!G14</f>
        <v>3.9</v>
      </c>
      <c r="H20" s="250">
        <f>'Lista Amoras'!H14</f>
        <v>3.9</v>
      </c>
      <c r="I20" s="250">
        <f t="shared" si="0"/>
        <v>510.98</v>
      </c>
      <c r="J20" s="251"/>
      <c r="K20" s="251"/>
      <c r="L20" s="251"/>
      <c r="M20" s="251"/>
      <c r="N20" s="251"/>
      <c r="O20" s="251"/>
      <c r="P20" s="251"/>
      <c r="Q20" s="251"/>
      <c r="R20" s="938"/>
    </row>
    <row r="21" spans="1:18" s="252" customFormat="1" ht="39.950000000000003" customHeight="1">
      <c r="A21" s="937">
        <f>'Lista Amoras'!A15</f>
        <v>10</v>
      </c>
      <c r="B21" s="589" t="str">
        <f>'Lista Amoras'!B15</f>
        <v>RUA B</v>
      </c>
      <c r="C21" s="255" t="e">
        <f>#REF!</f>
        <v>#REF!</v>
      </c>
      <c r="D21" s="248" t="str">
        <f>'Lista Amoras'!D15</f>
        <v>ICUÍ LARANJEIRA</v>
      </c>
      <c r="E21" s="248" t="str">
        <f>'Lista Amoras'!E15</f>
        <v>PISCINÃO</v>
      </c>
      <c r="F21" s="249">
        <f>'Lista Amoras'!F15</f>
        <v>123.33</v>
      </c>
      <c r="G21" s="250">
        <f>'Lista Amoras'!G15</f>
        <v>3.9</v>
      </c>
      <c r="H21" s="250">
        <f>'Lista Amoras'!H15</f>
        <v>3.9</v>
      </c>
      <c r="I21" s="250">
        <f t="shared" si="0"/>
        <v>480.99</v>
      </c>
      <c r="J21" s="251"/>
      <c r="K21" s="251"/>
      <c r="L21" s="251"/>
      <c r="M21" s="251"/>
      <c r="N21" s="251"/>
      <c r="O21" s="251"/>
      <c r="P21" s="251"/>
      <c r="Q21" s="251"/>
      <c r="R21" s="938"/>
    </row>
    <row r="22" spans="1:18" s="252" customFormat="1" ht="39.950000000000003" customHeight="1">
      <c r="A22" s="937">
        <v>11</v>
      </c>
      <c r="B22" s="589" t="str">
        <f>'Lista Amoras'!B16</f>
        <v>RUA C</v>
      </c>
      <c r="C22" s="255"/>
      <c r="D22" s="248" t="str">
        <f>'Lista Amoras'!D16</f>
        <v>ICUÍ LARANJEIRA</v>
      </c>
      <c r="E22" s="248" t="str">
        <f>'Lista Amoras'!E16</f>
        <v>PISCINÃO</v>
      </c>
      <c r="F22" s="249">
        <v>75</v>
      </c>
      <c r="G22" s="250">
        <f>'Lista Amoras'!G16</f>
        <v>3.9</v>
      </c>
      <c r="H22" s="250">
        <f>'Lista Amoras'!H16</f>
        <v>3.9</v>
      </c>
      <c r="I22" s="250">
        <f t="shared" si="0"/>
        <v>292.5</v>
      </c>
      <c r="J22" s="251"/>
      <c r="K22" s="251"/>
      <c r="L22" s="251"/>
      <c r="M22" s="251"/>
      <c r="N22" s="251"/>
      <c r="O22" s="251"/>
      <c r="P22" s="251"/>
      <c r="Q22" s="251"/>
      <c r="R22" s="938"/>
    </row>
    <row r="23" spans="1:18" s="252" customFormat="1" ht="39.950000000000003" customHeight="1">
      <c r="A23" s="937">
        <v>12</v>
      </c>
      <c r="B23" s="589" t="str">
        <f>'Lista Amoras'!B17</f>
        <v>CURVA ENTRE A RUA C E A RUA D</v>
      </c>
      <c r="C23" s="255"/>
      <c r="D23" s="248" t="str">
        <f>'Lista Amoras'!D17</f>
        <v>ICUÍ LARANJEIRA</v>
      </c>
      <c r="E23" s="248" t="str">
        <f>'Lista Amoras'!E17</f>
        <v>PISCINÃO</v>
      </c>
      <c r="F23" s="249">
        <f>'Lista Amoras'!F17</f>
        <v>0</v>
      </c>
      <c r="G23" s="250">
        <f>'Lista Amoras'!G17</f>
        <v>3.9</v>
      </c>
      <c r="H23" s="250">
        <f>'Lista Amoras'!H17</f>
        <v>3.9</v>
      </c>
      <c r="I23" s="250">
        <f t="shared" si="0"/>
        <v>0</v>
      </c>
      <c r="J23" s="251"/>
      <c r="K23" s="251"/>
      <c r="L23" s="251"/>
      <c r="M23" s="251"/>
      <c r="N23" s="251"/>
      <c r="O23" s="251"/>
      <c r="P23" s="251"/>
      <c r="Q23" s="251"/>
      <c r="R23" s="938"/>
    </row>
    <row r="24" spans="1:18" s="252" customFormat="1" ht="39.950000000000003" customHeight="1">
      <c r="A24" s="937">
        <v>13</v>
      </c>
      <c r="B24" s="589" t="str">
        <f>'Lista Amoras'!B18</f>
        <v>RUA D</v>
      </c>
      <c r="C24" s="255"/>
      <c r="D24" s="248" t="str">
        <f>'Lista Amoras'!D18</f>
        <v>ICUÍ LARANJEIRA</v>
      </c>
      <c r="E24" s="248" t="str">
        <f>'Lista Amoras'!E18</f>
        <v>PISCINÃO</v>
      </c>
      <c r="F24" s="249">
        <v>89</v>
      </c>
      <c r="G24" s="250">
        <f>'Lista Amoras'!G18</f>
        <v>3.9</v>
      </c>
      <c r="H24" s="250">
        <f>'Lista Amoras'!H18</f>
        <v>3.9</v>
      </c>
      <c r="I24" s="250">
        <f t="shared" si="0"/>
        <v>347.1</v>
      </c>
      <c r="J24" s="251"/>
      <c r="K24" s="251"/>
      <c r="L24" s="251"/>
      <c r="M24" s="251"/>
      <c r="N24" s="251"/>
      <c r="O24" s="251"/>
      <c r="P24" s="251"/>
      <c r="Q24" s="251"/>
      <c r="R24" s="938"/>
    </row>
    <row r="25" spans="1:18" s="252" customFormat="1" ht="39.950000000000003" customHeight="1">
      <c r="A25" s="937">
        <v>14</v>
      </c>
      <c r="B25" s="589" t="str">
        <f>'Lista Amoras'!B19</f>
        <v>RUA DAS ORQUIDEAS</v>
      </c>
      <c r="C25" s="255" t="e">
        <f>#REF!</f>
        <v>#REF!</v>
      </c>
      <c r="D25" s="248" t="str">
        <f>'Lista Amoras'!D19</f>
        <v>ICUÍ LARANJEIRA</v>
      </c>
      <c r="E25" s="248" t="str">
        <f>'Lista Amoras'!E19</f>
        <v>PISCINÃO</v>
      </c>
      <c r="F25" s="249">
        <f>'Lista Amoras'!F19</f>
        <v>151.97999999999999</v>
      </c>
      <c r="G25" s="250">
        <f>'Lista Amoras'!G19</f>
        <v>6.73</v>
      </c>
      <c r="H25" s="250">
        <f>'Lista Amoras'!H19</f>
        <v>6.73</v>
      </c>
      <c r="I25" s="250">
        <f t="shared" si="0"/>
        <v>1022.83</v>
      </c>
      <c r="J25" s="251"/>
      <c r="K25" s="251"/>
      <c r="L25" s="251"/>
      <c r="M25" s="251"/>
      <c r="N25" s="251"/>
      <c r="O25" s="251"/>
      <c r="P25" s="251"/>
      <c r="Q25" s="251"/>
      <c r="R25" s="938"/>
    </row>
    <row r="26" spans="1:18" s="252" customFormat="1" ht="39.950000000000003" customHeight="1">
      <c r="A26" s="937">
        <v>15</v>
      </c>
      <c r="B26" s="589" t="str">
        <f>'Lista Amoras'!B20</f>
        <v>RUA HUM</v>
      </c>
      <c r="C26" s="255" t="e">
        <f>#REF!</f>
        <v>#REF!</v>
      </c>
      <c r="D26" s="248" t="str">
        <f>'Lista Amoras'!D20</f>
        <v>ICUÍ LARANJEIRA</v>
      </c>
      <c r="E26" s="248" t="str">
        <f>'Lista Amoras'!E20</f>
        <v>PISCINÃO</v>
      </c>
      <c r="F26" s="249">
        <f>'Lista Amoras'!F20</f>
        <v>255</v>
      </c>
      <c r="G26" s="250">
        <f>'Lista Amoras'!G20</f>
        <v>4.5</v>
      </c>
      <c r="H26" s="250">
        <f>'Lista Amoras'!H20</f>
        <v>4.5</v>
      </c>
      <c r="I26" s="250">
        <f t="shared" si="0"/>
        <v>1147.5</v>
      </c>
      <c r="J26" s="251"/>
      <c r="K26" s="251"/>
      <c r="L26" s="251"/>
      <c r="M26" s="251"/>
      <c r="N26" s="251"/>
      <c r="O26" s="251"/>
      <c r="P26" s="251"/>
      <c r="Q26" s="251"/>
      <c r="R26" s="938"/>
    </row>
    <row r="27" spans="1:18" s="252" customFormat="1" ht="39.950000000000003" customHeight="1">
      <c r="A27" s="937">
        <v>16</v>
      </c>
      <c r="B27" s="589" t="str">
        <f>'Lista Amoras'!B21</f>
        <v>RUA DOIS</v>
      </c>
      <c r="C27" s="255" t="e">
        <f>#REF!</f>
        <v>#REF!</v>
      </c>
      <c r="D27" s="248" t="str">
        <f>'Lista Amoras'!D21</f>
        <v>ICUÍ LARANJEIRA</v>
      </c>
      <c r="E27" s="248" t="str">
        <f>'Lista Amoras'!E21</f>
        <v>PISCINÃO</v>
      </c>
      <c r="F27" s="249">
        <f>'Lista Amoras'!F21</f>
        <v>155</v>
      </c>
      <c r="G27" s="250">
        <f>'Lista Amoras'!G21</f>
        <v>5.3</v>
      </c>
      <c r="H27" s="250">
        <f>'Lista Amoras'!H21</f>
        <v>5.3</v>
      </c>
      <c r="I27" s="250">
        <f t="shared" si="0"/>
        <v>821.5</v>
      </c>
      <c r="J27" s="251"/>
      <c r="K27" s="251"/>
      <c r="L27" s="251"/>
      <c r="M27" s="251"/>
      <c r="N27" s="251"/>
      <c r="O27" s="251"/>
      <c r="P27" s="251"/>
      <c r="Q27" s="251"/>
      <c r="R27" s="938"/>
    </row>
    <row r="28" spans="1:18" s="252" customFormat="1" ht="39.950000000000003" customHeight="1">
      <c r="A28" s="937">
        <v>17</v>
      </c>
      <c r="B28" s="589" t="str">
        <f>'Lista Amoras'!B22</f>
        <v>RUA TRÊS</v>
      </c>
      <c r="C28" s="255" t="e">
        <f>#REF!</f>
        <v>#REF!</v>
      </c>
      <c r="D28" s="248" t="str">
        <f>'Lista Amoras'!D22</f>
        <v>ICUÍ LARANJEIRA</v>
      </c>
      <c r="E28" s="248" t="str">
        <f>'Lista Amoras'!E22</f>
        <v>PISCINÃO</v>
      </c>
      <c r="F28" s="249">
        <f>'Lista Amoras'!F22</f>
        <v>131</v>
      </c>
      <c r="G28" s="250">
        <f>'Lista Amoras'!G22</f>
        <v>6.5</v>
      </c>
      <c r="H28" s="250">
        <f>'Lista Amoras'!H22</f>
        <v>6.5</v>
      </c>
      <c r="I28" s="250">
        <f>F28*G28</f>
        <v>851.5</v>
      </c>
      <c r="J28" s="251"/>
      <c r="K28" s="251"/>
      <c r="L28" s="251"/>
      <c r="M28" s="251"/>
      <c r="N28" s="251"/>
      <c r="O28" s="251"/>
      <c r="P28" s="251"/>
      <c r="Q28" s="251"/>
      <c r="R28" s="938"/>
    </row>
    <row r="29" spans="1:18" s="252" customFormat="1" ht="39.950000000000003" customHeight="1">
      <c r="A29" s="937">
        <v>18</v>
      </c>
      <c r="B29" s="589" t="str">
        <f>'Lista Amoras'!B23</f>
        <v>PASS DA LUZ</v>
      </c>
      <c r="C29" s="255" t="e">
        <f>#REF!</f>
        <v>#REF!</v>
      </c>
      <c r="D29" s="248" t="str">
        <f>'Lista Amoras'!D23</f>
        <v>ICUÍ LARANJEIRA</v>
      </c>
      <c r="E29" s="248" t="str">
        <f>'Lista Amoras'!E23</f>
        <v>PISCINÃO</v>
      </c>
      <c r="F29" s="249">
        <f>'Lista Amoras'!F23</f>
        <v>72.790000000000006</v>
      </c>
      <c r="G29" s="250">
        <f>'Lista Amoras'!G23</f>
        <v>4</v>
      </c>
      <c r="H29" s="250">
        <f>'Lista Amoras'!H23</f>
        <v>4</v>
      </c>
      <c r="I29" s="250">
        <f t="shared" si="0"/>
        <v>291.16000000000003</v>
      </c>
      <c r="J29" s="251"/>
      <c r="K29" s="251"/>
      <c r="L29" s="251"/>
      <c r="M29" s="251"/>
      <c r="N29" s="251"/>
      <c r="O29" s="251"/>
      <c r="P29" s="251"/>
      <c r="Q29" s="251"/>
      <c r="R29" s="938"/>
    </row>
    <row r="30" spans="1:18" s="252" customFormat="1" ht="39.950000000000003" customHeight="1">
      <c r="A30" s="937">
        <v>19</v>
      </c>
      <c r="B30" s="589" t="str">
        <f>'Lista Amoras'!B24</f>
        <v>RUA FÉ EM DEUS</v>
      </c>
      <c r="C30" s="255" t="e">
        <f>#REF!</f>
        <v>#REF!</v>
      </c>
      <c r="D30" s="248" t="str">
        <f>'Lista Amoras'!D24</f>
        <v>ICUÍ LARANJEIRA</v>
      </c>
      <c r="E30" s="248" t="str">
        <f>'Lista Amoras'!E24</f>
        <v>PISCINÃO</v>
      </c>
      <c r="F30" s="249">
        <f>'Lista Amoras'!F24</f>
        <v>183</v>
      </c>
      <c r="G30" s="250">
        <f>'Lista Amoras'!G24</f>
        <v>4.41</v>
      </c>
      <c r="H30" s="250">
        <f>'Lista Amoras'!H24</f>
        <v>4.41</v>
      </c>
      <c r="I30" s="250">
        <f t="shared" si="0"/>
        <v>807.03</v>
      </c>
      <c r="J30" s="251"/>
      <c r="K30" s="251"/>
      <c r="L30" s="251"/>
      <c r="M30" s="251"/>
      <c r="N30" s="251"/>
      <c r="O30" s="251"/>
      <c r="P30" s="251"/>
      <c r="Q30" s="251"/>
      <c r="R30" s="938"/>
    </row>
    <row r="31" spans="1:18" s="252" customFormat="1" ht="39.950000000000003" customHeight="1">
      <c r="A31" s="937">
        <v>20</v>
      </c>
      <c r="B31" s="589" t="str">
        <f>'Lista Amoras'!B25</f>
        <v>PASS PRINCIPAL</v>
      </c>
      <c r="C31" s="255" t="e">
        <f>#REF!</f>
        <v>#REF!</v>
      </c>
      <c r="D31" s="248" t="str">
        <f>'Lista Amoras'!D25</f>
        <v>ICUÍ LARANJEIRA</v>
      </c>
      <c r="E31" s="248" t="str">
        <f>'Lista Amoras'!E25</f>
        <v>PISCINÃO</v>
      </c>
      <c r="F31" s="249">
        <v>153</v>
      </c>
      <c r="G31" s="250">
        <f>'Lista Amoras'!G25</f>
        <v>4.3</v>
      </c>
      <c r="H31" s="250">
        <f>'Lista Amoras'!H25</f>
        <v>4.3</v>
      </c>
      <c r="I31" s="250">
        <f t="shared" si="0"/>
        <v>657.9</v>
      </c>
      <c r="J31" s="251"/>
      <c r="K31" s="251"/>
      <c r="L31" s="251"/>
      <c r="M31" s="251"/>
      <c r="N31" s="251"/>
      <c r="O31" s="251"/>
      <c r="P31" s="251"/>
      <c r="Q31" s="251"/>
      <c r="R31" s="938"/>
    </row>
    <row r="32" spans="1:18" s="252" customFormat="1" ht="39.950000000000003" customHeight="1">
      <c r="A32" s="937">
        <v>21</v>
      </c>
      <c r="B32" s="589" t="str">
        <f>'Lista Amoras'!B26</f>
        <v>PASSAGEM BACELAR</v>
      </c>
      <c r="C32" s="255" t="e">
        <f>#REF!</f>
        <v>#REF!</v>
      </c>
      <c r="D32" s="248" t="str">
        <f>'Lista Amoras'!D26</f>
        <v>ICUÍ LARANJEIRA</v>
      </c>
      <c r="E32" s="248" t="str">
        <f>'Lista Amoras'!E26</f>
        <v>PISCINÃO</v>
      </c>
      <c r="F32" s="249">
        <f>'Lista Amoras'!F26</f>
        <v>520</v>
      </c>
      <c r="G32" s="250">
        <f>'Lista Amoras'!G26</f>
        <v>4.5</v>
      </c>
      <c r="H32" s="250">
        <f>'Lista Amoras'!H26</f>
        <v>4.5</v>
      </c>
      <c r="I32" s="250">
        <f t="shared" si="0"/>
        <v>2340</v>
      </c>
      <c r="J32" s="251"/>
      <c r="K32" s="251"/>
      <c r="L32" s="251"/>
      <c r="M32" s="251"/>
      <c r="N32" s="251"/>
      <c r="O32" s="251"/>
      <c r="P32" s="251"/>
      <c r="Q32" s="251"/>
      <c r="R32" s="938"/>
    </row>
    <row r="33" spans="1:18" s="252" customFormat="1" ht="39.950000000000003" customHeight="1">
      <c r="A33" s="937">
        <v>22</v>
      </c>
      <c r="B33" s="589" t="str">
        <f>'Lista Amoras'!B27</f>
        <v>PASS DEUS TEM PODER</v>
      </c>
      <c r="C33" s="255" t="e">
        <f>#REF!</f>
        <v>#REF!</v>
      </c>
      <c r="D33" s="248" t="str">
        <f>'Lista Amoras'!D27</f>
        <v>ICUÍ LARANJEIRA</v>
      </c>
      <c r="E33" s="248" t="str">
        <f>'Lista Amoras'!E27</f>
        <v>PISCINÃO</v>
      </c>
      <c r="F33" s="249">
        <f>'Lista Amoras'!F27</f>
        <v>483</v>
      </c>
      <c r="G33" s="250">
        <f>'Lista Amoras'!G27</f>
        <v>4.8499999999999996</v>
      </c>
      <c r="H33" s="250">
        <f>'Lista Amoras'!H27</f>
        <v>4.8499999999999996</v>
      </c>
      <c r="I33" s="250">
        <f t="shared" si="0"/>
        <v>2342.5500000000002</v>
      </c>
      <c r="J33" s="251"/>
      <c r="K33" s="251"/>
      <c r="L33" s="251"/>
      <c r="M33" s="251"/>
      <c r="N33" s="251"/>
      <c r="O33" s="251"/>
      <c r="P33" s="251"/>
      <c r="Q33" s="251"/>
      <c r="R33" s="938"/>
    </row>
    <row r="34" spans="1:18" s="252" customFormat="1" ht="39.950000000000003" customHeight="1">
      <c r="A34" s="937">
        <v>23</v>
      </c>
      <c r="B34" s="589" t="str">
        <f>'Lista Amoras'!B28</f>
        <v>PASS UNIÃO</v>
      </c>
      <c r="C34" s="255" t="e">
        <f>#REF!</f>
        <v>#REF!</v>
      </c>
      <c r="D34" s="248" t="str">
        <f>'Lista Amoras'!D28</f>
        <v>ICUÍ LARANJEIRA</v>
      </c>
      <c r="E34" s="248" t="str">
        <f>'Lista Amoras'!E28</f>
        <v>PISCINÃO</v>
      </c>
      <c r="F34" s="249">
        <f>'Lista Amoras'!F28</f>
        <v>147</v>
      </c>
      <c r="G34" s="250">
        <f>'Lista Amoras'!G28</f>
        <v>4.0999999999999996</v>
      </c>
      <c r="H34" s="250">
        <f>'Lista Amoras'!H28</f>
        <v>4.0999999999999996</v>
      </c>
      <c r="I34" s="250">
        <f>F34*G34</f>
        <v>602.70000000000005</v>
      </c>
      <c r="J34" s="251"/>
      <c r="K34" s="251"/>
      <c r="L34" s="251"/>
      <c r="M34" s="251"/>
      <c r="N34" s="251"/>
      <c r="O34" s="251"/>
      <c r="P34" s="251"/>
      <c r="Q34" s="251"/>
      <c r="R34" s="938"/>
    </row>
    <row r="35" spans="1:18" s="252" customFormat="1" ht="39.950000000000003" customHeight="1">
      <c r="A35" s="937">
        <v>24</v>
      </c>
      <c r="B35" s="589" t="str">
        <f>'Lista Amoras'!B29</f>
        <v>PASS SÃO JORGE</v>
      </c>
      <c r="C35" s="255" t="e">
        <f>#REF!</f>
        <v>#REF!</v>
      </c>
      <c r="D35" s="248" t="str">
        <f>'Lista Amoras'!D29</f>
        <v>ICUÍ LARANJEIRA</v>
      </c>
      <c r="E35" s="248" t="str">
        <f>'Lista Amoras'!E29</f>
        <v>PISCINÃO</v>
      </c>
      <c r="F35" s="249">
        <f>'Lista Amoras'!F29</f>
        <v>46.32</v>
      </c>
      <c r="G35" s="250">
        <f>'Lista Amoras'!G29</f>
        <v>4.5</v>
      </c>
      <c r="H35" s="250">
        <f>'Lista Amoras'!H29</f>
        <v>4.5</v>
      </c>
      <c r="I35" s="250">
        <f t="shared" ref="I35:I40" si="1">F35*G35</f>
        <v>208.44</v>
      </c>
      <c r="J35" s="251"/>
      <c r="K35" s="251"/>
      <c r="L35" s="251"/>
      <c r="M35" s="251"/>
      <c r="N35" s="251"/>
      <c r="O35" s="251"/>
      <c r="P35" s="251"/>
      <c r="Q35" s="251"/>
      <c r="R35" s="938"/>
    </row>
    <row r="36" spans="1:18" s="252" customFormat="1" ht="39.950000000000003" customHeight="1">
      <c r="A36" s="937">
        <v>25</v>
      </c>
      <c r="B36" s="589" t="str">
        <f>'Lista Amoras'!B30</f>
        <v>PASS AIRTON SENA</v>
      </c>
      <c r="C36" s="255" t="e">
        <f>#REF!</f>
        <v>#REF!</v>
      </c>
      <c r="D36" s="248" t="str">
        <f>'Lista Amoras'!D30</f>
        <v>ICUÍ LARANJEIRA</v>
      </c>
      <c r="E36" s="248" t="str">
        <f>'Lista Amoras'!E30</f>
        <v>PISCINÃO</v>
      </c>
      <c r="F36" s="249">
        <f>'Lista Amoras'!F30</f>
        <v>280.29000000000002</v>
      </c>
      <c r="G36" s="250">
        <f>'Lista Amoras'!G30</f>
        <v>4.3</v>
      </c>
      <c r="H36" s="250">
        <f>'Lista Amoras'!H30</f>
        <v>4.3</v>
      </c>
      <c r="I36" s="250">
        <f t="shared" si="1"/>
        <v>1205.25</v>
      </c>
      <c r="J36" s="251"/>
      <c r="K36" s="251"/>
      <c r="L36" s="251"/>
      <c r="M36" s="251"/>
      <c r="N36" s="251"/>
      <c r="O36" s="251"/>
      <c r="P36" s="251"/>
      <c r="Q36" s="251"/>
      <c r="R36" s="938"/>
    </row>
    <row r="37" spans="1:18" s="252" customFormat="1" ht="39.950000000000003" customHeight="1">
      <c r="A37" s="937">
        <v>26</v>
      </c>
      <c r="B37" s="589" t="str">
        <f>'Lista Amoras'!B31</f>
        <v>RUA AMINTAS PINHEIRO</v>
      </c>
      <c r="C37" s="255" t="e">
        <f>#REF!</f>
        <v>#REF!</v>
      </c>
      <c r="D37" s="248" t="str">
        <f>'Lista Amoras'!D31</f>
        <v>ICUÍ LARANJEIRA</v>
      </c>
      <c r="E37" s="248" t="str">
        <f>'Lista Amoras'!E31</f>
        <v>PISCINÃO</v>
      </c>
      <c r="F37" s="249">
        <f>'Lista Amoras'!F31</f>
        <v>514.52</v>
      </c>
      <c r="G37" s="250">
        <f>'Lista Amoras'!G31</f>
        <v>6.55</v>
      </c>
      <c r="H37" s="250">
        <f>'Lista Amoras'!H31</f>
        <v>6.55</v>
      </c>
      <c r="I37" s="250">
        <f t="shared" si="1"/>
        <v>3370.11</v>
      </c>
      <c r="J37" s="251"/>
      <c r="K37" s="251"/>
      <c r="L37" s="251"/>
      <c r="M37" s="251"/>
      <c r="N37" s="251"/>
      <c r="O37" s="251"/>
      <c r="P37" s="251"/>
      <c r="Q37" s="251"/>
      <c r="R37" s="938"/>
    </row>
    <row r="38" spans="1:18" s="252" customFormat="1" ht="39.950000000000003" customHeight="1">
      <c r="A38" s="937">
        <v>27</v>
      </c>
      <c r="B38" s="589" t="str">
        <f>'Lista Amoras'!B32</f>
        <v>PASS PRINC ISABEL</v>
      </c>
      <c r="C38" s="255" t="e">
        <f>#REF!</f>
        <v>#REF!</v>
      </c>
      <c r="D38" s="248" t="str">
        <f>'Lista Amoras'!D32</f>
        <v>ICUÍ LARANJEIRA</v>
      </c>
      <c r="E38" s="248" t="str">
        <f>'Lista Amoras'!E32</f>
        <v>PISCINÃO</v>
      </c>
      <c r="F38" s="249">
        <f>'Lista Amoras'!F32</f>
        <v>96.66</v>
      </c>
      <c r="G38" s="250">
        <f>'Lista Amoras'!G32</f>
        <v>4.55</v>
      </c>
      <c r="H38" s="250">
        <f>'Lista Amoras'!H32</f>
        <v>4.55</v>
      </c>
      <c r="I38" s="250">
        <f t="shared" si="1"/>
        <v>439.8</v>
      </c>
      <c r="J38" s="251"/>
      <c r="K38" s="251"/>
      <c r="L38" s="251"/>
      <c r="M38" s="251"/>
      <c r="N38" s="251"/>
      <c r="O38" s="251"/>
      <c r="P38" s="251"/>
      <c r="Q38" s="251"/>
      <c r="R38" s="938"/>
    </row>
    <row r="39" spans="1:18" s="252" customFormat="1" ht="39.950000000000003" customHeight="1">
      <c r="A39" s="937">
        <v>28</v>
      </c>
      <c r="B39" s="589" t="str">
        <f>'Lista Amoras'!B33</f>
        <v>PASS SANTA CLARA</v>
      </c>
      <c r="C39" s="255" t="e">
        <f>#REF!</f>
        <v>#REF!</v>
      </c>
      <c r="D39" s="248" t="str">
        <f>'Lista Amoras'!D33</f>
        <v>ICUÍ LARANJEIRA</v>
      </c>
      <c r="E39" s="248" t="str">
        <f>'Lista Amoras'!E33</f>
        <v>PISCINÃO</v>
      </c>
      <c r="F39" s="249">
        <f>'Lista Amoras'!F33</f>
        <v>95.95</v>
      </c>
      <c r="G39" s="250">
        <f>'Lista Amoras'!G33</f>
        <v>2.9</v>
      </c>
      <c r="H39" s="250">
        <f>'Lista Amoras'!H33</f>
        <v>2.9</v>
      </c>
      <c r="I39" s="250">
        <f t="shared" si="1"/>
        <v>278.26</v>
      </c>
      <c r="J39" s="251"/>
      <c r="K39" s="251"/>
      <c r="L39" s="251"/>
      <c r="M39" s="251"/>
      <c r="N39" s="251"/>
      <c r="O39" s="251"/>
      <c r="P39" s="251"/>
      <c r="Q39" s="251"/>
      <c r="R39" s="938"/>
    </row>
    <row r="40" spans="1:18" s="252" customFormat="1" ht="39.950000000000003" customHeight="1">
      <c r="A40" s="937">
        <v>29</v>
      </c>
      <c r="B40" s="589" t="str">
        <f>'Lista Amoras'!B34</f>
        <v>PASS AIRTON SENA 1</v>
      </c>
      <c r="C40" s="255" t="e">
        <f>#REF!</f>
        <v>#REF!</v>
      </c>
      <c r="D40" s="248" t="str">
        <f>'Lista Amoras'!D34</f>
        <v>ICUÍ LARANJEIRA</v>
      </c>
      <c r="E40" s="248" t="str">
        <f>'Lista Amoras'!E34</f>
        <v>PISCINÃO</v>
      </c>
      <c r="F40" s="249">
        <f>'Lista Amoras'!F34</f>
        <v>117.94</v>
      </c>
      <c r="G40" s="250">
        <f>'Lista Amoras'!G34</f>
        <v>4.7</v>
      </c>
      <c r="H40" s="250">
        <f>'Lista Amoras'!H34</f>
        <v>4.7</v>
      </c>
      <c r="I40" s="250">
        <f t="shared" si="1"/>
        <v>554.32000000000005</v>
      </c>
      <c r="J40" s="251"/>
      <c r="K40" s="251"/>
      <c r="L40" s="251"/>
      <c r="M40" s="251"/>
      <c r="N40" s="251"/>
      <c r="O40" s="251"/>
      <c r="P40" s="251"/>
      <c r="Q40" s="251"/>
      <c r="R40" s="938"/>
    </row>
    <row r="41" spans="1:18" s="252" customFormat="1" ht="39.950000000000003" customHeight="1" thickBot="1">
      <c r="A41" s="937">
        <v>30</v>
      </c>
      <c r="B41" s="589" t="str">
        <f>'Lista Amoras'!B35</f>
        <v>PASS TIM LOPES</v>
      </c>
      <c r="C41" s="255" t="e">
        <f>#REF!</f>
        <v>#REF!</v>
      </c>
      <c r="D41" s="248" t="str">
        <f>'Lista Amoras'!D35</f>
        <v>ICUÍ LARANJEIRA</v>
      </c>
      <c r="E41" s="248" t="str">
        <f>'Lista Amoras'!E35</f>
        <v>PISCINÃO</v>
      </c>
      <c r="F41" s="249">
        <f>'Lista Amoras'!F35</f>
        <v>108.35</v>
      </c>
      <c r="G41" s="250">
        <f>'Lista Amoras'!G35</f>
        <v>3.83</v>
      </c>
      <c r="H41" s="250">
        <f>'Lista Amoras'!H35</f>
        <v>3.83</v>
      </c>
      <c r="I41" s="250">
        <f>F41*G41</f>
        <v>414.98</v>
      </c>
      <c r="J41" s="251"/>
      <c r="K41" s="251"/>
      <c r="L41" s="251"/>
      <c r="M41" s="251"/>
      <c r="N41" s="251"/>
      <c r="O41" s="251"/>
      <c r="P41" s="251"/>
      <c r="Q41" s="251"/>
      <c r="R41" s="938"/>
    </row>
    <row r="42" spans="1:18" s="252" customFormat="1" ht="39.950000000000003" hidden="1" customHeight="1">
      <c r="A42" s="937"/>
      <c r="B42" s="589"/>
      <c r="C42" s="255"/>
      <c r="D42" s="248"/>
      <c r="E42" s="248"/>
      <c r="F42" s="249"/>
      <c r="G42" s="250"/>
      <c r="H42" s="250"/>
      <c r="I42" s="250"/>
      <c r="J42" s="251"/>
      <c r="K42" s="251"/>
      <c r="L42" s="251"/>
      <c r="M42" s="251"/>
      <c r="N42" s="251"/>
      <c r="O42" s="251"/>
      <c r="P42" s="251"/>
      <c r="Q42" s="251"/>
      <c r="R42" s="939"/>
    </row>
    <row r="43" spans="1:18" s="252" customFormat="1" ht="39.950000000000003" hidden="1" customHeight="1">
      <c r="A43" s="937"/>
      <c r="B43" s="589"/>
      <c r="C43" s="255"/>
      <c r="D43" s="248"/>
      <c r="E43" s="248"/>
      <c r="F43" s="249"/>
      <c r="G43" s="250"/>
      <c r="H43" s="250"/>
      <c r="I43" s="250"/>
      <c r="J43" s="251"/>
      <c r="K43" s="251"/>
      <c r="L43" s="251"/>
      <c r="M43" s="251"/>
      <c r="N43" s="251"/>
      <c r="O43" s="251"/>
      <c r="P43" s="251"/>
      <c r="Q43" s="251"/>
      <c r="R43" s="938"/>
    </row>
    <row r="44" spans="1:18" s="252" customFormat="1" ht="39.950000000000003" hidden="1" customHeight="1">
      <c r="A44" s="937"/>
      <c r="B44" s="589"/>
      <c r="C44" s="255"/>
      <c r="D44" s="248"/>
      <c r="E44" s="248"/>
      <c r="F44" s="249"/>
      <c r="G44" s="250"/>
      <c r="H44" s="250"/>
      <c r="I44" s="250"/>
      <c r="J44" s="251"/>
      <c r="K44" s="251"/>
      <c r="L44" s="251"/>
      <c r="M44" s="251"/>
      <c r="N44" s="251"/>
      <c r="O44" s="251"/>
      <c r="P44" s="251"/>
      <c r="Q44" s="251"/>
      <c r="R44" s="938"/>
    </row>
    <row r="45" spans="1:18" s="252" customFormat="1" ht="39.950000000000003" hidden="1" customHeight="1">
      <c r="A45" s="937"/>
      <c r="B45" s="589"/>
      <c r="C45" s="255"/>
      <c r="D45" s="248"/>
      <c r="E45" s="248"/>
      <c r="F45" s="249"/>
      <c r="G45" s="250"/>
      <c r="H45" s="250"/>
      <c r="I45" s="250"/>
      <c r="J45" s="251"/>
      <c r="K45" s="251"/>
      <c r="L45" s="251"/>
      <c r="M45" s="251"/>
      <c r="N45" s="251"/>
      <c r="O45" s="251"/>
      <c r="P45" s="251"/>
      <c r="Q45" s="251"/>
      <c r="R45" s="938"/>
    </row>
    <row r="46" spans="1:18" s="252" customFormat="1" ht="39.950000000000003" hidden="1" customHeight="1">
      <c r="A46" s="937"/>
      <c r="B46" s="589"/>
      <c r="C46" s="255"/>
      <c r="D46" s="248"/>
      <c r="E46" s="248"/>
      <c r="F46" s="249"/>
      <c r="G46" s="250"/>
      <c r="H46" s="250"/>
      <c r="I46" s="250"/>
      <c r="J46" s="251"/>
      <c r="K46" s="251"/>
      <c r="L46" s="251"/>
      <c r="M46" s="251"/>
      <c r="N46" s="251"/>
      <c r="O46" s="251"/>
      <c r="P46" s="251"/>
      <c r="Q46" s="251"/>
      <c r="R46" s="939"/>
    </row>
    <row r="47" spans="1:18" s="252" customFormat="1" ht="39.950000000000003" hidden="1" customHeight="1">
      <c r="A47" s="937"/>
      <c r="B47" s="589"/>
      <c r="C47" s="255"/>
      <c r="D47" s="248"/>
      <c r="E47" s="248"/>
      <c r="F47" s="249"/>
      <c r="G47" s="250"/>
      <c r="H47" s="250"/>
      <c r="I47" s="250"/>
      <c r="J47" s="251"/>
      <c r="K47" s="251"/>
      <c r="L47" s="251"/>
      <c r="M47" s="251"/>
      <c r="N47" s="251"/>
      <c r="O47" s="251"/>
      <c r="P47" s="251"/>
      <c r="Q47" s="251"/>
      <c r="R47" s="938"/>
    </row>
    <row r="48" spans="1:18" s="252" customFormat="1" ht="39.950000000000003" hidden="1" customHeight="1">
      <c r="A48" s="937"/>
      <c r="B48" s="589"/>
      <c r="C48" s="255"/>
      <c r="D48" s="248"/>
      <c r="E48" s="248"/>
      <c r="F48" s="249"/>
      <c r="G48" s="250"/>
      <c r="H48" s="250"/>
      <c r="I48" s="250"/>
      <c r="J48" s="251"/>
      <c r="K48" s="251"/>
      <c r="L48" s="251"/>
      <c r="M48" s="251"/>
      <c r="N48" s="251"/>
      <c r="O48" s="251"/>
      <c r="P48" s="251"/>
      <c r="Q48" s="251"/>
      <c r="R48" s="938"/>
    </row>
    <row r="49" spans="1:18" s="252" customFormat="1" ht="39.950000000000003" hidden="1" customHeight="1">
      <c r="A49" s="937"/>
      <c r="B49" s="589"/>
      <c r="C49" s="255"/>
      <c r="D49" s="248"/>
      <c r="E49" s="248"/>
      <c r="F49" s="249"/>
      <c r="G49" s="250"/>
      <c r="H49" s="250"/>
      <c r="I49" s="250"/>
      <c r="J49" s="251"/>
      <c r="K49" s="251"/>
      <c r="L49" s="251"/>
      <c r="M49" s="251"/>
      <c r="N49" s="251"/>
      <c r="O49" s="251"/>
      <c r="P49" s="251"/>
      <c r="Q49" s="251"/>
      <c r="R49" s="938"/>
    </row>
    <row r="50" spans="1:18" s="252" customFormat="1" ht="39.950000000000003" hidden="1" customHeight="1">
      <c r="A50" s="937"/>
      <c r="B50" s="589"/>
      <c r="C50" s="255"/>
      <c r="D50" s="248"/>
      <c r="E50" s="248"/>
      <c r="F50" s="249"/>
      <c r="G50" s="250"/>
      <c r="H50" s="250"/>
      <c r="I50" s="250"/>
      <c r="J50" s="251"/>
      <c r="K50" s="251"/>
      <c r="L50" s="251"/>
      <c r="M50" s="251"/>
      <c r="N50" s="251"/>
      <c r="O50" s="251"/>
      <c r="P50" s="251"/>
      <c r="Q50" s="251"/>
      <c r="R50" s="938"/>
    </row>
    <row r="51" spans="1:18" s="252" customFormat="1" ht="39.950000000000003" hidden="1" customHeight="1">
      <c r="A51" s="937"/>
      <c r="B51" s="589"/>
      <c r="C51" s="255"/>
      <c r="D51" s="248"/>
      <c r="E51" s="248"/>
      <c r="F51" s="249"/>
      <c r="G51" s="250"/>
      <c r="H51" s="250"/>
      <c r="I51" s="250"/>
      <c r="J51" s="251"/>
      <c r="K51" s="251"/>
      <c r="L51" s="251"/>
      <c r="M51" s="251"/>
      <c r="N51" s="251"/>
      <c r="O51" s="251"/>
      <c r="P51" s="251"/>
      <c r="Q51" s="251"/>
      <c r="R51" s="938"/>
    </row>
    <row r="52" spans="1:18" s="252" customFormat="1" ht="39.950000000000003" hidden="1" customHeight="1">
      <c r="A52" s="937"/>
      <c r="B52" s="589"/>
      <c r="C52" s="255"/>
      <c r="D52" s="248"/>
      <c r="E52" s="248"/>
      <c r="F52" s="249"/>
      <c r="G52" s="250"/>
      <c r="H52" s="250"/>
      <c r="I52" s="250"/>
      <c r="J52" s="251"/>
      <c r="K52" s="251"/>
      <c r="L52" s="251"/>
      <c r="M52" s="251"/>
      <c r="N52" s="251"/>
      <c r="O52" s="251"/>
      <c r="P52" s="251"/>
      <c r="Q52" s="251"/>
      <c r="R52" s="938"/>
    </row>
    <row r="53" spans="1:18" s="252" customFormat="1" ht="39.950000000000003" hidden="1" customHeight="1">
      <c r="A53" s="937"/>
      <c r="B53" s="589"/>
      <c r="C53" s="255"/>
      <c r="D53" s="248"/>
      <c r="E53" s="248"/>
      <c r="F53" s="249"/>
      <c r="G53" s="250"/>
      <c r="H53" s="250"/>
      <c r="I53" s="250"/>
      <c r="J53" s="251"/>
      <c r="K53" s="251"/>
      <c r="L53" s="251"/>
      <c r="M53" s="251"/>
      <c r="N53" s="251"/>
      <c r="O53" s="251"/>
      <c r="P53" s="251"/>
      <c r="Q53" s="251"/>
      <c r="R53" s="938"/>
    </row>
    <row r="54" spans="1:18" s="252" customFormat="1" ht="39.950000000000003" hidden="1" customHeight="1">
      <c r="A54" s="937"/>
      <c r="B54" s="589"/>
      <c r="C54" s="255"/>
      <c r="D54" s="248"/>
      <c r="E54" s="248"/>
      <c r="F54" s="249"/>
      <c r="G54" s="250"/>
      <c r="H54" s="250"/>
      <c r="I54" s="250"/>
      <c r="J54" s="251"/>
      <c r="K54" s="251"/>
      <c r="L54" s="251"/>
      <c r="M54" s="251"/>
      <c r="N54" s="251"/>
      <c r="O54" s="251"/>
      <c r="P54" s="251"/>
      <c r="Q54" s="251"/>
      <c r="R54" s="938"/>
    </row>
    <row r="55" spans="1:18" s="252" customFormat="1" ht="39.950000000000003" hidden="1" customHeight="1">
      <c r="A55" s="937"/>
      <c r="B55" s="589"/>
      <c r="C55" s="255"/>
      <c r="D55" s="248"/>
      <c r="E55" s="248"/>
      <c r="F55" s="249"/>
      <c r="G55" s="250"/>
      <c r="H55" s="250"/>
      <c r="I55" s="250"/>
      <c r="J55" s="251"/>
      <c r="K55" s="251"/>
      <c r="L55" s="251"/>
      <c r="M55" s="251"/>
      <c r="N55" s="251"/>
      <c r="O55" s="251"/>
      <c r="P55" s="251"/>
      <c r="Q55" s="251"/>
      <c r="R55" s="938"/>
    </row>
    <row r="56" spans="1:18" s="252" customFormat="1" ht="39.950000000000003" hidden="1" customHeight="1">
      <c r="A56" s="937"/>
      <c r="B56" s="589"/>
      <c r="C56" s="255"/>
      <c r="D56" s="248"/>
      <c r="E56" s="248"/>
      <c r="F56" s="249"/>
      <c r="G56" s="250"/>
      <c r="H56" s="250"/>
      <c r="I56" s="250"/>
      <c r="J56" s="251"/>
      <c r="K56" s="251"/>
      <c r="L56" s="251"/>
      <c r="M56" s="251"/>
      <c r="N56" s="251"/>
      <c r="O56" s="251"/>
      <c r="P56" s="251"/>
      <c r="Q56" s="251"/>
      <c r="R56" s="938"/>
    </row>
    <row r="57" spans="1:18" s="252" customFormat="1" ht="39.950000000000003" hidden="1" customHeight="1">
      <c r="A57" s="937"/>
      <c r="B57" s="589"/>
      <c r="C57" s="255"/>
      <c r="D57" s="248"/>
      <c r="E57" s="248"/>
      <c r="F57" s="249"/>
      <c r="G57" s="250"/>
      <c r="H57" s="250"/>
      <c r="I57" s="250"/>
      <c r="J57" s="251"/>
      <c r="K57" s="251"/>
      <c r="L57" s="251"/>
      <c r="M57" s="251"/>
      <c r="N57" s="251"/>
      <c r="O57" s="251"/>
      <c r="P57" s="251"/>
      <c r="Q57" s="251"/>
      <c r="R57" s="938"/>
    </row>
    <row r="58" spans="1:18" s="252" customFormat="1" ht="39.950000000000003" hidden="1" customHeight="1">
      <c r="A58" s="937"/>
      <c r="B58" s="589"/>
      <c r="C58" s="255"/>
      <c r="D58" s="248"/>
      <c r="E58" s="248"/>
      <c r="F58" s="249"/>
      <c r="G58" s="250"/>
      <c r="H58" s="250"/>
      <c r="I58" s="250"/>
      <c r="J58" s="251"/>
      <c r="K58" s="251"/>
      <c r="L58" s="251"/>
      <c r="M58" s="251"/>
      <c r="N58" s="251"/>
      <c r="O58" s="251"/>
      <c r="P58" s="251"/>
      <c r="Q58" s="251"/>
      <c r="R58" s="938"/>
    </row>
    <row r="59" spans="1:18" s="252" customFormat="1" ht="39.950000000000003" hidden="1" customHeight="1">
      <c r="A59" s="937"/>
      <c r="B59" s="589"/>
      <c r="C59" s="255"/>
      <c r="D59" s="248"/>
      <c r="E59" s="248"/>
      <c r="F59" s="249"/>
      <c r="G59" s="250"/>
      <c r="H59" s="250"/>
      <c r="I59" s="250"/>
      <c r="J59" s="251"/>
      <c r="K59" s="251"/>
      <c r="L59" s="251"/>
      <c r="M59" s="251"/>
      <c r="N59" s="251"/>
      <c r="O59" s="251"/>
      <c r="P59" s="251"/>
      <c r="Q59" s="251"/>
      <c r="R59" s="938"/>
    </row>
    <row r="60" spans="1:18" s="252" customFormat="1" ht="39.950000000000003" hidden="1" customHeight="1">
      <c r="A60" s="937"/>
      <c r="B60" s="589"/>
      <c r="C60" s="255"/>
      <c r="D60" s="248"/>
      <c r="E60" s="248"/>
      <c r="F60" s="249"/>
      <c r="G60" s="250"/>
      <c r="H60" s="250"/>
      <c r="I60" s="250"/>
      <c r="J60" s="251"/>
      <c r="K60" s="251"/>
      <c r="L60" s="251"/>
      <c r="M60" s="251"/>
      <c r="N60" s="251"/>
      <c r="O60" s="251"/>
      <c r="P60" s="251"/>
      <c r="Q60" s="251"/>
      <c r="R60" s="938"/>
    </row>
    <row r="61" spans="1:18" s="252" customFormat="1" ht="39.950000000000003" hidden="1" customHeight="1">
      <c r="A61" s="937"/>
      <c r="B61" s="589"/>
      <c r="C61" s="255"/>
      <c r="D61" s="248"/>
      <c r="E61" s="248"/>
      <c r="F61" s="249"/>
      <c r="G61" s="250"/>
      <c r="H61" s="250"/>
      <c r="I61" s="250"/>
      <c r="J61" s="251"/>
      <c r="K61" s="251"/>
      <c r="L61" s="251"/>
      <c r="M61" s="251"/>
      <c r="N61" s="251"/>
      <c r="O61" s="251"/>
      <c r="P61" s="251"/>
      <c r="Q61" s="251"/>
      <c r="R61" s="938"/>
    </row>
    <row r="62" spans="1:18" s="252" customFormat="1" ht="39.950000000000003" hidden="1" customHeight="1">
      <c r="A62" s="937"/>
      <c r="B62" s="589"/>
      <c r="C62" s="255"/>
      <c r="D62" s="248"/>
      <c r="E62" s="248"/>
      <c r="F62" s="249"/>
      <c r="G62" s="250"/>
      <c r="H62" s="250"/>
      <c r="I62" s="250"/>
      <c r="J62" s="251"/>
      <c r="K62" s="251"/>
      <c r="L62" s="251"/>
      <c r="M62" s="251"/>
      <c r="N62" s="251"/>
      <c r="O62" s="251"/>
      <c r="P62" s="251"/>
      <c r="Q62" s="251"/>
      <c r="R62" s="938"/>
    </row>
    <row r="63" spans="1:18" s="252" customFormat="1" ht="39.950000000000003" hidden="1" customHeight="1">
      <c r="A63" s="937"/>
      <c r="B63" s="589"/>
      <c r="C63" s="255"/>
      <c r="D63" s="248"/>
      <c r="E63" s="248"/>
      <c r="F63" s="249"/>
      <c r="G63" s="250"/>
      <c r="H63" s="250"/>
      <c r="I63" s="250"/>
      <c r="J63" s="251"/>
      <c r="K63" s="251"/>
      <c r="L63" s="251"/>
      <c r="M63" s="251"/>
      <c r="N63" s="251"/>
      <c r="O63" s="251"/>
      <c r="P63" s="251"/>
      <c r="Q63" s="251"/>
      <c r="R63" s="938"/>
    </row>
    <row r="64" spans="1:18" s="252" customFormat="1" ht="39.950000000000003" hidden="1" customHeight="1">
      <c r="A64" s="937"/>
      <c r="B64" s="589"/>
      <c r="C64" s="255"/>
      <c r="D64" s="248"/>
      <c r="E64" s="248"/>
      <c r="F64" s="249"/>
      <c r="G64" s="250"/>
      <c r="H64" s="250"/>
      <c r="I64" s="250"/>
      <c r="J64" s="251"/>
      <c r="K64" s="251"/>
      <c r="L64" s="251"/>
      <c r="M64" s="251"/>
      <c r="N64" s="251"/>
      <c r="O64" s="251"/>
      <c r="P64" s="251"/>
      <c r="Q64" s="251"/>
      <c r="R64" s="938"/>
    </row>
    <row r="65" spans="1:18" s="252" customFormat="1" ht="39.950000000000003" hidden="1" customHeight="1">
      <c r="A65" s="937"/>
      <c r="B65" s="589"/>
      <c r="C65" s="255"/>
      <c r="D65" s="248"/>
      <c r="E65" s="248"/>
      <c r="F65" s="249"/>
      <c r="G65" s="250"/>
      <c r="H65" s="250"/>
      <c r="I65" s="250"/>
      <c r="J65" s="251"/>
      <c r="K65" s="251"/>
      <c r="L65" s="251"/>
      <c r="M65" s="251"/>
      <c r="N65" s="251"/>
      <c r="O65" s="251"/>
      <c r="P65" s="251"/>
      <c r="Q65" s="251"/>
      <c r="R65" s="938"/>
    </row>
    <row r="66" spans="1:18" s="252" customFormat="1" ht="39.950000000000003" hidden="1" customHeight="1">
      <c r="A66" s="937"/>
      <c r="B66" s="589"/>
      <c r="C66" s="255"/>
      <c r="D66" s="248"/>
      <c r="E66" s="248"/>
      <c r="F66" s="249"/>
      <c r="G66" s="250"/>
      <c r="H66" s="250"/>
      <c r="I66" s="250"/>
      <c r="J66" s="251"/>
      <c r="K66" s="251"/>
      <c r="L66" s="251"/>
      <c r="M66" s="251"/>
      <c r="N66" s="251"/>
      <c r="O66" s="251"/>
      <c r="P66" s="251"/>
      <c r="Q66" s="251"/>
      <c r="R66" s="938"/>
    </row>
    <row r="67" spans="1:18" s="252" customFormat="1" ht="39.950000000000003" hidden="1" customHeight="1">
      <c r="A67" s="937"/>
      <c r="B67" s="589"/>
      <c r="C67" s="255"/>
      <c r="D67" s="248"/>
      <c r="E67" s="248"/>
      <c r="F67" s="249"/>
      <c r="G67" s="250"/>
      <c r="H67" s="250"/>
      <c r="I67" s="250"/>
      <c r="J67" s="251"/>
      <c r="K67" s="251"/>
      <c r="L67" s="251"/>
      <c r="M67" s="251"/>
      <c r="N67" s="251"/>
      <c r="O67" s="251"/>
      <c r="P67" s="251"/>
      <c r="Q67" s="251"/>
      <c r="R67" s="938"/>
    </row>
    <row r="68" spans="1:18" s="252" customFormat="1" ht="39.950000000000003" hidden="1" customHeight="1">
      <c r="A68" s="937"/>
      <c r="B68" s="589"/>
      <c r="C68" s="255"/>
      <c r="D68" s="248"/>
      <c r="E68" s="248"/>
      <c r="F68" s="249"/>
      <c r="G68" s="250"/>
      <c r="H68" s="250"/>
      <c r="I68" s="250"/>
      <c r="J68" s="251"/>
      <c r="K68" s="251"/>
      <c r="L68" s="251"/>
      <c r="M68" s="251"/>
      <c r="N68" s="251"/>
      <c r="O68" s="251"/>
      <c r="P68" s="251"/>
      <c r="Q68" s="251"/>
      <c r="R68" s="938"/>
    </row>
    <row r="69" spans="1:18" s="252" customFormat="1" ht="39.950000000000003" hidden="1" customHeight="1">
      <c r="A69" s="937"/>
      <c r="B69" s="589"/>
      <c r="C69" s="255"/>
      <c r="D69" s="248"/>
      <c r="E69" s="248"/>
      <c r="F69" s="249"/>
      <c r="G69" s="250"/>
      <c r="H69" s="250"/>
      <c r="I69" s="250"/>
      <c r="J69" s="251"/>
      <c r="K69" s="251"/>
      <c r="L69" s="251"/>
      <c r="M69" s="251"/>
      <c r="N69" s="251"/>
      <c r="O69" s="251"/>
      <c r="P69" s="251"/>
      <c r="Q69" s="251"/>
      <c r="R69" s="938"/>
    </row>
    <row r="70" spans="1:18" s="252" customFormat="1" ht="39.950000000000003" hidden="1" customHeight="1">
      <c r="A70" s="940"/>
      <c r="B70" s="590"/>
      <c r="C70" s="255"/>
      <c r="D70" s="248"/>
      <c r="E70" s="248"/>
      <c r="F70" s="249"/>
      <c r="G70" s="250"/>
      <c r="H70" s="250"/>
      <c r="I70" s="250"/>
      <c r="J70" s="251"/>
      <c r="K70" s="251"/>
      <c r="L70" s="251"/>
      <c r="M70" s="251"/>
      <c r="N70" s="251"/>
      <c r="O70" s="251"/>
      <c r="P70" s="251"/>
      <c r="Q70" s="251"/>
      <c r="R70" s="938"/>
    </row>
    <row r="71" spans="1:18" s="252" customFormat="1" ht="39.950000000000003" hidden="1" customHeight="1">
      <c r="A71" s="940"/>
      <c r="B71" s="590"/>
      <c r="C71" s="255"/>
      <c r="D71" s="248"/>
      <c r="E71" s="248"/>
      <c r="F71" s="249"/>
      <c r="G71" s="250"/>
      <c r="H71" s="250"/>
      <c r="I71" s="250"/>
      <c r="J71" s="251"/>
      <c r="K71" s="251"/>
      <c r="L71" s="251"/>
      <c r="M71" s="251"/>
      <c r="N71" s="251"/>
      <c r="O71" s="251"/>
      <c r="P71" s="251"/>
      <c r="Q71" s="251"/>
      <c r="R71" s="938"/>
    </row>
    <row r="72" spans="1:18" s="252" customFormat="1" ht="39.950000000000003" hidden="1" customHeight="1">
      <c r="A72" s="940"/>
      <c r="B72" s="590"/>
      <c r="C72" s="255"/>
      <c r="D72" s="248"/>
      <c r="E72" s="248"/>
      <c r="F72" s="249"/>
      <c r="G72" s="250"/>
      <c r="H72" s="250"/>
      <c r="I72" s="250"/>
      <c r="J72" s="251"/>
      <c r="K72" s="251"/>
      <c r="L72" s="251"/>
      <c r="M72" s="251"/>
      <c r="N72" s="251"/>
      <c r="O72" s="251"/>
      <c r="P72" s="251"/>
      <c r="Q72" s="251"/>
      <c r="R72" s="938"/>
    </row>
    <row r="73" spans="1:18" s="252" customFormat="1" ht="39.950000000000003" hidden="1" customHeight="1">
      <c r="A73" s="940"/>
      <c r="B73" s="590"/>
      <c r="C73" s="255"/>
      <c r="D73" s="248"/>
      <c r="E73" s="248"/>
      <c r="F73" s="249"/>
      <c r="G73" s="250"/>
      <c r="H73" s="250"/>
      <c r="I73" s="250"/>
      <c r="J73" s="251"/>
      <c r="K73" s="251"/>
      <c r="L73" s="251"/>
      <c r="M73" s="251"/>
      <c r="N73" s="251"/>
      <c r="O73" s="251"/>
      <c r="P73" s="251"/>
      <c r="Q73" s="251"/>
      <c r="R73" s="938"/>
    </row>
    <row r="74" spans="1:18" s="252" customFormat="1" ht="39.950000000000003" hidden="1" customHeight="1">
      <c r="A74" s="940"/>
      <c r="B74" s="590"/>
      <c r="C74" s="255"/>
      <c r="D74" s="248"/>
      <c r="E74" s="248"/>
      <c r="F74" s="249"/>
      <c r="G74" s="250"/>
      <c r="H74" s="250"/>
      <c r="I74" s="250"/>
      <c r="J74" s="251"/>
      <c r="K74" s="251"/>
      <c r="L74" s="251"/>
      <c r="M74" s="251"/>
      <c r="N74" s="251"/>
      <c r="O74" s="251"/>
      <c r="P74" s="251"/>
      <c r="Q74" s="251"/>
      <c r="R74" s="938"/>
    </row>
    <row r="75" spans="1:18" s="252" customFormat="1" ht="39.950000000000003" hidden="1" customHeight="1">
      <c r="A75" s="940"/>
      <c r="B75" s="590"/>
      <c r="C75" s="255"/>
      <c r="D75" s="248"/>
      <c r="E75" s="248"/>
      <c r="F75" s="249"/>
      <c r="G75" s="250"/>
      <c r="H75" s="250"/>
      <c r="I75" s="250"/>
      <c r="J75" s="251"/>
      <c r="K75" s="251"/>
      <c r="L75" s="251"/>
      <c r="M75" s="251"/>
      <c r="N75" s="251"/>
      <c r="O75" s="251"/>
      <c r="P75" s="251"/>
      <c r="Q75" s="251"/>
      <c r="R75" s="938"/>
    </row>
    <row r="76" spans="1:18" s="252" customFormat="1" ht="39.950000000000003" hidden="1" customHeight="1">
      <c r="A76" s="940"/>
      <c r="B76" s="590"/>
      <c r="C76" s="255"/>
      <c r="D76" s="248"/>
      <c r="E76" s="248"/>
      <c r="F76" s="249"/>
      <c r="G76" s="250"/>
      <c r="H76" s="250"/>
      <c r="I76" s="250"/>
      <c r="J76" s="251"/>
      <c r="K76" s="251"/>
      <c r="L76" s="251"/>
      <c r="M76" s="251"/>
      <c r="N76" s="251"/>
      <c r="O76" s="251"/>
      <c r="P76" s="251"/>
      <c r="Q76" s="251"/>
      <c r="R76" s="938"/>
    </row>
    <row r="77" spans="1:18" s="252" customFormat="1" ht="39.950000000000003" hidden="1" customHeight="1">
      <c r="A77" s="940"/>
      <c r="B77" s="590"/>
      <c r="C77" s="255"/>
      <c r="D77" s="248"/>
      <c r="E77" s="248"/>
      <c r="F77" s="249"/>
      <c r="G77" s="250"/>
      <c r="H77" s="250"/>
      <c r="I77" s="250"/>
      <c r="J77" s="251"/>
      <c r="K77" s="251"/>
      <c r="L77" s="251"/>
      <c r="M77" s="251"/>
      <c r="N77" s="251"/>
      <c r="O77" s="251"/>
      <c r="P77" s="251"/>
      <c r="Q77" s="251"/>
      <c r="R77" s="938"/>
    </row>
    <row r="78" spans="1:18" s="252" customFormat="1" ht="39.950000000000003" hidden="1" customHeight="1">
      <c r="A78" s="940"/>
      <c r="B78" s="590"/>
      <c r="C78" s="255"/>
      <c r="D78" s="248"/>
      <c r="E78" s="248"/>
      <c r="F78" s="249"/>
      <c r="G78" s="250"/>
      <c r="H78" s="250"/>
      <c r="I78" s="250"/>
      <c r="J78" s="251"/>
      <c r="K78" s="251"/>
      <c r="L78" s="251"/>
      <c r="M78" s="251"/>
      <c r="N78" s="251"/>
      <c r="O78" s="251"/>
      <c r="P78" s="251"/>
      <c r="Q78" s="251"/>
      <c r="R78" s="938"/>
    </row>
    <row r="79" spans="1:18" s="252" customFormat="1" ht="39.950000000000003" hidden="1" customHeight="1">
      <c r="A79" s="940"/>
      <c r="B79" s="590"/>
      <c r="C79" s="255"/>
      <c r="D79" s="248"/>
      <c r="E79" s="248"/>
      <c r="F79" s="249"/>
      <c r="G79" s="250"/>
      <c r="H79" s="250"/>
      <c r="I79" s="250"/>
      <c r="J79" s="251"/>
      <c r="K79" s="251"/>
      <c r="L79" s="251"/>
      <c r="M79" s="251"/>
      <c r="N79" s="251"/>
      <c r="O79" s="251"/>
      <c r="P79" s="251"/>
      <c r="Q79" s="251"/>
      <c r="R79" s="938"/>
    </row>
    <row r="80" spans="1:18" s="252" customFormat="1" ht="39.950000000000003" hidden="1" customHeight="1">
      <c r="A80" s="940"/>
      <c r="B80" s="590"/>
      <c r="C80" s="255"/>
      <c r="D80" s="248"/>
      <c r="E80" s="248"/>
      <c r="F80" s="249"/>
      <c r="G80" s="250"/>
      <c r="H80" s="250"/>
      <c r="I80" s="250"/>
      <c r="J80" s="251"/>
      <c r="K80" s="251"/>
      <c r="L80" s="251"/>
      <c r="M80" s="251"/>
      <c r="N80" s="251"/>
      <c r="O80" s="251"/>
      <c r="P80" s="251"/>
      <c r="Q80" s="251"/>
      <c r="R80" s="938"/>
    </row>
    <row r="81" spans="1:20" s="252" customFormat="1" ht="39.950000000000003" hidden="1" customHeight="1">
      <c r="A81" s="940"/>
      <c r="B81" s="590"/>
      <c r="C81" s="255"/>
      <c r="D81" s="248"/>
      <c r="E81" s="248"/>
      <c r="F81" s="249"/>
      <c r="G81" s="250"/>
      <c r="H81" s="250"/>
      <c r="I81" s="250"/>
      <c r="J81" s="251"/>
      <c r="K81" s="251"/>
      <c r="L81" s="251"/>
      <c r="M81" s="251"/>
      <c r="N81" s="251"/>
      <c r="O81" s="251"/>
      <c r="P81" s="251"/>
      <c r="Q81" s="251"/>
      <c r="R81" s="938"/>
    </row>
    <row r="82" spans="1:20" s="252" customFormat="1" ht="39.950000000000003" hidden="1" customHeight="1">
      <c r="A82" s="940"/>
      <c r="B82" s="590"/>
      <c r="C82" s="255"/>
      <c r="D82" s="248"/>
      <c r="E82" s="248"/>
      <c r="F82" s="249"/>
      <c r="G82" s="250"/>
      <c r="H82" s="250"/>
      <c r="I82" s="250"/>
      <c r="J82" s="251"/>
      <c r="K82" s="251"/>
      <c r="L82" s="251"/>
      <c r="M82" s="251"/>
      <c r="N82" s="251"/>
      <c r="O82" s="251"/>
      <c r="P82" s="251"/>
      <c r="Q82" s="251"/>
      <c r="R82" s="938"/>
    </row>
    <row r="83" spans="1:20" s="252" customFormat="1" ht="39.950000000000003" hidden="1" customHeight="1" thickBot="1">
      <c r="A83" s="940"/>
      <c r="B83" s="590"/>
      <c r="C83" s="255"/>
      <c r="D83" s="248"/>
      <c r="E83" s="248"/>
      <c r="F83" s="249"/>
      <c r="G83" s="250"/>
      <c r="H83" s="250"/>
      <c r="I83" s="250"/>
      <c r="J83" s="251"/>
      <c r="K83" s="251"/>
      <c r="L83" s="251"/>
      <c r="M83" s="251"/>
      <c r="N83" s="251"/>
      <c r="O83" s="251"/>
      <c r="P83" s="251"/>
      <c r="Q83" s="251"/>
      <c r="R83" s="938"/>
    </row>
    <row r="84" spans="1:20" s="258" customFormat="1" ht="50.25" customHeight="1">
      <c r="A84" s="1430" t="s">
        <v>317</v>
      </c>
      <c r="B84" s="1430"/>
      <c r="C84" s="1430"/>
      <c r="D84" s="1430"/>
      <c r="E84" s="941"/>
      <c r="F84" s="942">
        <f>SUM(F12:F83)</f>
        <v>6585.35</v>
      </c>
      <c r="G84" s="943"/>
      <c r="H84" s="943"/>
      <c r="I84" s="942">
        <f t="shared" ref="I84:R84" si="2">SUM(I12:I83)</f>
        <v>31515.4</v>
      </c>
      <c r="J84" s="944">
        <f t="shared" si="2"/>
        <v>0</v>
      </c>
      <c r="K84" s="944">
        <f t="shared" si="2"/>
        <v>0</v>
      </c>
      <c r="L84" s="944">
        <f t="shared" si="2"/>
        <v>0</v>
      </c>
      <c r="M84" s="944">
        <f t="shared" si="2"/>
        <v>0</v>
      </c>
      <c r="N84" s="944">
        <f t="shared" si="2"/>
        <v>0</v>
      </c>
      <c r="O84" s="944">
        <f t="shared" si="2"/>
        <v>0</v>
      </c>
      <c r="P84" s="944">
        <f t="shared" si="2"/>
        <v>0</v>
      </c>
      <c r="Q84" s="944"/>
      <c r="R84" s="945">
        <f t="shared" si="2"/>
        <v>0</v>
      </c>
      <c r="S84" s="471"/>
      <c r="T84" s="471"/>
    </row>
    <row r="86" spans="1:20">
      <c r="A86" s="1420"/>
      <c r="B86" s="1420"/>
      <c r="C86" s="1420"/>
      <c r="D86" s="1420"/>
      <c r="E86" s="1420"/>
      <c r="F86" s="1420"/>
      <c r="G86" s="1420"/>
      <c r="H86" s="1420"/>
      <c r="I86" s="1420"/>
      <c r="J86" s="1420"/>
      <c r="K86" s="1420"/>
      <c r="L86" s="1420"/>
      <c r="M86" s="1420"/>
      <c r="N86" s="1420"/>
      <c r="O86" s="1420"/>
      <c r="P86" s="1420"/>
      <c r="Q86" s="1420"/>
      <c r="R86" s="1420"/>
    </row>
    <row r="87" spans="1:20">
      <c r="A87" s="1420"/>
      <c r="B87" s="1420"/>
      <c r="C87" s="1420"/>
      <c r="D87" s="1420"/>
      <c r="E87" s="1420"/>
      <c r="F87" s="1420"/>
      <c r="G87" s="1420"/>
      <c r="H87" s="1420"/>
      <c r="I87" s="1420"/>
      <c r="J87" s="1420"/>
      <c r="K87" s="1420"/>
      <c r="L87" s="1420"/>
      <c r="M87" s="1420"/>
      <c r="N87" s="1420"/>
      <c r="O87" s="1420"/>
      <c r="P87" s="1420"/>
      <c r="Q87" s="1420"/>
      <c r="R87" s="1420"/>
    </row>
    <row r="88" spans="1:20">
      <c r="A88" s="1420"/>
      <c r="B88" s="1420"/>
      <c r="C88" s="1420"/>
      <c r="D88" s="1420"/>
      <c r="E88" s="1420"/>
      <c r="F88" s="1420"/>
      <c r="G88" s="1420"/>
      <c r="H88" s="1420"/>
      <c r="I88" s="1420"/>
      <c r="J88" s="1420"/>
      <c r="K88" s="1420"/>
      <c r="L88" s="1420"/>
      <c r="M88" s="1420"/>
      <c r="N88" s="1420"/>
      <c r="O88" s="1420"/>
      <c r="P88" s="1420"/>
      <c r="Q88" s="1420"/>
      <c r="R88" s="1420"/>
    </row>
    <row r="89" spans="1:20">
      <c r="A89" s="1420"/>
      <c r="B89" s="1420"/>
      <c r="C89" s="1420"/>
      <c r="D89" s="1420"/>
      <c r="E89" s="1420"/>
      <c r="F89" s="1420"/>
      <c r="G89" s="1420"/>
      <c r="H89" s="1420"/>
      <c r="I89" s="1420"/>
      <c r="J89" s="1420"/>
      <c r="K89" s="1420"/>
      <c r="L89" s="1420"/>
      <c r="M89" s="1420"/>
      <c r="N89" s="1420"/>
      <c r="O89" s="1420"/>
      <c r="P89" s="1420"/>
      <c r="Q89" s="1420"/>
      <c r="R89" s="1420"/>
    </row>
    <row r="90" spans="1:20">
      <c r="A90" s="1420"/>
      <c r="B90" s="1420"/>
      <c r="C90" s="1420"/>
      <c r="D90" s="1420"/>
      <c r="E90" s="1420"/>
      <c r="F90" s="1420"/>
      <c r="G90" s="1420"/>
      <c r="H90" s="1420"/>
      <c r="I90" s="1420"/>
      <c r="J90" s="1420"/>
      <c r="K90" s="1420"/>
      <c r="L90" s="1420"/>
      <c r="M90" s="1420"/>
      <c r="N90" s="1420"/>
      <c r="O90" s="1420"/>
      <c r="P90" s="1420"/>
      <c r="Q90" s="1420"/>
      <c r="R90" s="1420"/>
    </row>
    <row r="91" spans="1:20">
      <c r="A91" s="1420"/>
      <c r="B91" s="1420"/>
      <c r="C91" s="1420"/>
      <c r="D91" s="1420"/>
      <c r="E91" s="1420"/>
      <c r="F91" s="1420"/>
      <c r="G91" s="1420"/>
      <c r="H91" s="1420"/>
      <c r="I91" s="1420"/>
      <c r="J91" s="1420"/>
      <c r="K91" s="1420"/>
      <c r="L91" s="1420"/>
      <c r="M91" s="1420"/>
      <c r="N91" s="1420"/>
      <c r="O91" s="1420"/>
      <c r="P91" s="1420"/>
      <c r="Q91" s="1420"/>
      <c r="R91" s="1420"/>
    </row>
    <row r="92" spans="1:20">
      <c r="A92" s="1420"/>
      <c r="B92" s="1420"/>
      <c r="C92" s="1420"/>
      <c r="D92" s="1420"/>
      <c r="E92" s="1420"/>
      <c r="F92" s="1420"/>
      <c r="G92" s="1420"/>
      <c r="H92" s="1420"/>
      <c r="I92" s="1420"/>
      <c r="J92" s="1420"/>
      <c r="K92" s="1420"/>
      <c r="L92" s="1420"/>
      <c r="M92" s="1420"/>
      <c r="N92" s="1420"/>
      <c r="O92" s="1420"/>
      <c r="P92" s="1420"/>
      <c r="Q92" s="1420"/>
      <c r="R92" s="1420"/>
    </row>
    <row r="93" spans="1:20">
      <c r="A93" s="1420"/>
      <c r="B93" s="1420"/>
      <c r="C93" s="1420"/>
      <c r="D93" s="1420"/>
      <c r="E93" s="1420"/>
      <c r="F93" s="1420"/>
      <c r="G93" s="1420"/>
      <c r="H93" s="1420"/>
      <c r="I93" s="1420"/>
      <c r="J93" s="1420"/>
      <c r="K93" s="1420"/>
      <c r="L93" s="1420"/>
      <c r="M93" s="1420"/>
      <c r="N93" s="1420"/>
      <c r="O93" s="1420"/>
      <c r="P93" s="1420"/>
      <c r="Q93" s="1420"/>
      <c r="R93" s="1420"/>
    </row>
    <row r="94" spans="1:20">
      <c r="A94" s="1420"/>
      <c r="B94" s="1420"/>
      <c r="C94" s="1420"/>
      <c r="D94" s="1420"/>
      <c r="E94" s="1420"/>
      <c r="F94" s="1420"/>
      <c r="G94" s="1420"/>
      <c r="H94" s="1420"/>
      <c r="I94" s="1420"/>
      <c r="J94" s="1420"/>
      <c r="K94" s="1420"/>
      <c r="L94" s="1420"/>
      <c r="M94" s="1420"/>
      <c r="N94" s="1420"/>
      <c r="O94" s="1420"/>
      <c r="P94" s="1420"/>
      <c r="Q94" s="1420"/>
      <c r="R94" s="1420"/>
    </row>
    <row r="95" spans="1:20">
      <c r="A95" s="1420"/>
      <c r="B95" s="1420"/>
      <c r="C95" s="1420"/>
      <c r="D95" s="1420"/>
      <c r="E95" s="1420"/>
      <c r="F95" s="1420"/>
      <c r="G95" s="1420"/>
      <c r="H95" s="1420"/>
      <c r="I95" s="1420"/>
      <c r="J95" s="1420"/>
      <c r="K95" s="1420"/>
      <c r="L95" s="1420"/>
      <c r="M95" s="1420"/>
      <c r="N95" s="1420"/>
      <c r="O95" s="1420"/>
      <c r="P95" s="1420"/>
      <c r="Q95" s="1420"/>
      <c r="R95" s="1420"/>
    </row>
    <row r="96" spans="1:20">
      <c r="A96" s="1420"/>
      <c r="B96" s="1420"/>
      <c r="C96" s="1420"/>
      <c r="D96" s="1420"/>
      <c r="E96" s="1420"/>
      <c r="F96" s="1420"/>
      <c r="G96" s="1420"/>
      <c r="H96" s="1420"/>
      <c r="I96" s="1420"/>
      <c r="J96" s="1420"/>
      <c r="K96" s="1420"/>
      <c r="L96" s="1420"/>
      <c r="M96" s="1420"/>
      <c r="N96" s="1420"/>
      <c r="O96" s="1420"/>
      <c r="P96" s="1420"/>
      <c r="Q96" s="1420"/>
      <c r="R96" s="1420"/>
    </row>
    <row r="97" spans="1:18">
      <c r="A97" s="1420"/>
      <c r="B97" s="1420"/>
      <c r="C97" s="1420"/>
      <c r="D97" s="1420"/>
      <c r="E97" s="1420"/>
      <c r="F97" s="1420"/>
      <c r="G97" s="1420"/>
      <c r="H97" s="1420"/>
      <c r="I97" s="1420"/>
      <c r="J97" s="1420"/>
      <c r="K97" s="1420"/>
      <c r="L97" s="1420"/>
      <c r="M97" s="1420"/>
      <c r="N97" s="1420"/>
      <c r="O97" s="1420"/>
      <c r="P97" s="1420"/>
      <c r="Q97" s="1420"/>
      <c r="R97" s="1420"/>
    </row>
  </sheetData>
  <sheetProtection formatCells="0" formatColumns="0" formatRows="0" insertColumns="0" insertRows="0" insertHyperlinks="0" deleteColumns="0" deleteRows="0"/>
  <mergeCells count="14">
    <mergeCell ref="A6:R6"/>
    <mergeCell ref="A1:R1"/>
    <mergeCell ref="A2:R2"/>
    <mergeCell ref="A3:R3"/>
    <mergeCell ref="A4:R4"/>
    <mergeCell ref="A5:R5"/>
    <mergeCell ref="A92:R94"/>
    <mergeCell ref="A95:R97"/>
    <mergeCell ref="A7:R7"/>
    <mergeCell ref="A9:R9"/>
    <mergeCell ref="A10:R10"/>
    <mergeCell ref="A84:D84"/>
    <mergeCell ref="A86:R88"/>
    <mergeCell ref="A89:R91"/>
  </mergeCells>
  <printOptions horizontalCentered="1"/>
  <pageMargins left="0.51181102362204722" right="0.51181102362204722" top="0.33" bottom="0.33" header="0.31496062992125984" footer="0.31496062992125984"/>
  <pageSetup paperSize="9" scale="37" orientation="landscape" horizontalDpi="300" verticalDpi="300"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9">
    <tabColor theme="7" tint="0.39997558519241921"/>
    <pageSetUpPr fitToPage="1"/>
  </sheetPr>
  <dimension ref="A1:AD542"/>
  <sheetViews>
    <sheetView view="pageBreakPreview" zoomScale="20" zoomScaleNormal="25" zoomScaleSheetLayoutView="20" workbookViewId="0">
      <selection activeCell="A4" sqref="A4:AD4"/>
    </sheetView>
  </sheetViews>
  <sheetFormatPr defaultColWidth="9.140625" defaultRowHeight="30.75"/>
  <cols>
    <col min="1" max="1" width="19" style="327" bestFit="1" customWidth="1"/>
    <col min="2" max="2" width="119.85546875" style="361" customWidth="1"/>
    <col min="3" max="5" width="42.7109375" style="361" customWidth="1"/>
    <col min="6" max="7" width="38" style="361" customWidth="1"/>
    <col min="8" max="10" width="44.7109375" style="361" customWidth="1"/>
    <col min="11" max="12" width="45.7109375" style="361" customWidth="1"/>
    <col min="13" max="13" width="59.85546875" style="361" customWidth="1"/>
    <col min="14" max="14" width="44.7109375" style="361" customWidth="1"/>
    <col min="15" max="15" width="65.7109375" style="361" customWidth="1"/>
    <col min="16" max="18" width="44.7109375" style="361" customWidth="1"/>
    <col min="19" max="19" width="72.85546875" style="361" bestFit="1" customWidth="1"/>
    <col min="20" max="20" width="53.7109375" style="361" bestFit="1" customWidth="1"/>
    <col min="21" max="21" width="45.140625" style="361" bestFit="1" customWidth="1"/>
    <col min="22" max="22" width="46.5703125" style="361" bestFit="1" customWidth="1"/>
    <col min="23" max="23" width="32.85546875" style="361" bestFit="1" customWidth="1"/>
    <col min="24" max="24" width="57.7109375" style="361" bestFit="1" customWidth="1"/>
    <col min="25" max="25" width="49.5703125" style="957" hidden="1" customWidth="1"/>
    <col min="26" max="26" width="55.7109375" style="957" hidden="1" customWidth="1"/>
    <col min="27" max="27" width="46.140625" style="957" hidden="1" customWidth="1"/>
    <col min="28" max="28" width="118.7109375" style="957" hidden="1" customWidth="1"/>
    <col min="29" max="29" width="76.28515625" style="957" hidden="1" customWidth="1"/>
    <col min="30" max="30" width="35.7109375" style="361" customWidth="1"/>
    <col min="31" max="16384" width="9.140625" style="327"/>
  </cols>
  <sheetData>
    <row r="1" spans="1:30">
      <c r="K1" s="489"/>
      <c r="L1" s="489"/>
    </row>
    <row r="2" spans="1:30" ht="31.5" thickBot="1"/>
    <row r="3" spans="1:30" ht="39.950000000000003" customHeight="1">
      <c r="A3" s="394"/>
      <c r="B3" s="395"/>
      <c r="C3" s="395"/>
      <c r="D3" s="395"/>
      <c r="E3" s="395"/>
      <c r="F3" s="395"/>
      <c r="G3" s="395"/>
      <c r="H3" s="395"/>
      <c r="I3" s="395"/>
      <c r="J3" s="395"/>
      <c r="K3" s="395"/>
      <c r="L3" s="395"/>
      <c r="M3" s="395"/>
      <c r="N3" s="395"/>
      <c r="O3" s="395"/>
      <c r="P3" s="395"/>
      <c r="Q3" s="395"/>
      <c r="R3" s="395"/>
      <c r="S3" s="395"/>
      <c r="T3" s="395"/>
      <c r="U3" s="395"/>
      <c r="V3" s="395"/>
      <c r="W3" s="395"/>
      <c r="X3" s="395"/>
      <c r="Y3" s="958"/>
      <c r="Z3" s="958"/>
      <c r="AA3" s="958"/>
      <c r="AB3" s="958"/>
      <c r="AC3" s="958"/>
      <c r="AD3" s="396"/>
    </row>
    <row r="4" spans="1:30" ht="39.950000000000003" customHeight="1">
      <c r="A4" s="1709"/>
      <c r="B4" s="1710"/>
      <c r="C4" s="1710"/>
      <c r="D4" s="1710"/>
      <c r="E4" s="1710"/>
      <c r="F4" s="1710"/>
      <c r="G4" s="1710"/>
      <c r="H4" s="1710"/>
      <c r="I4" s="1710"/>
      <c r="J4" s="1710"/>
      <c r="K4" s="1710"/>
      <c r="L4" s="1710"/>
      <c r="M4" s="1710"/>
      <c r="N4" s="1710"/>
      <c r="O4" s="1710"/>
      <c r="P4" s="1710"/>
      <c r="Q4" s="1710"/>
      <c r="R4" s="1710"/>
      <c r="S4" s="1710"/>
      <c r="T4" s="1710"/>
      <c r="U4" s="1710"/>
      <c r="V4" s="1710"/>
      <c r="W4" s="1710"/>
      <c r="X4" s="1710"/>
      <c r="Y4" s="1710"/>
      <c r="Z4" s="1710"/>
      <c r="AA4" s="1710"/>
      <c r="AB4" s="1710"/>
      <c r="AC4" s="1710"/>
      <c r="AD4" s="1711"/>
    </row>
    <row r="5" spans="1:30" ht="39.950000000000003" customHeight="1">
      <c r="A5" s="1712"/>
      <c r="B5" s="1713"/>
      <c r="C5" s="1713"/>
      <c r="D5" s="1713"/>
      <c r="E5" s="1713"/>
      <c r="F5" s="1713"/>
      <c r="G5" s="1713"/>
      <c r="H5" s="1713"/>
      <c r="I5" s="1713"/>
      <c r="J5" s="1713"/>
      <c r="K5" s="1713"/>
      <c r="L5" s="1713"/>
      <c r="M5" s="1713"/>
      <c r="N5" s="1713"/>
      <c r="O5" s="1713"/>
      <c r="P5" s="1713"/>
      <c r="Q5" s="1713"/>
      <c r="R5" s="1713"/>
      <c r="S5" s="1713"/>
      <c r="T5" s="1713"/>
      <c r="U5" s="1713"/>
      <c r="V5" s="1713"/>
      <c r="W5" s="1713"/>
      <c r="X5" s="1713"/>
      <c r="Y5" s="1713"/>
      <c r="Z5" s="1713"/>
      <c r="AA5" s="1713"/>
      <c r="AB5" s="1713"/>
      <c r="AC5" s="1713"/>
      <c r="AD5" s="1714"/>
    </row>
    <row r="6" spans="1:30" ht="39.950000000000003" customHeight="1">
      <c r="A6" s="1712"/>
      <c r="B6" s="1713"/>
      <c r="C6" s="1713"/>
      <c r="D6" s="1713"/>
      <c r="E6" s="1713"/>
      <c r="F6" s="1713"/>
      <c r="G6" s="1713"/>
      <c r="H6" s="1713"/>
      <c r="I6" s="1713"/>
      <c r="J6" s="1713"/>
      <c r="K6" s="1713"/>
      <c r="L6" s="1713"/>
      <c r="M6" s="1713"/>
      <c r="N6" s="1713"/>
      <c r="O6" s="1713"/>
      <c r="P6" s="1713"/>
      <c r="Q6" s="1713"/>
      <c r="R6" s="1713"/>
      <c r="S6" s="1713"/>
      <c r="T6" s="1713"/>
      <c r="U6" s="1713"/>
      <c r="V6" s="1713"/>
      <c r="W6" s="1713"/>
      <c r="X6" s="1713"/>
      <c r="Y6" s="1713"/>
      <c r="Z6" s="1713"/>
      <c r="AA6" s="1713"/>
      <c r="AB6" s="1713"/>
      <c r="AC6" s="1713"/>
      <c r="AD6" s="1714"/>
    </row>
    <row r="7" spans="1:30" ht="39.950000000000003" customHeight="1">
      <c r="A7" s="1709" t="s">
        <v>17</v>
      </c>
      <c r="B7" s="1710"/>
      <c r="C7" s="1710"/>
      <c r="D7" s="1710"/>
      <c r="E7" s="1710"/>
      <c r="F7" s="1710"/>
      <c r="G7" s="1710"/>
      <c r="H7" s="1710"/>
      <c r="I7" s="1710"/>
      <c r="J7" s="1710"/>
      <c r="K7" s="1710"/>
      <c r="L7" s="1710"/>
      <c r="M7" s="1710"/>
      <c r="N7" s="1710"/>
      <c r="O7" s="1710"/>
      <c r="P7" s="1710"/>
      <c r="Q7" s="1710"/>
      <c r="R7" s="1710"/>
      <c r="S7" s="1710"/>
      <c r="T7" s="1710"/>
      <c r="U7" s="1710"/>
      <c r="V7" s="1710"/>
      <c r="W7" s="1710"/>
      <c r="X7" s="1710"/>
      <c r="Y7" s="1710"/>
      <c r="Z7" s="1710"/>
      <c r="AA7" s="1710"/>
      <c r="AB7" s="1710"/>
      <c r="AC7" s="1710"/>
      <c r="AD7" s="1711"/>
    </row>
    <row r="8" spans="1:30" ht="39.950000000000003" customHeight="1">
      <c r="A8" s="1712" t="s">
        <v>185</v>
      </c>
      <c r="B8" s="1713"/>
      <c r="C8" s="1713"/>
      <c r="D8" s="1713"/>
      <c r="E8" s="1713"/>
      <c r="F8" s="1713"/>
      <c r="G8" s="1713"/>
      <c r="H8" s="1713"/>
      <c r="I8" s="1713"/>
      <c r="J8" s="1713"/>
      <c r="K8" s="1713"/>
      <c r="L8" s="1713"/>
      <c r="M8" s="1713"/>
      <c r="N8" s="1713"/>
      <c r="O8" s="1713"/>
      <c r="P8" s="1713"/>
      <c r="Q8" s="1713"/>
      <c r="R8" s="1713"/>
      <c r="S8" s="1713"/>
      <c r="T8" s="1713"/>
      <c r="U8" s="1713"/>
      <c r="V8" s="1713"/>
      <c r="W8" s="1713"/>
      <c r="X8" s="1713"/>
      <c r="Y8" s="1713"/>
      <c r="Z8" s="1713"/>
      <c r="AA8" s="1713"/>
      <c r="AB8" s="1713"/>
      <c r="AC8" s="1713"/>
      <c r="AD8" s="1714"/>
    </row>
    <row r="9" spans="1:30" ht="39.75" customHeight="1">
      <c r="A9" s="1712" t="s">
        <v>16</v>
      </c>
      <c r="B9" s="1713"/>
      <c r="C9" s="1713"/>
      <c r="D9" s="1713"/>
      <c r="E9" s="1713"/>
      <c r="F9" s="1713"/>
      <c r="G9" s="1713"/>
      <c r="H9" s="1713"/>
      <c r="I9" s="1713"/>
      <c r="J9" s="1713"/>
      <c r="K9" s="1713"/>
      <c r="L9" s="1713"/>
      <c r="M9" s="1713"/>
      <c r="N9" s="1713"/>
      <c r="O9" s="1713"/>
      <c r="P9" s="1713"/>
      <c r="Q9" s="1713"/>
      <c r="R9" s="1713"/>
      <c r="S9" s="1713"/>
      <c r="T9" s="1713"/>
      <c r="U9" s="1713"/>
      <c r="V9" s="1713"/>
      <c r="W9" s="1713"/>
      <c r="X9" s="1713"/>
      <c r="Y9" s="1713"/>
      <c r="Z9" s="1713"/>
      <c r="AA9" s="1713"/>
      <c r="AB9" s="1713"/>
      <c r="AC9" s="1713"/>
      <c r="AD9" s="1714"/>
    </row>
    <row r="10" spans="1:30" ht="39.75" customHeight="1">
      <c r="A10" s="397"/>
      <c r="B10" s="398"/>
      <c r="C10" s="398"/>
      <c r="D10" s="398"/>
      <c r="E10" s="398"/>
      <c r="F10" s="398"/>
      <c r="G10" s="398"/>
      <c r="H10" s="398"/>
      <c r="I10" s="398"/>
      <c r="J10" s="398"/>
      <c r="K10" s="972"/>
      <c r="L10" s="972"/>
      <c r="M10" s="398"/>
      <c r="N10" s="398"/>
      <c r="O10" s="398"/>
      <c r="P10" s="398"/>
      <c r="Q10" s="398"/>
      <c r="R10" s="398"/>
      <c r="S10" s="398"/>
      <c r="T10" s="398"/>
      <c r="U10" s="398"/>
      <c r="V10" s="398"/>
      <c r="W10" s="398"/>
      <c r="X10" s="398"/>
      <c r="Y10" s="959"/>
      <c r="Z10" s="959"/>
      <c r="AA10" s="959"/>
      <c r="AB10" s="959"/>
      <c r="AC10" s="959"/>
      <c r="AD10" s="399"/>
    </row>
    <row r="11" spans="1:30" ht="54.95" customHeight="1">
      <c r="A11" s="414"/>
      <c r="B11" s="400" t="s">
        <v>532</v>
      </c>
      <c r="C11" s="1715" t="str">
        <f>ORÇAMENTO!D9</f>
        <v>SISTEMA DE SANEAMENTO INTEGRADO NO BAIRRO DO ICUÍ: ABASTECIMENTO DE ÁGUA, DRENAGEM URBANA E MANEJO DE ÁGUAS PLUVIAIS E PAVIMENTAÇÃO NO MUNICÍPIO DE ANANINDEUA/ PA</v>
      </c>
      <c r="D11" s="1716"/>
      <c r="E11" s="1716"/>
      <c r="F11" s="1716"/>
      <c r="G11" s="1716"/>
      <c r="H11" s="1716"/>
      <c r="I11" s="1716"/>
      <c r="J11" s="1716"/>
      <c r="K11" s="1716"/>
      <c r="L11" s="1716"/>
      <c r="M11" s="1716"/>
      <c r="N11" s="1716"/>
      <c r="O11" s="1716"/>
      <c r="P11" s="1716"/>
      <c r="Q11" s="1716"/>
      <c r="R11" s="1716"/>
      <c r="S11" s="1716"/>
      <c r="T11" s="1716"/>
      <c r="U11" s="1716"/>
      <c r="V11" s="1716"/>
      <c r="W11" s="1716"/>
      <c r="X11" s="1716"/>
      <c r="Y11" s="1716"/>
      <c r="Z11" s="1716"/>
      <c r="AA11" s="1716"/>
      <c r="AB11" s="1716"/>
      <c r="AC11" s="1716"/>
      <c r="AD11" s="1717"/>
    </row>
    <row r="12" spans="1:30" ht="39.950000000000003" customHeight="1" thickBot="1">
      <c r="A12" s="401"/>
      <c r="B12" s="402"/>
      <c r="C12" s="402"/>
      <c r="D12" s="402"/>
      <c r="E12" s="402"/>
      <c r="F12" s="402"/>
      <c r="G12" s="402"/>
      <c r="H12" s="402"/>
      <c r="I12" s="402"/>
      <c r="J12" s="402"/>
      <c r="K12" s="402"/>
      <c r="L12" s="402"/>
      <c r="M12" s="402"/>
      <c r="N12" s="402"/>
      <c r="O12" s="402"/>
      <c r="P12" s="402"/>
      <c r="Q12" s="402"/>
      <c r="R12" s="402"/>
      <c r="S12" s="402"/>
      <c r="T12" s="402"/>
      <c r="U12" s="402"/>
      <c r="V12" s="402"/>
      <c r="W12" s="402"/>
      <c r="X12" s="402"/>
      <c r="Y12" s="960"/>
      <c r="Z12" s="960"/>
      <c r="AA12" s="960"/>
      <c r="AB12" s="960"/>
      <c r="AC12" s="960"/>
      <c r="AD12" s="403"/>
    </row>
    <row r="13" spans="1:30" s="362" customFormat="1" ht="78.75" customHeight="1" thickTop="1" thickBot="1">
      <c r="A13" s="1720" t="s">
        <v>335</v>
      </c>
      <c r="B13" s="1721"/>
      <c r="C13" s="1721"/>
      <c r="D13" s="1721"/>
      <c r="E13" s="1721"/>
      <c r="F13" s="1721"/>
      <c r="G13" s="1721"/>
      <c r="H13" s="1721"/>
      <c r="I13" s="1721"/>
      <c r="J13" s="1721"/>
      <c r="K13" s="1721"/>
      <c r="L13" s="1721"/>
      <c r="M13" s="1721"/>
      <c r="N13" s="1721"/>
      <c r="O13" s="1721"/>
      <c r="P13" s="1721"/>
      <c r="Q13" s="1721"/>
      <c r="R13" s="1721"/>
      <c r="S13" s="1721"/>
      <c r="T13" s="1721"/>
      <c r="U13" s="1721"/>
      <c r="V13" s="1721"/>
      <c r="W13" s="1721"/>
      <c r="X13" s="1721"/>
      <c r="Y13" s="1721"/>
      <c r="Z13" s="1721"/>
      <c r="AA13" s="1721"/>
      <c r="AB13" s="1721"/>
      <c r="AC13" s="1721"/>
      <c r="AD13" s="1722"/>
    </row>
    <row r="14" spans="1:30" ht="27.75" customHeight="1" thickTop="1" thickBot="1">
      <c r="A14" s="1698"/>
      <c r="B14" s="1699"/>
      <c r="C14" s="1699"/>
      <c r="D14" s="1699"/>
      <c r="E14" s="1699"/>
      <c r="F14" s="1699"/>
      <c r="G14" s="1699"/>
      <c r="H14" s="1699"/>
      <c r="I14" s="1699"/>
      <c r="J14" s="1699"/>
      <c r="K14" s="1699"/>
      <c r="L14" s="1699"/>
      <c r="M14" s="1699"/>
      <c r="N14" s="1699"/>
      <c r="O14" s="1699"/>
      <c r="P14" s="1699"/>
      <c r="Q14" s="1699"/>
      <c r="R14" s="1699"/>
      <c r="S14" s="1699"/>
      <c r="T14" s="1699"/>
      <c r="U14" s="1699"/>
      <c r="V14" s="1699"/>
      <c r="W14" s="1699"/>
      <c r="X14" s="1699"/>
      <c r="Y14" s="1699"/>
      <c r="Z14" s="1699"/>
      <c r="AA14" s="1662"/>
      <c r="AB14" s="1699"/>
      <c r="AC14" s="1699"/>
      <c r="AD14" s="1700"/>
    </row>
    <row r="15" spans="1:30" ht="90.75" customHeight="1">
      <c r="A15" s="1753" t="s">
        <v>318</v>
      </c>
      <c r="B15" s="1754"/>
      <c r="C15" s="1747" t="s">
        <v>327</v>
      </c>
      <c r="D15" s="1739" t="s">
        <v>3693</v>
      </c>
      <c r="E15" s="1740"/>
      <c r="F15" s="1741" t="s">
        <v>325</v>
      </c>
      <c r="G15" s="1735" t="s">
        <v>329</v>
      </c>
      <c r="H15" s="1738"/>
      <c r="I15" s="1738"/>
      <c r="J15" s="1738"/>
      <c r="K15" s="1738"/>
      <c r="L15" s="1738"/>
      <c r="M15" s="1738"/>
      <c r="N15" s="1738"/>
      <c r="O15" s="1723" t="s">
        <v>403</v>
      </c>
      <c r="P15" s="1723"/>
      <c r="Q15" s="1723"/>
      <c r="R15" s="1735" t="s">
        <v>404</v>
      </c>
      <c r="S15" s="1736"/>
      <c r="T15" s="1737" t="s">
        <v>321</v>
      </c>
      <c r="U15" s="1737"/>
      <c r="V15" s="1737"/>
      <c r="W15" s="1737"/>
      <c r="X15" s="1737"/>
      <c r="Y15" s="1724" t="s">
        <v>603</v>
      </c>
      <c r="Z15" s="1724"/>
      <c r="AA15" s="1733" t="s">
        <v>552</v>
      </c>
      <c r="AB15" s="1727" t="s">
        <v>418</v>
      </c>
      <c r="AC15" s="1725" t="s">
        <v>585</v>
      </c>
      <c r="AD15" s="1730" t="s">
        <v>10</v>
      </c>
    </row>
    <row r="16" spans="1:30" ht="134.25" customHeight="1">
      <c r="A16" s="1753"/>
      <c r="B16" s="1754"/>
      <c r="C16" s="1747"/>
      <c r="D16" s="1741"/>
      <c r="E16" s="1742"/>
      <c r="F16" s="1741"/>
      <c r="G16" s="453" t="s">
        <v>3486</v>
      </c>
      <c r="H16" s="453" t="s">
        <v>3487</v>
      </c>
      <c r="I16" s="453" t="s">
        <v>326</v>
      </c>
      <c r="J16" s="453" t="s">
        <v>542</v>
      </c>
      <c r="K16" s="358" t="s">
        <v>587</v>
      </c>
      <c r="L16" s="358" t="s">
        <v>588</v>
      </c>
      <c r="M16" s="453" t="s">
        <v>328</v>
      </c>
      <c r="N16" s="455" t="s">
        <v>3692</v>
      </c>
      <c r="O16" s="455" t="s">
        <v>331</v>
      </c>
      <c r="P16" s="454" t="s">
        <v>577</v>
      </c>
      <c r="Q16" s="454" t="s">
        <v>576</v>
      </c>
      <c r="R16" s="453" t="s">
        <v>405</v>
      </c>
      <c r="S16" s="358" t="s">
        <v>587</v>
      </c>
      <c r="T16" s="456" t="s">
        <v>333</v>
      </c>
      <c r="U16" s="456" t="s">
        <v>334</v>
      </c>
      <c r="V16" s="456" t="s">
        <v>324</v>
      </c>
      <c r="W16" s="456" t="s">
        <v>496</v>
      </c>
      <c r="X16" s="456" t="s">
        <v>322</v>
      </c>
      <c r="Y16" s="961" t="s">
        <v>604</v>
      </c>
      <c r="Z16" s="962" t="s">
        <v>605</v>
      </c>
      <c r="AA16" s="1734"/>
      <c r="AB16" s="1728"/>
      <c r="AC16" s="1726"/>
      <c r="AD16" s="1731"/>
    </row>
    <row r="17" spans="1:30" ht="81.75" customHeight="1">
      <c r="A17" s="1749" t="s">
        <v>6</v>
      </c>
      <c r="B17" s="1751" t="s">
        <v>323</v>
      </c>
      <c r="C17" s="1748"/>
      <c r="D17" s="1743"/>
      <c r="E17" s="1744"/>
      <c r="F17" s="1743"/>
      <c r="G17" s="1158"/>
      <c r="H17" s="453"/>
      <c r="I17" s="457">
        <v>0.1</v>
      </c>
      <c r="J17" s="457"/>
      <c r="K17" s="500">
        <v>30</v>
      </c>
      <c r="L17" s="500">
        <v>7.3</v>
      </c>
      <c r="M17" s="588">
        <v>1</v>
      </c>
      <c r="N17" s="1385">
        <v>0.25</v>
      </c>
      <c r="O17" s="455"/>
      <c r="P17" s="458"/>
      <c r="Q17" s="454"/>
      <c r="R17" s="453"/>
      <c r="S17" s="500">
        <v>15.4</v>
      </c>
      <c r="T17" s="455">
        <v>5</v>
      </c>
      <c r="U17" s="453"/>
      <c r="V17" s="453"/>
      <c r="W17" s="457"/>
      <c r="X17" s="459">
        <v>13.4</v>
      </c>
      <c r="Y17" s="1301">
        <v>2.5000000000000001E-2</v>
      </c>
      <c r="Z17" s="1302">
        <v>0.05</v>
      </c>
      <c r="AA17" s="1390">
        <v>2.5000000000000001E-2</v>
      </c>
      <c r="AB17" s="1729"/>
      <c r="AC17" s="963">
        <v>13.4</v>
      </c>
      <c r="AD17" s="1732"/>
    </row>
    <row r="18" spans="1:30" ht="102.75" customHeight="1" thickBot="1">
      <c r="A18" s="1750"/>
      <c r="B18" s="1752"/>
      <c r="C18" s="460" t="s">
        <v>49</v>
      </c>
      <c r="D18" s="461" t="s">
        <v>3695</v>
      </c>
      <c r="E18" s="461" t="s">
        <v>3696</v>
      </c>
      <c r="F18" s="461" t="s">
        <v>52</v>
      </c>
      <c r="G18" s="461"/>
      <c r="H18" s="462"/>
      <c r="I18" s="462" t="s">
        <v>3694</v>
      </c>
      <c r="J18" s="462" t="s">
        <v>553</v>
      </c>
      <c r="K18" s="505" t="s">
        <v>591</v>
      </c>
      <c r="L18" s="505" t="s">
        <v>468</v>
      </c>
      <c r="M18" s="463" t="s">
        <v>3697</v>
      </c>
      <c r="N18" s="467" t="s">
        <v>2</v>
      </c>
      <c r="O18" s="464" t="s">
        <v>554</v>
      </c>
      <c r="P18" s="465" t="s">
        <v>555</v>
      </c>
      <c r="Q18" s="466" t="s">
        <v>578</v>
      </c>
      <c r="R18" s="463" t="s">
        <v>579</v>
      </c>
      <c r="S18" s="505" t="s">
        <v>591</v>
      </c>
      <c r="T18" s="467" t="s">
        <v>556</v>
      </c>
      <c r="U18" s="463" t="s">
        <v>580</v>
      </c>
      <c r="V18" s="463" t="s">
        <v>469</v>
      </c>
      <c r="W18" s="463" t="s">
        <v>581</v>
      </c>
      <c r="X18" s="468" t="s">
        <v>582</v>
      </c>
      <c r="Y18" s="964" t="s">
        <v>606</v>
      </c>
      <c r="Z18" s="965" t="s">
        <v>607</v>
      </c>
      <c r="AA18" s="1391" t="s">
        <v>557</v>
      </c>
      <c r="AB18" s="966" t="s">
        <v>608</v>
      </c>
      <c r="AC18" s="967" t="s">
        <v>609</v>
      </c>
      <c r="AD18" s="469" t="s">
        <v>583</v>
      </c>
    </row>
    <row r="19" spans="1:30" ht="73.5" customHeight="1" thickTop="1" thickBot="1">
      <c r="A19" s="359"/>
      <c r="B19" s="360"/>
      <c r="C19" s="360"/>
      <c r="D19" s="360"/>
      <c r="E19" s="360"/>
      <c r="F19" s="360"/>
      <c r="G19" s="360"/>
      <c r="H19" s="360"/>
      <c r="I19" s="360"/>
      <c r="J19" s="360"/>
      <c r="K19" s="360"/>
      <c r="L19" s="360"/>
      <c r="M19" s="360"/>
      <c r="N19" s="360"/>
      <c r="O19" s="360"/>
      <c r="P19" s="360"/>
      <c r="Q19" s="360"/>
      <c r="R19" s="360"/>
      <c r="S19" s="360"/>
      <c r="T19" s="360"/>
      <c r="U19" s="360"/>
      <c r="V19" s="360"/>
      <c r="W19" s="360"/>
      <c r="X19" s="360"/>
      <c r="Y19" s="968"/>
      <c r="Z19" s="968"/>
      <c r="AA19" s="968"/>
      <c r="AB19" s="968"/>
      <c r="AC19" s="968"/>
      <c r="AD19" s="363"/>
    </row>
    <row r="20" spans="1:30" ht="50.1" customHeight="1" thickTop="1" thickBot="1">
      <c r="A20" s="446">
        <f>'DADOS (F)'!A12</f>
        <v>1</v>
      </c>
      <c r="B20" s="447" t="str">
        <f>'DADOS (F)'!B12</f>
        <v>R. DA PUPUNHEIRA</v>
      </c>
      <c r="C20" s="448">
        <f>'DADOS (F)'!F12</f>
        <v>302</v>
      </c>
      <c r="D20" s="448">
        <v>297.39999999999998</v>
      </c>
      <c r="E20" s="448">
        <v>297.39999999999998</v>
      </c>
      <c r="F20" s="449">
        <f>'DADOS (F)'!H12</f>
        <v>4</v>
      </c>
      <c r="G20" s="449">
        <v>1.2</v>
      </c>
      <c r="H20" s="449">
        <v>0.3</v>
      </c>
      <c r="I20" s="449">
        <f>M20*$I$17*0.2</f>
        <v>7.44</v>
      </c>
      <c r="J20" s="449">
        <f t="shared" ref="J20:J51" si="0">I20*70%</f>
        <v>5.21</v>
      </c>
      <c r="K20" s="512">
        <f>J20*1.3*$K$17</f>
        <v>203.19</v>
      </c>
      <c r="L20" s="512">
        <f>J20*1.3*$L$17</f>
        <v>49.44</v>
      </c>
      <c r="M20" s="449">
        <f t="shared" ref="M20:M49" si="1">((E20*H20)+(G20*D20)*$M$17)-N20</f>
        <v>371.75</v>
      </c>
      <c r="N20" s="449">
        <f>$N$17*D20</f>
        <v>74.349999999999994</v>
      </c>
      <c r="O20" s="449">
        <f>Q20*0.43*0.1</f>
        <v>25.58</v>
      </c>
      <c r="P20" s="449">
        <f>E20+D20</f>
        <v>594.79999999999995</v>
      </c>
      <c r="Q20" s="449">
        <f>D20+E20</f>
        <v>594.79999999999995</v>
      </c>
      <c r="R20" s="449">
        <f t="shared" ref="R20:R51" si="2">I20+O20</f>
        <v>33.020000000000003</v>
      </c>
      <c r="S20" s="512">
        <f>R20*1.3*$S$17</f>
        <v>661.06</v>
      </c>
      <c r="T20" s="449">
        <f t="shared" ref="T20:T49" si="3">C20*(F20)</f>
        <v>1208</v>
      </c>
      <c r="U20" s="449">
        <f t="shared" ref="U20:U49" si="4">C20*(F20)</f>
        <v>1208</v>
      </c>
      <c r="V20" s="470">
        <v>0.04</v>
      </c>
      <c r="W20" s="449">
        <f>U20*V20</f>
        <v>48.32</v>
      </c>
      <c r="X20" s="450">
        <f>W20*$X$17</f>
        <v>647.49</v>
      </c>
      <c r="Y20" s="969"/>
      <c r="Z20" s="969"/>
      <c r="AA20" s="450"/>
      <c r="AB20" s="970">
        <f>(Y20+AA20)*0.05+Z20</f>
        <v>0</v>
      </c>
      <c r="AC20" s="970">
        <f>AB20*1.3*$AC$17*0.035</f>
        <v>0</v>
      </c>
      <c r="AD20" s="451">
        <f t="shared" ref="AD20:AD51" si="5">C20*F20*15%</f>
        <v>181.2</v>
      </c>
    </row>
    <row r="21" spans="1:30" s="349" customFormat="1" ht="50.1" customHeight="1" thickTop="1" thickBot="1">
      <c r="A21" s="446">
        <f>'DADOS (F)'!A13</f>
        <v>2</v>
      </c>
      <c r="B21" s="447" t="str">
        <f>'DADOS (F)'!B13</f>
        <v>R. TANGERINA</v>
      </c>
      <c r="C21" s="448">
        <f>'DADOS (F)'!F13</f>
        <v>319</v>
      </c>
      <c r="D21" s="448">
        <v>309.5</v>
      </c>
      <c r="E21" s="448">
        <v>309.5</v>
      </c>
      <c r="F21" s="449">
        <f>'DADOS (F)'!H13</f>
        <v>4</v>
      </c>
      <c r="G21" s="449">
        <v>1.2</v>
      </c>
      <c r="H21" s="449">
        <v>0.3</v>
      </c>
      <c r="I21" s="449">
        <f>M21*$I$17*0.2</f>
        <v>7.74</v>
      </c>
      <c r="J21" s="449">
        <f t="shared" si="0"/>
        <v>5.42</v>
      </c>
      <c r="K21" s="512">
        <f t="shared" ref="K21:K87" si="6">J21*1.3*$K$17</f>
        <v>211.38</v>
      </c>
      <c r="L21" s="512">
        <f t="shared" ref="L21:L77" si="7">J21*1.3*$L$17</f>
        <v>51.44</v>
      </c>
      <c r="M21" s="449">
        <f t="shared" si="1"/>
        <v>386.87</v>
      </c>
      <c r="N21" s="449">
        <f t="shared" ref="N21:N84" si="8">$N$17*D21</f>
        <v>77.38</v>
      </c>
      <c r="O21" s="449">
        <f t="shared" ref="O21:O56" si="9">Q21*0.43*0.1</f>
        <v>26.62</v>
      </c>
      <c r="P21" s="449">
        <f t="shared" ref="P21:P49" si="10">E21+D21</f>
        <v>619</v>
      </c>
      <c r="Q21" s="449">
        <f t="shared" ref="Q21:Q49" si="11">D21+E21</f>
        <v>619</v>
      </c>
      <c r="R21" s="449">
        <f t="shared" si="2"/>
        <v>34.36</v>
      </c>
      <c r="S21" s="512">
        <f t="shared" ref="S21:S49" si="12">R21*1.3*$S$17</f>
        <v>687.89</v>
      </c>
      <c r="T21" s="449">
        <f t="shared" si="3"/>
        <v>1276</v>
      </c>
      <c r="U21" s="449">
        <f t="shared" si="4"/>
        <v>1276</v>
      </c>
      <c r="V21" s="470">
        <v>0.04</v>
      </c>
      <c r="W21" s="449">
        <f>U21*V21</f>
        <v>51.04</v>
      </c>
      <c r="X21" s="450">
        <f>W21*$X$17</f>
        <v>683.94</v>
      </c>
      <c r="Y21" s="969"/>
      <c r="Z21" s="969"/>
      <c r="AA21" s="450"/>
      <c r="AB21" s="970">
        <f t="shared" ref="AB21:AB56" si="13">(Y21+AA21)*0.05+Z21</f>
        <v>0</v>
      </c>
      <c r="AC21" s="970">
        <f t="shared" ref="AC21:AC49" si="14">AB21*1.3*$AC$17*0.035</f>
        <v>0</v>
      </c>
      <c r="AD21" s="451">
        <f t="shared" si="5"/>
        <v>191.4</v>
      </c>
    </row>
    <row r="22" spans="1:30" s="349" customFormat="1" ht="50.1" customHeight="1" thickTop="1" thickBot="1">
      <c r="A22" s="446">
        <f>'DADOS (F)'!A14</f>
        <v>3</v>
      </c>
      <c r="B22" s="447" t="str">
        <f>'DADOS (F)'!B14</f>
        <v>PASS. LARANJEIRA</v>
      </c>
      <c r="C22" s="448">
        <f>'DADOS (F)'!F14</f>
        <v>293</v>
      </c>
      <c r="D22" s="448">
        <v>276.88</v>
      </c>
      <c r="E22" s="448">
        <v>276.88</v>
      </c>
      <c r="F22" s="449">
        <f>'DADOS (F)'!H14</f>
        <v>4.5</v>
      </c>
      <c r="G22" s="449">
        <v>1.2</v>
      </c>
      <c r="H22" s="449">
        <v>0.3</v>
      </c>
      <c r="I22" s="449">
        <f>M22*$I$17*0.2</f>
        <v>6.92</v>
      </c>
      <c r="J22" s="449">
        <f t="shared" si="0"/>
        <v>4.84</v>
      </c>
      <c r="K22" s="512">
        <f t="shared" si="6"/>
        <v>188.76</v>
      </c>
      <c r="L22" s="512">
        <f t="shared" si="7"/>
        <v>45.93</v>
      </c>
      <c r="M22" s="449">
        <f t="shared" si="1"/>
        <v>346.1</v>
      </c>
      <c r="N22" s="449">
        <f t="shared" si="8"/>
        <v>69.22</v>
      </c>
      <c r="O22" s="449">
        <f t="shared" si="9"/>
        <v>23.81</v>
      </c>
      <c r="P22" s="449">
        <f t="shared" si="10"/>
        <v>553.76</v>
      </c>
      <c r="Q22" s="449">
        <f t="shared" si="11"/>
        <v>553.76</v>
      </c>
      <c r="R22" s="449">
        <f t="shared" si="2"/>
        <v>30.73</v>
      </c>
      <c r="S22" s="512">
        <f t="shared" si="12"/>
        <v>615.21</v>
      </c>
      <c r="T22" s="449">
        <f t="shared" si="3"/>
        <v>1318.5</v>
      </c>
      <c r="U22" s="449">
        <f t="shared" si="4"/>
        <v>1318.5</v>
      </c>
      <c r="V22" s="470">
        <v>0.04</v>
      </c>
      <c r="W22" s="449">
        <f>U22*V22</f>
        <v>52.74</v>
      </c>
      <c r="X22" s="450">
        <f>W22*$X$17</f>
        <v>706.72</v>
      </c>
      <c r="Y22" s="969"/>
      <c r="Z22" s="969"/>
      <c r="AA22" s="450"/>
      <c r="AB22" s="970">
        <f t="shared" si="13"/>
        <v>0</v>
      </c>
      <c r="AC22" s="970">
        <f t="shared" si="14"/>
        <v>0</v>
      </c>
      <c r="AD22" s="451">
        <f t="shared" si="5"/>
        <v>197.78</v>
      </c>
    </row>
    <row r="23" spans="1:30" s="349" customFormat="1" ht="50.1" customHeight="1" thickTop="1" thickBot="1">
      <c r="A23" s="446">
        <f>'DADOS (F)'!A15</f>
        <v>4</v>
      </c>
      <c r="B23" s="447" t="str">
        <f>'DADOS (F)'!B15</f>
        <v xml:space="preserve">TV. FÉ EM DEUS </v>
      </c>
      <c r="C23" s="448">
        <f>'DADOS (F)'!F15</f>
        <v>159.88</v>
      </c>
      <c r="D23" s="448">
        <v>134.53</v>
      </c>
      <c r="E23" s="448">
        <v>134.53</v>
      </c>
      <c r="F23" s="449">
        <f>'DADOS (F)'!H15</f>
        <v>5.71</v>
      </c>
      <c r="G23" s="449">
        <v>1.2</v>
      </c>
      <c r="H23" s="449">
        <v>0.3</v>
      </c>
      <c r="I23" s="449">
        <f>M23*$I$17*0.2</f>
        <v>3.36</v>
      </c>
      <c r="J23" s="449">
        <f t="shared" si="0"/>
        <v>2.35</v>
      </c>
      <c r="K23" s="512">
        <f t="shared" si="6"/>
        <v>91.65</v>
      </c>
      <c r="L23" s="512">
        <f t="shared" si="7"/>
        <v>22.3</v>
      </c>
      <c r="M23" s="449">
        <f t="shared" si="1"/>
        <v>168.17</v>
      </c>
      <c r="N23" s="449">
        <f t="shared" si="8"/>
        <v>33.630000000000003</v>
      </c>
      <c r="O23" s="449">
        <f t="shared" si="9"/>
        <v>11.57</v>
      </c>
      <c r="P23" s="449">
        <f t="shared" si="10"/>
        <v>269.06</v>
      </c>
      <c r="Q23" s="449">
        <f t="shared" si="11"/>
        <v>269.06</v>
      </c>
      <c r="R23" s="449">
        <f t="shared" si="2"/>
        <v>14.93</v>
      </c>
      <c r="S23" s="512">
        <f t="shared" si="12"/>
        <v>298.89999999999998</v>
      </c>
      <c r="T23" s="449">
        <f t="shared" si="3"/>
        <v>912.91</v>
      </c>
      <c r="U23" s="449">
        <f t="shared" si="4"/>
        <v>912.91</v>
      </c>
      <c r="V23" s="470">
        <v>0.04</v>
      </c>
      <c r="W23" s="449">
        <f>U23*V23</f>
        <v>36.520000000000003</v>
      </c>
      <c r="X23" s="450">
        <f>W23*$X$17</f>
        <v>489.37</v>
      </c>
      <c r="Y23" s="969"/>
      <c r="Z23" s="969"/>
      <c r="AA23" s="450"/>
      <c r="AB23" s="970">
        <f t="shared" si="13"/>
        <v>0</v>
      </c>
      <c r="AC23" s="970">
        <f t="shared" si="14"/>
        <v>0</v>
      </c>
      <c r="AD23" s="451">
        <f t="shared" si="5"/>
        <v>136.94</v>
      </c>
    </row>
    <row r="24" spans="1:30" s="349" customFormat="1" ht="50.1" customHeight="1" thickTop="1" thickBot="1">
      <c r="A24" s="446">
        <f>'DADOS (F)'!A16</f>
        <v>5</v>
      </c>
      <c r="B24" s="447" t="str">
        <f>'DADOS (F)'!B16</f>
        <v>RUA PAULO ASSUNÇÃO</v>
      </c>
      <c r="C24" s="448">
        <f>'DADOS (F)'!F16</f>
        <v>698.13</v>
      </c>
      <c r="D24" s="448">
        <v>674.54</v>
      </c>
      <c r="E24" s="448">
        <v>693.33</v>
      </c>
      <c r="F24" s="449">
        <f>'DADOS (F)'!H16</f>
        <v>5.58</v>
      </c>
      <c r="G24" s="449">
        <v>1.2</v>
      </c>
      <c r="H24" s="449">
        <v>1.05</v>
      </c>
      <c r="I24" s="449">
        <f>M24*$I$17*0.2</f>
        <v>27.38</v>
      </c>
      <c r="J24" s="449">
        <f t="shared" si="0"/>
        <v>19.170000000000002</v>
      </c>
      <c r="K24" s="512">
        <f t="shared" si="6"/>
        <v>747.63</v>
      </c>
      <c r="L24" s="512">
        <f t="shared" si="7"/>
        <v>181.92</v>
      </c>
      <c r="M24" s="449">
        <f t="shared" si="1"/>
        <v>1368.8</v>
      </c>
      <c r="N24" s="449">
        <f t="shared" si="8"/>
        <v>168.64</v>
      </c>
      <c r="O24" s="449">
        <f t="shared" si="9"/>
        <v>58.82</v>
      </c>
      <c r="P24" s="449">
        <f t="shared" si="10"/>
        <v>1367.87</v>
      </c>
      <c r="Q24" s="449">
        <f t="shared" si="11"/>
        <v>1367.87</v>
      </c>
      <c r="R24" s="449">
        <f t="shared" si="2"/>
        <v>86.2</v>
      </c>
      <c r="S24" s="512">
        <f t="shared" si="12"/>
        <v>1725.72</v>
      </c>
      <c r="T24" s="449">
        <f t="shared" si="3"/>
        <v>3895.57</v>
      </c>
      <c r="U24" s="449">
        <f t="shared" si="4"/>
        <v>3895.57</v>
      </c>
      <c r="V24" s="470">
        <v>0.04</v>
      </c>
      <c r="W24" s="449">
        <f>U24*V24</f>
        <v>155.82</v>
      </c>
      <c r="X24" s="450">
        <f>W24*$X$17</f>
        <v>2087.9899999999998</v>
      </c>
      <c r="Y24" s="969"/>
      <c r="Z24" s="969"/>
      <c r="AA24" s="450"/>
      <c r="AB24" s="970">
        <f t="shared" si="13"/>
        <v>0</v>
      </c>
      <c r="AC24" s="970">
        <f t="shared" si="14"/>
        <v>0</v>
      </c>
      <c r="AD24" s="451">
        <f t="shared" si="5"/>
        <v>584.33000000000004</v>
      </c>
    </row>
    <row r="25" spans="1:30" s="349" customFormat="1" ht="50.1" customHeight="1" thickTop="1" thickBot="1">
      <c r="A25" s="446">
        <f>'DADOS (F)'!A17</f>
        <v>6</v>
      </c>
      <c r="B25" s="447" t="str">
        <f>'DADOS (F)'!B17</f>
        <v>PASS PAULO ASSUNÇÃO</v>
      </c>
      <c r="C25" s="448">
        <f>'DADOS (F)'!F17</f>
        <v>262.44</v>
      </c>
      <c r="D25" s="448">
        <v>262.44</v>
      </c>
      <c r="E25" s="448">
        <v>262.44</v>
      </c>
      <c r="F25" s="449">
        <f>'DADOS (F)'!H17</f>
        <v>5.2</v>
      </c>
      <c r="G25" s="449">
        <v>1.2</v>
      </c>
      <c r="H25" s="449">
        <v>1</v>
      </c>
      <c r="I25" s="449">
        <v>0</v>
      </c>
      <c r="J25" s="449">
        <f t="shared" si="0"/>
        <v>0</v>
      </c>
      <c r="K25" s="512">
        <f t="shared" si="6"/>
        <v>0</v>
      </c>
      <c r="L25" s="512">
        <f t="shared" si="7"/>
        <v>0</v>
      </c>
      <c r="M25" s="449">
        <f t="shared" si="1"/>
        <v>511.76</v>
      </c>
      <c r="N25" s="449">
        <f t="shared" si="8"/>
        <v>65.61</v>
      </c>
      <c r="O25" s="449">
        <f t="shared" si="9"/>
        <v>22.57</v>
      </c>
      <c r="P25" s="449">
        <f t="shared" si="10"/>
        <v>524.88</v>
      </c>
      <c r="Q25" s="449">
        <f t="shared" si="11"/>
        <v>524.88</v>
      </c>
      <c r="R25" s="449">
        <f t="shared" si="2"/>
        <v>22.57</v>
      </c>
      <c r="S25" s="512">
        <f t="shared" si="12"/>
        <v>451.85</v>
      </c>
      <c r="T25" s="449">
        <f t="shared" si="3"/>
        <v>1364.69</v>
      </c>
      <c r="U25" s="449">
        <f t="shared" si="4"/>
        <v>1364.69</v>
      </c>
      <c r="V25" s="470">
        <v>0.04</v>
      </c>
      <c r="W25" s="449">
        <f t="shared" ref="W25:W40" si="15">U25*V25</f>
        <v>54.59</v>
      </c>
      <c r="X25" s="450">
        <f t="shared" ref="X25:X40" si="16">W25*$X$17</f>
        <v>731.51</v>
      </c>
      <c r="Y25" s="969"/>
      <c r="Z25" s="969"/>
      <c r="AA25" s="450"/>
      <c r="AB25" s="970">
        <f t="shared" si="13"/>
        <v>0</v>
      </c>
      <c r="AC25" s="970">
        <f t="shared" si="14"/>
        <v>0</v>
      </c>
      <c r="AD25" s="451">
        <f t="shared" si="5"/>
        <v>204.7</v>
      </c>
    </row>
    <row r="26" spans="1:30" s="349" customFormat="1" ht="50.1" customHeight="1" thickTop="1" thickBot="1">
      <c r="A26" s="446">
        <f>'DADOS (F)'!A18</f>
        <v>7</v>
      </c>
      <c r="B26" s="447" t="str">
        <f>'DADOS (F)'!B18</f>
        <v>RUA DO PISCINÃO</v>
      </c>
      <c r="C26" s="448">
        <f>'DADOS (F)'!F18</f>
        <v>438</v>
      </c>
      <c r="D26" s="448">
        <v>432.2</v>
      </c>
      <c r="E26" s="448">
        <v>432.2</v>
      </c>
      <c r="F26" s="449">
        <f>'DADOS (F)'!H18</f>
        <v>4.2</v>
      </c>
      <c r="G26" s="449">
        <v>1.2</v>
      </c>
      <c r="H26" s="449">
        <v>0.3</v>
      </c>
      <c r="I26" s="449">
        <v>0</v>
      </c>
      <c r="J26" s="449">
        <f t="shared" si="0"/>
        <v>0</v>
      </c>
      <c r="K26" s="512">
        <f t="shared" si="6"/>
        <v>0</v>
      </c>
      <c r="L26" s="512">
        <f t="shared" si="7"/>
        <v>0</v>
      </c>
      <c r="M26" s="449">
        <f t="shared" si="1"/>
        <v>540.25</v>
      </c>
      <c r="N26" s="449">
        <f t="shared" si="8"/>
        <v>108.05</v>
      </c>
      <c r="O26" s="449">
        <f t="shared" si="9"/>
        <v>37.17</v>
      </c>
      <c r="P26" s="449">
        <f t="shared" si="10"/>
        <v>864.4</v>
      </c>
      <c r="Q26" s="449">
        <f t="shared" si="11"/>
        <v>864.4</v>
      </c>
      <c r="R26" s="449">
        <f t="shared" si="2"/>
        <v>37.17</v>
      </c>
      <c r="S26" s="512">
        <f t="shared" si="12"/>
        <v>744.14</v>
      </c>
      <c r="T26" s="449">
        <f t="shared" si="3"/>
        <v>1839.6</v>
      </c>
      <c r="U26" s="449">
        <f t="shared" si="4"/>
        <v>1839.6</v>
      </c>
      <c r="V26" s="470">
        <v>0.04</v>
      </c>
      <c r="W26" s="449">
        <f t="shared" si="15"/>
        <v>73.58</v>
      </c>
      <c r="X26" s="450">
        <f t="shared" si="16"/>
        <v>985.97</v>
      </c>
      <c r="Y26" s="969"/>
      <c r="Z26" s="969"/>
      <c r="AA26" s="450"/>
      <c r="AB26" s="970">
        <f t="shared" si="13"/>
        <v>0</v>
      </c>
      <c r="AC26" s="970">
        <f t="shared" si="14"/>
        <v>0</v>
      </c>
      <c r="AD26" s="451">
        <f t="shared" si="5"/>
        <v>275.94</v>
      </c>
    </row>
    <row r="27" spans="1:30" ht="50.1" customHeight="1" thickTop="1" thickBot="1">
      <c r="A27" s="446">
        <f>'DADOS (F)'!A19</f>
        <v>8</v>
      </c>
      <c r="B27" s="447" t="str">
        <f>'DADOS (F)'!B19</f>
        <v>TV DEUS PROVERÁ</v>
      </c>
      <c r="C27" s="448">
        <f>'DADOS (F)'!F19</f>
        <v>182.75</v>
      </c>
      <c r="D27" s="448">
        <v>169.25</v>
      </c>
      <c r="E27" s="448">
        <v>169.25</v>
      </c>
      <c r="F27" s="449">
        <f>'DADOS (F)'!H19</f>
        <v>3.9</v>
      </c>
      <c r="G27" s="449">
        <v>1.2</v>
      </c>
      <c r="H27" s="449">
        <v>0.3</v>
      </c>
      <c r="I27" s="449">
        <v>0</v>
      </c>
      <c r="J27" s="449">
        <f t="shared" si="0"/>
        <v>0</v>
      </c>
      <c r="K27" s="512">
        <f t="shared" si="6"/>
        <v>0</v>
      </c>
      <c r="L27" s="512">
        <f t="shared" si="7"/>
        <v>0</v>
      </c>
      <c r="M27" s="449">
        <f t="shared" si="1"/>
        <v>211.57</v>
      </c>
      <c r="N27" s="449">
        <f t="shared" si="8"/>
        <v>42.31</v>
      </c>
      <c r="O27" s="449">
        <f t="shared" si="9"/>
        <v>14.56</v>
      </c>
      <c r="P27" s="449">
        <f t="shared" si="10"/>
        <v>338.5</v>
      </c>
      <c r="Q27" s="449">
        <f t="shared" si="11"/>
        <v>338.5</v>
      </c>
      <c r="R27" s="449">
        <f t="shared" si="2"/>
        <v>14.56</v>
      </c>
      <c r="S27" s="512">
        <f t="shared" si="12"/>
        <v>291.49</v>
      </c>
      <c r="T27" s="449">
        <f t="shared" si="3"/>
        <v>712.73</v>
      </c>
      <c r="U27" s="449">
        <f t="shared" si="4"/>
        <v>712.73</v>
      </c>
      <c r="V27" s="470">
        <v>0.04</v>
      </c>
      <c r="W27" s="449">
        <f t="shared" si="15"/>
        <v>28.51</v>
      </c>
      <c r="X27" s="450">
        <f t="shared" si="16"/>
        <v>382.03</v>
      </c>
      <c r="Y27" s="969"/>
      <c r="Z27" s="969"/>
      <c r="AA27" s="450"/>
      <c r="AB27" s="970">
        <f t="shared" si="13"/>
        <v>0</v>
      </c>
      <c r="AC27" s="970">
        <f t="shared" si="14"/>
        <v>0</v>
      </c>
      <c r="AD27" s="451">
        <f t="shared" si="5"/>
        <v>106.91</v>
      </c>
    </row>
    <row r="28" spans="1:30" ht="50.1" customHeight="1" thickTop="1" thickBot="1">
      <c r="A28" s="446">
        <f>'DADOS (F)'!A20</f>
        <v>9</v>
      </c>
      <c r="B28" s="447" t="str">
        <f>'DADOS (F)'!B20</f>
        <v>RUA A</v>
      </c>
      <c r="C28" s="448">
        <v>131.02000000000001</v>
      </c>
      <c r="D28" s="448">
        <v>131.02000000000001</v>
      </c>
      <c r="E28" s="448">
        <v>131.02000000000001</v>
      </c>
      <c r="F28" s="449">
        <v>4.5</v>
      </c>
      <c r="G28" s="449">
        <v>1.2</v>
      </c>
      <c r="H28" s="449">
        <v>0.3</v>
      </c>
      <c r="I28" s="449">
        <v>0</v>
      </c>
      <c r="J28" s="449">
        <f t="shared" si="0"/>
        <v>0</v>
      </c>
      <c r="K28" s="512">
        <f t="shared" si="6"/>
        <v>0</v>
      </c>
      <c r="L28" s="512">
        <f t="shared" si="7"/>
        <v>0</v>
      </c>
      <c r="M28" s="449">
        <f t="shared" si="1"/>
        <v>163.77000000000001</v>
      </c>
      <c r="N28" s="449">
        <f t="shared" si="8"/>
        <v>32.76</v>
      </c>
      <c r="O28" s="449">
        <f t="shared" si="9"/>
        <v>11.27</v>
      </c>
      <c r="P28" s="449">
        <f t="shared" si="10"/>
        <v>262.04000000000002</v>
      </c>
      <c r="Q28" s="449">
        <f t="shared" si="11"/>
        <v>262.04000000000002</v>
      </c>
      <c r="R28" s="449">
        <f t="shared" si="2"/>
        <v>11.27</v>
      </c>
      <c r="S28" s="512">
        <f t="shared" si="12"/>
        <v>225.63</v>
      </c>
      <c r="T28" s="449">
        <f t="shared" si="3"/>
        <v>589.59</v>
      </c>
      <c r="U28" s="449">
        <f t="shared" si="4"/>
        <v>589.59</v>
      </c>
      <c r="V28" s="470">
        <v>0.04</v>
      </c>
      <c r="W28" s="449">
        <f t="shared" si="15"/>
        <v>23.58</v>
      </c>
      <c r="X28" s="450">
        <f t="shared" si="16"/>
        <v>315.97000000000003</v>
      </c>
      <c r="Y28" s="969"/>
      <c r="Z28" s="969"/>
      <c r="AA28" s="450"/>
      <c r="AB28" s="970">
        <f t="shared" si="13"/>
        <v>0</v>
      </c>
      <c r="AC28" s="970">
        <f t="shared" si="14"/>
        <v>0</v>
      </c>
      <c r="AD28" s="451">
        <f t="shared" si="5"/>
        <v>88.44</v>
      </c>
    </row>
    <row r="29" spans="1:30" ht="50.1" customHeight="1" thickTop="1" thickBot="1">
      <c r="A29" s="446">
        <f>'DADOS (F)'!A21</f>
        <v>10</v>
      </c>
      <c r="B29" s="447" t="str">
        <f>'DADOS (F)'!B21</f>
        <v>RUA B</v>
      </c>
      <c r="C29" s="448">
        <v>123.33</v>
      </c>
      <c r="D29" s="448">
        <v>123.33</v>
      </c>
      <c r="E29" s="448">
        <v>123.33</v>
      </c>
      <c r="F29" s="449">
        <v>4.5</v>
      </c>
      <c r="G29" s="449">
        <v>1.2</v>
      </c>
      <c r="H29" s="449">
        <v>0.3</v>
      </c>
      <c r="I29" s="449">
        <v>0</v>
      </c>
      <c r="J29" s="449">
        <f t="shared" si="0"/>
        <v>0</v>
      </c>
      <c r="K29" s="512">
        <f t="shared" si="6"/>
        <v>0</v>
      </c>
      <c r="L29" s="512">
        <f t="shared" si="7"/>
        <v>0</v>
      </c>
      <c r="M29" s="449">
        <f t="shared" si="1"/>
        <v>154.16999999999999</v>
      </c>
      <c r="N29" s="449">
        <f t="shared" si="8"/>
        <v>30.83</v>
      </c>
      <c r="O29" s="449">
        <f t="shared" si="9"/>
        <v>10.61</v>
      </c>
      <c r="P29" s="449">
        <f t="shared" si="10"/>
        <v>246.66</v>
      </c>
      <c r="Q29" s="449">
        <f t="shared" si="11"/>
        <v>246.66</v>
      </c>
      <c r="R29" s="449">
        <f t="shared" si="2"/>
        <v>10.61</v>
      </c>
      <c r="S29" s="512">
        <f t="shared" si="12"/>
        <v>212.41</v>
      </c>
      <c r="T29" s="449">
        <f t="shared" si="3"/>
        <v>554.99</v>
      </c>
      <c r="U29" s="449">
        <f t="shared" si="4"/>
        <v>554.99</v>
      </c>
      <c r="V29" s="470">
        <v>0.04</v>
      </c>
      <c r="W29" s="449">
        <f t="shared" si="15"/>
        <v>22.2</v>
      </c>
      <c r="X29" s="450">
        <f t="shared" si="16"/>
        <v>297.48</v>
      </c>
      <c r="Y29" s="969"/>
      <c r="Z29" s="969"/>
      <c r="AA29" s="450"/>
      <c r="AB29" s="970">
        <f t="shared" si="13"/>
        <v>0</v>
      </c>
      <c r="AC29" s="970">
        <f t="shared" si="14"/>
        <v>0</v>
      </c>
      <c r="AD29" s="451">
        <f t="shared" si="5"/>
        <v>83.25</v>
      </c>
    </row>
    <row r="30" spans="1:30" ht="50.1" customHeight="1" thickTop="1" thickBot="1">
      <c r="A30" s="446">
        <f>'DADOS (F)'!A22</f>
        <v>11</v>
      </c>
      <c r="B30" s="447" t="str">
        <f>'DADOS (F)'!B22</f>
        <v>RUA C</v>
      </c>
      <c r="C30" s="448">
        <f>'Lista Amoras'!F16</f>
        <v>61</v>
      </c>
      <c r="D30" s="448">
        <v>61</v>
      </c>
      <c r="E30" s="448">
        <v>61</v>
      </c>
      <c r="F30" s="449">
        <v>4.5</v>
      </c>
      <c r="G30" s="449">
        <v>1.2</v>
      </c>
      <c r="H30" s="449">
        <v>0.3</v>
      </c>
      <c r="I30" s="449">
        <v>0</v>
      </c>
      <c r="J30" s="449">
        <f t="shared" si="0"/>
        <v>0</v>
      </c>
      <c r="K30" s="512">
        <f>J30*1.3*$K$17</f>
        <v>0</v>
      </c>
      <c r="L30" s="512">
        <f>J30*1.3*$L$17</f>
        <v>0</v>
      </c>
      <c r="M30" s="449">
        <f t="shared" si="1"/>
        <v>76.25</v>
      </c>
      <c r="N30" s="449">
        <f t="shared" si="8"/>
        <v>15.25</v>
      </c>
      <c r="O30" s="449">
        <f>Q30*0.43*0.1</f>
        <v>5.25</v>
      </c>
      <c r="P30" s="449">
        <f t="shared" si="10"/>
        <v>122</v>
      </c>
      <c r="Q30" s="449">
        <f t="shared" si="11"/>
        <v>122</v>
      </c>
      <c r="R30" s="449">
        <f t="shared" si="2"/>
        <v>5.25</v>
      </c>
      <c r="S30" s="512">
        <f>R30*1.3*$S$17</f>
        <v>105.11</v>
      </c>
      <c r="T30" s="449">
        <f t="shared" si="3"/>
        <v>274.5</v>
      </c>
      <c r="U30" s="449">
        <f t="shared" si="4"/>
        <v>274.5</v>
      </c>
      <c r="V30" s="470">
        <v>0.04</v>
      </c>
      <c r="W30" s="449">
        <f>U30*V30</f>
        <v>10.98</v>
      </c>
      <c r="X30" s="450">
        <f>W30*$X$17</f>
        <v>147.13</v>
      </c>
      <c r="Y30" s="969"/>
      <c r="Z30" s="969"/>
      <c r="AA30" s="450"/>
      <c r="AB30" s="970">
        <f>(Y30+AA30)*0.05+Z30</f>
        <v>0</v>
      </c>
      <c r="AC30" s="970">
        <f>AB30*1.3*$AC$17*0.035</f>
        <v>0</v>
      </c>
      <c r="AD30" s="451">
        <f t="shared" si="5"/>
        <v>41.18</v>
      </c>
    </row>
    <row r="31" spans="1:30" ht="50.1" customHeight="1" thickTop="1" thickBot="1">
      <c r="A31" s="446">
        <f>'DADOS (F)'!A23</f>
        <v>12</v>
      </c>
      <c r="B31" s="447" t="str">
        <f>'DADOS (F)'!B23</f>
        <v>CURVA ENTRE A RUA C E A RUA D</v>
      </c>
      <c r="C31" s="448">
        <v>28</v>
      </c>
      <c r="D31" s="448">
        <v>0</v>
      </c>
      <c r="E31" s="448">
        <v>0</v>
      </c>
      <c r="F31" s="449">
        <v>4.5</v>
      </c>
      <c r="G31" s="449">
        <v>1.2</v>
      </c>
      <c r="H31" s="449">
        <v>0.3</v>
      </c>
      <c r="I31" s="449">
        <v>0</v>
      </c>
      <c r="J31" s="449">
        <f t="shared" si="0"/>
        <v>0</v>
      </c>
      <c r="K31" s="512">
        <f>J31*1.3*$K$17</f>
        <v>0</v>
      </c>
      <c r="L31" s="512">
        <f>J31*1.3*$L$17</f>
        <v>0</v>
      </c>
      <c r="M31" s="449">
        <f t="shared" si="1"/>
        <v>0</v>
      </c>
      <c r="N31" s="449">
        <f t="shared" si="8"/>
        <v>0</v>
      </c>
      <c r="O31" s="449">
        <f>Q31*0.43*0.1</f>
        <v>0</v>
      </c>
      <c r="P31" s="449">
        <f t="shared" si="10"/>
        <v>0</v>
      </c>
      <c r="Q31" s="449">
        <f t="shared" si="11"/>
        <v>0</v>
      </c>
      <c r="R31" s="449">
        <f t="shared" si="2"/>
        <v>0</v>
      </c>
      <c r="S31" s="512">
        <f>R31*1.3*$S$17</f>
        <v>0</v>
      </c>
      <c r="T31" s="449">
        <f t="shared" si="3"/>
        <v>126</v>
      </c>
      <c r="U31" s="449">
        <f t="shared" si="4"/>
        <v>126</v>
      </c>
      <c r="V31" s="470">
        <v>0.04</v>
      </c>
      <c r="W31" s="449">
        <f>U31*V31</f>
        <v>5.04</v>
      </c>
      <c r="X31" s="450">
        <f>W31*$X$17</f>
        <v>67.540000000000006</v>
      </c>
      <c r="Y31" s="969"/>
      <c r="Z31" s="969"/>
      <c r="AA31" s="450"/>
      <c r="AB31" s="970">
        <f>(Y31+AA31)*0.05+Z31</f>
        <v>0</v>
      </c>
      <c r="AC31" s="970">
        <f>AB31*1.3*$AC$17*0.035</f>
        <v>0</v>
      </c>
      <c r="AD31" s="451">
        <f t="shared" si="5"/>
        <v>18.899999999999999</v>
      </c>
    </row>
    <row r="32" spans="1:30" ht="50.1" customHeight="1" thickTop="1" thickBot="1">
      <c r="A32" s="446">
        <f>'DADOS (F)'!A24</f>
        <v>13</v>
      </c>
      <c r="B32" s="447" t="str">
        <f>'DADOS (F)'!B24</f>
        <v>RUA D</v>
      </c>
      <c r="C32" s="448">
        <f>'Lista Amoras'!F18</f>
        <v>75</v>
      </c>
      <c r="D32" s="448">
        <v>75</v>
      </c>
      <c r="E32" s="448">
        <v>75</v>
      </c>
      <c r="F32" s="449">
        <v>4.5</v>
      </c>
      <c r="G32" s="449">
        <v>1.2</v>
      </c>
      <c r="H32" s="449">
        <v>0.3</v>
      </c>
      <c r="I32" s="449">
        <v>0</v>
      </c>
      <c r="J32" s="449">
        <f t="shared" si="0"/>
        <v>0</v>
      </c>
      <c r="K32" s="512">
        <f>J32*1.3*$K$17</f>
        <v>0</v>
      </c>
      <c r="L32" s="512">
        <f>J32*1.3*$L$17</f>
        <v>0</v>
      </c>
      <c r="M32" s="449">
        <f t="shared" si="1"/>
        <v>93.75</v>
      </c>
      <c r="N32" s="449">
        <f t="shared" si="8"/>
        <v>18.75</v>
      </c>
      <c r="O32" s="449">
        <f>Q32*0.43*0.1</f>
        <v>6.45</v>
      </c>
      <c r="P32" s="449">
        <f t="shared" si="10"/>
        <v>150</v>
      </c>
      <c r="Q32" s="449">
        <f t="shared" si="11"/>
        <v>150</v>
      </c>
      <c r="R32" s="449">
        <f t="shared" si="2"/>
        <v>6.45</v>
      </c>
      <c r="S32" s="512">
        <f>R32*1.3*$S$17</f>
        <v>129.13</v>
      </c>
      <c r="T32" s="449">
        <f t="shared" si="3"/>
        <v>337.5</v>
      </c>
      <c r="U32" s="449">
        <f t="shared" si="4"/>
        <v>337.5</v>
      </c>
      <c r="V32" s="470">
        <v>0.04</v>
      </c>
      <c r="W32" s="449">
        <f>U32*V32</f>
        <v>13.5</v>
      </c>
      <c r="X32" s="450">
        <f>W32*$X$17</f>
        <v>180.9</v>
      </c>
      <c r="Y32" s="969"/>
      <c r="Z32" s="969"/>
      <c r="AA32" s="450"/>
      <c r="AB32" s="970">
        <f>(Y32+AA32)*0.05+Z32</f>
        <v>0</v>
      </c>
      <c r="AC32" s="970">
        <f>AB32*1.3*$AC$17*0.035</f>
        <v>0</v>
      </c>
      <c r="AD32" s="451">
        <f t="shared" si="5"/>
        <v>50.63</v>
      </c>
    </row>
    <row r="33" spans="1:30" ht="50.1" customHeight="1" thickTop="1" thickBot="1">
      <c r="A33" s="446">
        <f>'DADOS (F)'!A25</f>
        <v>14</v>
      </c>
      <c r="B33" s="447" t="str">
        <f>'DADOS (F)'!B25</f>
        <v>RUA DAS ORQUIDEAS</v>
      </c>
      <c r="C33" s="448">
        <f>'DADOS (F)'!F25</f>
        <v>151.97999999999999</v>
      </c>
      <c r="D33" s="448">
        <v>134.08000000000001</v>
      </c>
      <c r="E33" s="448">
        <v>134.08000000000001</v>
      </c>
      <c r="F33" s="449">
        <f>'DADOS (F)'!H25</f>
        <v>6.73</v>
      </c>
      <c r="G33" s="449">
        <v>1.2</v>
      </c>
      <c r="H33" s="449">
        <v>1.2</v>
      </c>
      <c r="I33" s="449">
        <v>0</v>
      </c>
      <c r="J33" s="449">
        <f t="shared" si="0"/>
        <v>0</v>
      </c>
      <c r="K33" s="512">
        <f t="shared" si="6"/>
        <v>0</v>
      </c>
      <c r="L33" s="512">
        <f t="shared" si="7"/>
        <v>0</v>
      </c>
      <c r="M33" s="449">
        <f t="shared" si="1"/>
        <v>288.27</v>
      </c>
      <c r="N33" s="449">
        <f t="shared" si="8"/>
        <v>33.520000000000003</v>
      </c>
      <c r="O33" s="449">
        <f t="shared" si="9"/>
        <v>11.53</v>
      </c>
      <c r="P33" s="449">
        <f t="shared" si="10"/>
        <v>268.16000000000003</v>
      </c>
      <c r="Q33" s="449">
        <f t="shared" si="11"/>
        <v>268.16000000000003</v>
      </c>
      <c r="R33" s="449">
        <f t="shared" si="2"/>
        <v>11.53</v>
      </c>
      <c r="S33" s="512">
        <f t="shared" si="12"/>
        <v>230.83</v>
      </c>
      <c r="T33" s="449">
        <f t="shared" si="3"/>
        <v>1022.83</v>
      </c>
      <c r="U33" s="449">
        <f t="shared" si="4"/>
        <v>1022.83</v>
      </c>
      <c r="V33" s="470">
        <v>0.04</v>
      </c>
      <c r="W33" s="449">
        <f t="shared" si="15"/>
        <v>40.909999999999997</v>
      </c>
      <c r="X33" s="450">
        <f t="shared" si="16"/>
        <v>548.19000000000005</v>
      </c>
      <c r="Y33" s="969"/>
      <c r="Z33" s="969"/>
      <c r="AA33" s="450"/>
      <c r="AB33" s="970">
        <f t="shared" si="13"/>
        <v>0</v>
      </c>
      <c r="AC33" s="970">
        <f t="shared" si="14"/>
        <v>0</v>
      </c>
      <c r="AD33" s="451">
        <f t="shared" si="5"/>
        <v>153.41999999999999</v>
      </c>
    </row>
    <row r="34" spans="1:30" s="349" customFormat="1" ht="50.1" customHeight="1" thickTop="1" thickBot="1">
      <c r="A34" s="446">
        <f>'DADOS (F)'!A26</f>
        <v>15</v>
      </c>
      <c r="B34" s="447" t="str">
        <f>'DADOS (F)'!B26</f>
        <v>RUA HUM</v>
      </c>
      <c r="C34" s="448">
        <f>'DADOS (F)'!F26</f>
        <v>255</v>
      </c>
      <c r="D34" s="448">
        <v>247.67</v>
      </c>
      <c r="E34" s="448">
        <v>247.67</v>
      </c>
      <c r="F34" s="449">
        <f>'DADOS (F)'!H26</f>
        <v>4.5</v>
      </c>
      <c r="G34" s="449">
        <v>1.2</v>
      </c>
      <c r="H34" s="449">
        <v>0.93</v>
      </c>
      <c r="I34" s="449">
        <v>0</v>
      </c>
      <c r="J34" s="449">
        <f t="shared" si="0"/>
        <v>0</v>
      </c>
      <c r="K34" s="512">
        <f t="shared" si="6"/>
        <v>0</v>
      </c>
      <c r="L34" s="512">
        <f t="shared" si="7"/>
        <v>0</v>
      </c>
      <c r="M34" s="449">
        <f t="shared" si="1"/>
        <v>465.62</v>
      </c>
      <c r="N34" s="449">
        <f t="shared" si="8"/>
        <v>61.92</v>
      </c>
      <c r="O34" s="449">
        <f t="shared" si="9"/>
        <v>21.3</v>
      </c>
      <c r="P34" s="449">
        <f t="shared" si="10"/>
        <v>495.34</v>
      </c>
      <c r="Q34" s="449">
        <f t="shared" si="11"/>
        <v>495.34</v>
      </c>
      <c r="R34" s="449">
        <f t="shared" si="2"/>
        <v>21.3</v>
      </c>
      <c r="S34" s="512">
        <f t="shared" si="12"/>
        <v>426.43</v>
      </c>
      <c r="T34" s="449">
        <f t="shared" si="3"/>
        <v>1147.5</v>
      </c>
      <c r="U34" s="449">
        <f t="shared" si="4"/>
        <v>1147.5</v>
      </c>
      <c r="V34" s="470">
        <v>0.04</v>
      </c>
      <c r="W34" s="449">
        <f t="shared" si="15"/>
        <v>45.9</v>
      </c>
      <c r="X34" s="450">
        <f t="shared" si="16"/>
        <v>615.05999999999995</v>
      </c>
      <c r="Y34" s="969"/>
      <c r="Z34" s="969"/>
      <c r="AA34" s="450"/>
      <c r="AB34" s="970">
        <f t="shared" si="13"/>
        <v>0</v>
      </c>
      <c r="AC34" s="970">
        <f t="shared" si="14"/>
        <v>0</v>
      </c>
      <c r="AD34" s="451">
        <f t="shared" si="5"/>
        <v>172.13</v>
      </c>
    </row>
    <row r="35" spans="1:30" s="349" customFormat="1" ht="50.1" customHeight="1" thickTop="1" thickBot="1">
      <c r="A35" s="446">
        <f>'DADOS (F)'!A27</f>
        <v>16</v>
      </c>
      <c r="B35" s="447" t="str">
        <f>'DADOS (F)'!B27</f>
        <v>RUA DOIS</v>
      </c>
      <c r="C35" s="448">
        <f>'DADOS (F)'!F27</f>
        <v>155</v>
      </c>
      <c r="D35" s="448">
        <v>147.66999999999999</v>
      </c>
      <c r="E35" s="448">
        <v>147.66999999999999</v>
      </c>
      <c r="F35" s="449">
        <f>'DADOS (F)'!H27</f>
        <v>5.3</v>
      </c>
      <c r="G35" s="449">
        <v>1.2</v>
      </c>
      <c r="H35" s="449">
        <v>1.2</v>
      </c>
      <c r="I35" s="449">
        <v>0</v>
      </c>
      <c r="J35" s="449">
        <f t="shared" si="0"/>
        <v>0</v>
      </c>
      <c r="K35" s="512">
        <f t="shared" si="6"/>
        <v>0</v>
      </c>
      <c r="L35" s="512">
        <f t="shared" si="7"/>
        <v>0</v>
      </c>
      <c r="M35" s="449">
        <f t="shared" si="1"/>
        <v>317.49</v>
      </c>
      <c r="N35" s="449">
        <f t="shared" si="8"/>
        <v>36.92</v>
      </c>
      <c r="O35" s="449">
        <f t="shared" si="9"/>
        <v>12.7</v>
      </c>
      <c r="P35" s="449">
        <f t="shared" si="10"/>
        <v>295.33999999999997</v>
      </c>
      <c r="Q35" s="449">
        <f t="shared" si="11"/>
        <v>295.33999999999997</v>
      </c>
      <c r="R35" s="449">
        <f t="shared" si="2"/>
        <v>12.7</v>
      </c>
      <c r="S35" s="512">
        <f t="shared" si="12"/>
        <v>254.25</v>
      </c>
      <c r="T35" s="449">
        <f t="shared" si="3"/>
        <v>821.5</v>
      </c>
      <c r="U35" s="449">
        <f t="shared" si="4"/>
        <v>821.5</v>
      </c>
      <c r="V35" s="470">
        <v>0.04</v>
      </c>
      <c r="W35" s="449">
        <f t="shared" si="15"/>
        <v>32.86</v>
      </c>
      <c r="X35" s="450">
        <f t="shared" si="16"/>
        <v>440.32</v>
      </c>
      <c r="Y35" s="969"/>
      <c r="Z35" s="969"/>
      <c r="AA35" s="450"/>
      <c r="AB35" s="970">
        <f t="shared" si="13"/>
        <v>0</v>
      </c>
      <c r="AC35" s="970">
        <f t="shared" si="14"/>
        <v>0</v>
      </c>
      <c r="AD35" s="451">
        <f t="shared" si="5"/>
        <v>123.23</v>
      </c>
    </row>
    <row r="36" spans="1:30" s="349" customFormat="1" ht="50.1" customHeight="1" thickTop="1" thickBot="1">
      <c r="A36" s="446">
        <f>'DADOS (F)'!A28</f>
        <v>17</v>
      </c>
      <c r="B36" s="447" t="str">
        <f>'DADOS (F)'!B28</f>
        <v>RUA TRÊS</v>
      </c>
      <c r="C36" s="448">
        <f>'DADOS (F)'!F28</f>
        <v>131</v>
      </c>
      <c r="D36" s="448">
        <v>123.67</v>
      </c>
      <c r="E36" s="448">
        <v>123.67</v>
      </c>
      <c r="F36" s="449">
        <f>'DADOS (F)'!H28</f>
        <v>6.5</v>
      </c>
      <c r="G36" s="449">
        <v>1.2</v>
      </c>
      <c r="H36" s="449">
        <v>1.2</v>
      </c>
      <c r="I36" s="449">
        <v>0</v>
      </c>
      <c r="J36" s="449">
        <f t="shared" si="0"/>
        <v>0</v>
      </c>
      <c r="K36" s="512">
        <f t="shared" si="6"/>
        <v>0</v>
      </c>
      <c r="L36" s="512">
        <f t="shared" si="7"/>
        <v>0</v>
      </c>
      <c r="M36" s="449">
        <f t="shared" si="1"/>
        <v>265.89</v>
      </c>
      <c r="N36" s="449">
        <f t="shared" si="8"/>
        <v>30.92</v>
      </c>
      <c r="O36" s="449">
        <f t="shared" si="9"/>
        <v>10.64</v>
      </c>
      <c r="P36" s="449">
        <f t="shared" si="10"/>
        <v>247.34</v>
      </c>
      <c r="Q36" s="449">
        <f t="shared" si="11"/>
        <v>247.34</v>
      </c>
      <c r="R36" s="449">
        <f t="shared" si="2"/>
        <v>10.64</v>
      </c>
      <c r="S36" s="512">
        <f t="shared" si="12"/>
        <v>213.01</v>
      </c>
      <c r="T36" s="449">
        <f t="shared" si="3"/>
        <v>851.5</v>
      </c>
      <c r="U36" s="449">
        <f t="shared" si="4"/>
        <v>851.5</v>
      </c>
      <c r="V36" s="470">
        <v>0.04</v>
      </c>
      <c r="W36" s="449">
        <f t="shared" si="15"/>
        <v>34.06</v>
      </c>
      <c r="X36" s="450">
        <f t="shared" si="16"/>
        <v>456.4</v>
      </c>
      <c r="Y36" s="969"/>
      <c r="Z36" s="969"/>
      <c r="AA36" s="450"/>
      <c r="AB36" s="970">
        <f t="shared" si="13"/>
        <v>0</v>
      </c>
      <c r="AC36" s="970">
        <f t="shared" si="14"/>
        <v>0</v>
      </c>
      <c r="AD36" s="451">
        <f t="shared" si="5"/>
        <v>127.73</v>
      </c>
    </row>
    <row r="37" spans="1:30" s="349" customFormat="1" ht="50.1" customHeight="1" thickTop="1" thickBot="1">
      <c r="A37" s="446">
        <v>18</v>
      </c>
      <c r="B37" s="447" t="str">
        <f>'DADOS (F)'!B29</f>
        <v>PASS DA LUZ</v>
      </c>
      <c r="C37" s="448">
        <f>'DADOS (F)'!F29</f>
        <v>72.790000000000006</v>
      </c>
      <c r="D37" s="448">
        <v>67.89</v>
      </c>
      <c r="E37" s="448">
        <v>67.89</v>
      </c>
      <c r="F37" s="449">
        <f>'DADOS (F)'!H29</f>
        <v>4</v>
      </c>
      <c r="G37" s="449">
        <v>1.2</v>
      </c>
      <c r="H37" s="449">
        <v>0.3</v>
      </c>
      <c r="I37" s="449">
        <v>0</v>
      </c>
      <c r="J37" s="449">
        <f t="shared" si="0"/>
        <v>0</v>
      </c>
      <c r="K37" s="512">
        <f t="shared" si="6"/>
        <v>0</v>
      </c>
      <c r="L37" s="512">
        <f t="shared" si="7"/>
        <v>0</v>
      </c>
      <c r="M37" s="449">
        <f t="shared" si="1"/>
        <v>84.87</v>
      </c>
      <c r="N37" s="449">
        <f t="shared" si="8"/>
        <v>16.97</v>
      </c>
      <c r="O37" s="449">
        <f t="shared" si="9"/>
        <v>5.84</v>
      </c>
      <c r="P37" s="449">
        <f t="shared" si="10"/>
        <v>135.78</v>
      </c>
      <c r="Q37" s="449">
        <f t="shared" si="11"/>
        <v>135.78</v>
      </c>
      <c r="R37" s="449">
        <f t="shared" si="2"/>
        <v>5.84</v>
      </c>
      <c r="S37" s="512">
        <f t="shared" si="12"/>
        <v>116.92</v>
      </c>
      <c r="T37" s="449">
        <f t="shared" si="3"/>
        <v>291.16000000000003</v>
      </c>
      <c r="U37" s="449">
        <f t="shared" si="4"/>
        <v>291.16000000000003</v>
      </c>
      <c r="V37" s="470">
        <v>0.04</v>
      </c>
      <c r="W37" s="449">
        <f t="shared" si="15"/>
        <v>11.65</v>
      </c>
      <c r="X37" s="450">
        <f t="shared" si="16"/>
        <v>156.11000000000001</v>
      </c>
      <c r="Y37" s="969"/>
      <c r="Z37" s="969"/>
      <c r="AA37" s="450"/>
      <c r="AB37" s="970">
        <f t="shared" si="13"/>
        <v>0</v>
      </c>
      <c r="AC37" s="970">
        <f t="shared" si="14"/>
        <v>0</v>
      </c>
      <c r="AD37" s="451">
        <f t="shared" si="5"/>
        <v>43.67</v>
      </c>
    </row>
    <row r="38" spans="1:30" s="349" customFormat="1" ht="50.1" customHeight="1" thickTop="1" thickBot="1">
      <c r="A38" s="446">
        <f>'DADOS (F)'!A30</f>
        <v>19</v>
      </c>
      <c r="B38" s="447" t="str">
        <f>'DADOS (F)'!B30</f>
        <v>RUA FÉ EM DEUS</v>
      </c>
      <c r="C38" s="448">
        <f>'DADOS (F)'!F30</f>
        <v>183</v>
      </c>
      <c r="D38" s="448">
        <v>178.1</v>
      </c>
      <c r="E38" s="448">
        <v>178.1</v>
      </c>
      <c r="F38" s="449">
        <f>'DADOS (F)'!H30</f>
        <v>4.41</v>
      </c>
      <c r="G38" s="449">
        <v>1.2</v>
      </c>
      <c r="H38" s="449">
        <v>0.3</v>
      </c>
      <c r="I38" s="449">
        <v>0</v>
      </c>
      <c r="J38" s="449">
        <f t="shared" si="0"/>
        <v>0</v>
      </c>
      <c r="K38" s="512">
        <f t="shared" si="6"/>
        <v>0</v>
      </c>
      <c r="L38" s="512">
        <f t="shared" si="7"/>
        <v>0</v>
      </c>
      <c r="M38" s="449">
        <f t="shared" si="1"/>
        <v>222.62</v>
      </c>
      <c r="N38" s="449">
        <f t="shared" si="8"/>
        <v>44.53</v>
      </c>
      <c r="O38" s="449">
        <f t="shared" si="9"/>
        <v>15.32</v>
      </c>
      <c r="P38" s="449">
        <f t="shared" si="10"/>
        <v>356.2</v>
      </c>
      <c r="Q38" s="449">
        <f t="shared" si="11"/>
        <v>356.2</v>
      </c>
      <c r="R38" s="449">
        <f t="shared" si="2"/>
        <v>15.32</v>
      </c>
      <c r="S38" s="512">
        <f t="shared" si="12"/>
        <v>306.70999999999998</v>
      </c>
      <c r="T38" s="449">
        <f t="shared" si="3"/>
        <v>807.03</v>
      </c>
      <c r="U38" s="449">
        <f t="shared" si="4"/>
        <v>807.03</v>
      </c>
      <c r="V38" s="470">
        <v>0.04</v>
      </c>
      <c r="W38" s="449">
        <f t="shared" si="15"/>
        <v>32.28</v>
      </c>
      <c r="X38" s="450">
        <f t="shared" si="16"/>
        <v>432.55</v>
      </c>
      <c r="Y38" s="969"/>
      <c r="Z38" s="969"/>
      <c r="AA38" s="450"/>
      <c r="AB38" s="970">
        <f t="shared" si="13"/>
        <v>0</v>
      </c>
      <c r="AC38" s="970">
        <f t="shared" si="14"/>
        <v>0</v>
      </c>
      <c r="AD38" s="451">
        <f t="shared" si="5"/>
        <v>121.05</v>
      </c>
    </row>
    <row r="39" spans="1:30" ht="50.1" customHeight="1" thickTop="1" thickBot="1">
      <c r="A39" s="446">
        <f>'DADOS (F)'!A31</f>
        <v>20</v>
      </c>
      <c r="B39" s="447" t="str">
        <f>'DADOS (F)'!B31</f>
        <v>PASS PRINCIPAL</v>
      </c>
      <c r="C39" s="448">
        <f>'DADOS (F)'!F31</f>
        <v>153</v>
      </c>
      <c r="D39" s="448">
        <v>150.1</v>
      </c>
      <c r="E39" s="448">
        <v>150.1</v>
      </c>
      <c r="F39" s="449">
        <f>'DADOS (F)'!H31</f>
        <v>4.3</v>
      </c>
      <c r="G39" s="449">
        <v>1.2</v>
      </c>
      <c r="H39" s="449">
        <v>0.3</v>
      </c>
      <c r="I39" s="449">
        <v>0</v>
      </c>
      <c r="J39" s="449">
        <f t="shared" si="0"/>
        <v>0</v>
      </c>
      <c r="K39" s="512">
        <f t="shared" si="6"/>
        <v>0</v>
      </c>
      <c r="L39" s="512">
        <f t="shared" si="7"/>
        <v>0</v>
      </c>
      <c r="M39" s="449">
        <f t="shared" si="1"/>
        <v>187.62</v>
      </c>
      <c r="N39" s="449">
        <f t="shared" si="8"/>
        <v>37.53</v>
      </c>
      <c r="O39" s="449">
        <f t="shared" si="9"/>
        <v>12.91</v>
      </c>
      <c r="P39" s="449">
        <f t="shared" si="10"/>
        <v>300.2</v>
      </c>
      <c r="Q39" s="449">
        <f t="shared" si="11"/>
        <v>300.2</v>
      </c>
      <c r="R39" s="449">
        <f t="shared" si="2"/>
        <v>12.91</v>
      </c>
      <c r="S39" s="512">
        <f t="shared" si="12"/>
        <v>258.45999999999998</v>
      </c>
      <c r="T39" s="449">
        <f t="shared" si="3"/>
        <v>657.9</v>
      </c>
      <c r="U39" s="449">
        <f t="shared" si="4"/>
        <v>657.9</v>
      </c>
      <c r="V39" s="470">
        <v>0.04</v>
      </c>
      <c r="W39" s="449">
        <f t="shared" si="15"/>
        <v>26.32</v>
      </c>
      <c r="X39" s="450">
        <f t="shared" si="16"/>
        <v>352.69</v>
      </c>
      <c r="Y39" s="969"/>
      <c r="Z39" s="969"/>
      <c r="AA39" s="450"/>
      <c r="AB39" s="970">
        <f t="shared" si="13"/>
        <v>0</v>
      </c>
      <c r="AC39" s="970">
        <f t="shared" si="14"/>
        <v>0</v>
      </c>
      <c r="AD39" s="451">
        <f t="shared" si="5"/>
        <v>98.69</v>
      </c>
    </row>
    <row r="40" spans="1:30" ht="50.1" customHeight="1" thickTop="1" thickBot="1">
      <c r="A40" s="446">
        <f>'DADOS (F)'!A32</f>
        <v>21</v>
      </c>
      <c r="B40" s="447" t="str">
        <f>'DADOS (F)'!B32</f>
        <v>PASSAGEM BACELAR</v>
      </c>
      <c r="C40" s="448">
        <f>'DADOS (F)'!F32</f>
        <v>520</v>
      </c>
      <c r="D40" s="448">
        <v>515.29999999999995</v>
      </c>
      <c r="E40" s="448">
        <v>515.29999999999995</v>
      </c>
      <c r="F40" s="449">
        <f>'DADOS (F)'!H32</f>
        <v>4.5</v>
      </c>
      <c r="G40" s="449">
        <v>1.2</v>
      </c>
      <c r="H40" s="449">
        <v>1</v>
      </c>
      <c r="I40" s="449">
        <f>M40*$I$17*0.2</f>
        <v>20.100000000000001</v>
      </c>
      <c r="J40" s="449">
        <f t="shared" si="0"/>
        <v>14.07</v>
      </c>
      <c r="K40" s="512">
        <f t="shared" si="6"/>
        <v>548.73</v>
      </c>
      <c r="L40" s="512">
        <f t="shared" si="7"/>
        <v>133.52000000000001</v>
      </c>
      <c r="M40" s="449">
        <f t="shared" si="1"/>
        <v>1004.83</v>
      </c>
      <c r="N40" s="449">
        <f t="shared" si="8"/>
        <v>128.83000000000001</v>
      </c>
      <c r="O40" s="449">
        <f t="shared" si="9"/>
        <v>44.32</v>
      </c>
      <c r="P40" s="449">
        <f t="shared" si="10"/>
        <v>1030.5999999999999</v>
      </c>
      <c r="Q40" s="449">
        <f t="shared" si="11"/>
        <v>1030.5999999999999</v>
      </c>
      <c r="R40" s="449">
        <f t="shared" si="2"/>
        <v>64.42</v>
      </c>
      <c r="S40" s="512">
        <f t="shared" si="12"/>
        <v>1289.69</v>
      </c>
      <c r="T40" s="449">
        <f t="shared" si="3"/>
        <v>2340</v>
      </c>
      <c r="U40" s="449">
        <f t="shared" si="4"/>
        <v>2340</v>
      </c>
      <c r="V40" s="470">
        <v>0.04</v>
      </c>
      <c r="W40" s="449">
        <f t="shared" si="15"/>
        <v>93.6</v>
      </c>
      <c r="X40" s="450">
        <f t="shared" si="16"/>
        <v>1254.24</v>
      </c>
      <c r="Y40" s="969"/>
      <c r="Z40" s="969"/>
      <c r="AA40" s="450"/>
      <c r="AB40" s="970">
        <f t="shared" si="13"/>
        <v>0</v>
      </c>
      <c r="AC40" s="970">
        <f t="shared" si="14"/>
        <v>0</v>
      </c>
      <c r="AD40" s="451">
        <f t="shared" si="5"/>
        <v>351</v>
      </c>
    </row>
    <row r="41" spans="1:30" ht="50.1" customHeight="1" thickTop="1" thickBot="1">
      <c r="A41" s="446">
        <f>'DADOS (F)'!A33</f>
        <v>22</v>
      </c>
      <c r="B41" s="447" t="str">
        <f>'DADOS (F)'!B33</f>
        <v>PASS DEUS TEM PODER</v>
      </c>
      <c r="C41" s="448">
        <f>'DADOS (F)'!F33</f>
        <v>483</v>
      </c>
      <c r="D41" s="448">
        <v>472.75</v>
      </c>
      <c r="E41" s="448">
        <v>472.75</v>
      </c>
      <c r="F41" s="449">
        <f>'DADOS (F)'!H33</f>
        <v>4.8499999999999996</v>
      </c>
      <c r="G41" s="449">
        <v>1.2</v>
      </c>
      <c r="H41" s="449">
        <v>0.94</v>
      </c>
      <c r="I41" s="449">
        <f>M41*$I$17*0.2</f>
        <v>17.87</v>
      </c>
      <c r="J41" s="449">
        <f t="shared" si="0"/>
        <v>12.51</v>
      </c>
      <c r="K41" s="512">
        <f t="shared" si="6"/>
        <v>487.89</v>
      </c>
      <c r="L41" s="512">
        <f t="shared" si="7"/>
        <v>118.72</v>
      </c>
      <c r="M41" s="449">
        <f t="shared" si="1"/>
        <v>893.5</v>
      </c>
      <c r="N41" s="449">
        <f t="shared" si="8"/>
        <v>118.19</v>
      </c>
      <c r="O41" s="449">
        <f t="shared" si="9"/>
        <v>40.659999999999997</v>
      </c>
      <c r="P41" s="449">
        <f t="shared" si="10"/>
        <v>945.5</v>
      </c>
      <c r="Q41" s="449">
        <f t="shared" si="11"/>
        <v>945.5</v>
      </c>
      <c r="R41" s="449">
        <f t="shared" si="2"/>
        <v>58.53</v>
      </c>
      <c r="S41" s="512">
        <f t="shared" si="12"/>
        <v>1171.77</v>
      </c>
      <c r="T41" s="449">
        <f t="shared" si="3"/>
        <v>2342.5500000000002</v>
      </c>
      <c r="U41" s="449">
        <f t="shared" si="4"/>
        <v>2342.5500000000002</v>
      </c>
      <c r="V41" s="470">
        <v>0.04</v>
      </c>
      <c r="W41" s="449">
        <f>U41*V41</f>
        <v>93.7</v>
      </c>
      <c r="X41" s="450">
        <f>W41*$X$17</f>
        <v>1255.58</v>
      </c>
      <c r="Y41" s="969"/>
      <c r="Z41" s="969"/>
      <c r="AA41" s="450"/>
      <c r="AB41" s="970">
        <f t="shared" si="13"/>
        <v>0</v>
      </c>
      <c r="AC41" s="970">
        <f t="shared" si="14"/>
        <v>0</v>
      </c>
      <c r="AD41" s="451">
        <f t="shared" si="5"/>
        <v>351.38</v>
      </c>
    </row>
    <row r="42" spans="1:30" ht="50.1" customHeight="1" thickTop="1" thickBot="1">
      <c r="A42" s="446">
        <f>'DADOS (F)'!A34</f>
        <v>23</v>
      </c>
      <c r="B42" s="447" t="str">
        <f>'DADOS (F)'!B34</f>
        <v>PASS UNIÃO</v>
      </c>
      <c r="C42" s="448">
        <f>'DADOS (F)'!F34</f>
        <v>147</v>
      </c>
      <c r="D42" s="448">
        <v>2.9</v>
      </c>
      <c r="E42" s="448">
        <v>129.5</v>
      </c>
      <c r="F42" s="449">
        <v>2.9</v>
      </c>
      <c r="G42" s="449">
        <v>1.2</v>
      </c>
      <c r="H42" s="449">
        <v>0.3</v>
      </c>
      <c r="I42" s="449">
        <v>0</v>
      </c>
      <c r="J42" s="449">
        <f t="shared" si="0"/>
        <v>0</v>
      </c>
      <c r="K42" s="512">
        <f t="shared" si="6"/>
        <v>0</v>
      </c>
      <c r="L42" s="512">
        <f t="shared" si="7"/>
        <v>0</v>
      </c>
      <c r="M42" s="449">
        <f t="shared" si="1"/>
        <v>41.6</v>
      </c>
      <c r="N42" s="449">
        <f t="shared" si="8"/>
        <v>0.73</v>
      </c>
      <c r="O42" s="449">
        <f t="shared" ref="O42:O55" si="17">Q42*0.43*0.1</f>
        <v>5.69</v>
      </c>
      <c r="P42" s="449">
        <f t="shared" si="10"/>
        <v>132.4</v>
      </c>
      <c r="Q42" s="449">
        <f t="shared" si="11"/>
        <v>132.4</v>
      </c>
      <c r="R42" s="449">
        <f t="shared" si="2"/>
        <v>5.69</v>
      </c>
      <c r="S42" s="512">
        <f t="shared" si="12"/>
        <v>113.91</v>
      </c>
      <c r="T42" s="449">
        <f t="shared" si="3"/>
        <v>426.3</v>
      </c>
      <c r="U42" s="449">
        <f t="shared" si="4"/>
        <v>426.3</v>
      </c>
      <c r="V42" s="470">
        <v>0.04</v>
      </c>
      <c r="W42" s="449">
        <f t="shared" ref="W42:W55" si="18">U42*V42</f>
        <v>17.05</v>
      </c>
      <c r="X42" s="450">
        <f t="shared" ref="X42:X55" si="19">W42*$X$17</f>
        <v>228.47</v>
      </c>
      <c r="Y42" s="969"/>
      <c r="Z42" s="969"/>
      <c r="AA42" s="450"/>
      <c r="AB42" s="970">
        <f t="shared" ref="AB42:AB55" si="20">(Y42+AA42)*0.05+Z42</f>
        <v>0</v>
      </c>
      <c r="AC42" s="970">
        <f t="shared" si="14"/>
        <v>0</v>
      </c>
      <c r="AD42" s="451">
        <f t="shared" si="5"/>
        <v>63.95</v>
      </c>
    </row>
    <row r="43" spans="1:30" ht="50.1" customHeight="1" thickTop="1" thickBot="1">
      <c r="A43" s="446">
        <f>'DADOS (F)'!A35</f>
        <v>24</v>
      </c>
      <c r="B43" s="447" t="str">
        <f>'DADOS (F)'!B35</f>
        <v>PASS SÃO JORGE</v>
      </c>
      <c r="C43" s="448">
        <f>'DADOS (F)'!F35</f>
        <v>46.32</v>
      </c>
      <c r="D43" s="448">
        <v>46.32</v>
      </c>
      <c r="E43" s="448">
        <v>46.32</v>
      </c>
      <c r="F43" s="449">
        <f>'DADOS (F)'!H35</f>
        <v>4.5</v>
      </c>
      <c r="G43" s="449">
        <v>1.2</v>
      </c>
      <c r="H43" s="449">
        <v>0.3</v>
      </c>
      <c r="I43" s="449">
        <f t="shared" ref="I43:I49" si="21">M43*$I$17*0.2</f>
        <v>1.1599999999999999</v>
      </c>
      <c r="J43" s="449">
        <f t="shared" si="0"/>
        <v>0.81</v>
      </c>
      <c r="K43" s="512">
        <f t="shared" si="6"/>
        <v>31.59</v>
      </c>
      <c r="L43" s="512">
        <f t="shared" si="7"/>
        <v>7.69</v>
      </c>
      <c r="M43" s="449">
        <f t="shared" si="1"/>
        <v>57.9</v>
      </c>
      <c r="N43" s="449">
        <f t="shared" si="8"/>
        <v>11.58</v>
      </c>
      <c r="O43" s="449">
        <f t="shared" si="17"/>
        <v>3.98</v>
      </c>
      <c r="P43" s="449">
        <f t="shared" si="10"/>
        <v>92.64</v>
      </c>
      <c r="Q43" s="449">
        <f t="shared" si="11"/>
        <v>92.64</v>
      </c>
      <c r="R43" s="449">
        <f t="shared" si="2"/>
        <v>5.14</v>
      </c>
      <c r="S43" s="512">
        <f t="shared" si="12"/>
        <v>102.9</v>
      </c>
      <c r="T43" s="449">
        <f t="shared" si="3"/>
        <v>208.44</v>
      </c>
      <c r="U43" s="449">
        <f t="shared" si="4"/>
        <v>208.44</v>
      </c>
      <c r="V43" s="470">
        <v>0.04</v>
      </c>
      <c r="W43" s="449">
        <f t="shared" si="18"/>
        <v>8.34</v>
      </c>
      <c r="X43" s="450">
        <f t="shared" si="19"/>
        <v>111.76</v>
      </c>
      <c r="Y43" s="969"/>
      <c r="Z43" s="969"/>
      <c r="AA43" s="450"/>
      <c r="AB43" s="970">
        <f t="shared" si="20"/>
        <v>0</v>
      </c>
      <c r="AC43" s="970">
        <f t="shared" si="14"/>
        <v>0</v>
      </c>
      <c r="AD43" s="451">
        <f t="shared" si="5"/>
        <v>31.27</v>
      </c>
    </row>
    <row r="44" spans="1:30" ht="50.1" customHeight="1" thickTop="1" thickBot="1">
      <c r="A44" s="446">
        <f>'DADOS (F)'!A36</f>
        <v>25</v>
      </c>
      <c r="B44" s="447" t="str">
        <f>'DADOS (F)'!B36</f>
        <v>PASS AIRTON SENA</v>
      </c>
      <c r="C44" s="448">
        <f>'DADOS (F)'!F36</f>
        <v>280.29000000000002</v>
      </c>
      <c r="D44" s="448">
        <v>270.04000000000002</v>
      </c>
      <c r="E44" s="448">
        <v>270.04000000000002</v>
      </c>
      <c r="F44" s="449">
        <f>'DADOS (F)'!H36</f>
        <v>4.3</v>
      </c>
      <c r="G44" s="449">
        <v>1.2</v>
      </c>
      <c r="H44" s="449">
        <v>0.3</v>
      </c>
      <c r="I44" s="449">
        <f t="shared" si="21"/>
        <v>6.75</v>
      </c>
      <c r="J44" s="449">
        <f t="shared" si="0"/>
        <v>4.7300000000000004</v>
      </c>
      <c r="K44" s="512">
        <f t="shared" si="6"/>
        <v>184.47</v>
      </c>
      <c r="L44" s="512">
        <f t="shared" si="7"/>
        <v>44.89</v>
      </c>
      <c r="M44" s="449">
        <f t="shared" si="1"/>
        <v>337.55</v>
      </c>
      <c r="N44" s="449">
        <f t="shared" si="8"/>
        <v>67.510000000000005</v>
      </c>
      <c r="O44" s="449">
        <f t="shared" si="17"/>
        <v>23.22</v>
      </c>
      <c r="P44" s="449">
        <f t="shared" si="10"/>
        <v>540.08000000000004</v>
      </c>
      <c r="Q44" s="449">
        <f t="shared" si="11"/>
        <v>540.08000000000004</v>
      </c>
      <c r="R44" s="449">
        <f t="shared" si="2"/>
        <v>29.97</v>
      </c>
      <c r="S44" s="512">
        <f t="shared" si="12"/>
        <v>600</v>
      </c>
      <c r="T44" s="449">
        <f t="shared" si="3"/>
        <v>1205.25</v>
      </c>
      <c r="U44" s="449">
        <f t="shared" si="4"/>
        <v>1205.25</v>
      </c>
      <c r="V44" s="470">
        <v>0.04</v>
      </c>
      <c r="W44" s="449">
        <f t="shared" si="18"/>
        <v>48.21</v>
      </c>
      <c r="X44" s="450">
        <f t="shared" si="19"/>
        <v>646.01</v>
      </c>
      <c r="Y44" s="969"/>
      <c r="Z44" s="969"/>
      <c r="AA44" s="450"/>
      <c r="AB44" s="970">
        <f t="shared" si="20"/>
        <v>0</v>
      </c>
      <c r="AC44" s="970">
        <f t="shared" si="14"/>
        <v>0</v>
      </c>
      <c r="AD44" s="451">
        <f t="shared" si="5"/>
        <v>180.79</v>
      </c>
    </row>
    <row r="45" spans="1:30" ht="50.1" customHeight="1" thickTop="1" thickBot="1">
      <c r="A45" s="446">
        <f>'DADOS (F)'!A37</f>
        <v>26</v>
      </c>
      <c r="B45" s="447" t="str">
        <f>'DADOS (F)'!B37</f>
        <v>RUA AMINTAS PINHEIRO</v>
      </c>
      <c r="C45" s="448">
        <f>'DADOS (F)'!F37</f>
        <v>514.52</v>
      </c>
      <c r="D45" s="448">
        <v>458.17</v>
      </c>
      <c r="E45" s="448">
        <v>458.17</v>
      </c>
      <c r="F45" s="449">
        <f>'DADOS (F)'!H37</f>
        <v>6.55</v>
      </c>
      <c r="G45" s="449">
        <v>1.2</v>
      </c>
      <c r="H45" s="449">
        <v>1.2</v>
      </c>
      <c r="I45" s="449">
        <f t="shared" si="21"/>
        <v>19.7</v>
      </c>
      <c r="J45" s="449">
        <f t="shared" si="0"/>
        <v>13.79</v>
      </c>
      <c r="K45" s="512">
        <f t="shared" si="6"/>
        <v>537.80999999999995</v>
      </c>
      <c r="L45" s="512">
        <f t="shared" si="7"/>
        <v>130.87</v>
      </c>
      <c r="M45" s="449">
        <f t="shared" si="1"/>
        <v>985.07</v>
      </c>
      <c r="N45" s="449">
        <f t="shared" si="8"/>
        <v>114.54</v>
      </c>
      <c r="O45" s="449">
        <f t="shared" si="17"/>
        <v>39.4</v>
      </c>
      <c r="P45" s="449">
        <f t="shared" si="10"/>
        <v>916.34</v>
      </c>
      <c r="Q45" s="449">
        <f t="shared" si="11"/>
        <v>916.34</v>
      </c>
      <c r="R45" s="449">
        <f t="shared" si="2"/>
        <v>59.1</v>
      </c>
      <c r="S45" s="512">
        <f t="shared" si="12"/>
        <v>1183.18</v>
      </c>
      <c r="T45" s="449">
        <f t="shared" si="3"/>
        <v>3370.11</v>
      </c>
      <c r="U45" s="449">
        <f t="shared" si="4"/>
        <v>3370.11</v>
      </c>
      <c r="V45" s="470">
        <v>0.04</v>
      </c>
      <c r="W45" s="449">
        <f t="shared" si="18"/>
        <v>134.80000000000001</v>
      </c>
      <c r="X45" s="450">
        <f t="shared" si="19"/>
        <v>1806.32</v>
      </c>
      <c r="Y45" s="969"/>
      <c r="Z45" s="969"/>
      <c r="AA45" s="450"/>
      <c r="AB45" s="970">
        <f t="shared" si="20"/>
        <v>0</v>
      </c>
      <c r="AC45" s="970">
        <f t="shared" si="14"/>
        <v>0</v>
      </c>
      <c r="AD45" s="451">
        <f t="shared" si="5"/>
        <v>505.52</v>
      </c>
    </row>
    <row r="46" spans="1:30" ht="50.1" customHeight="1" thickTop="1" thickBot="1">
      <c r="A46" s="446">
        <f>'DADOS (F)'!A38</f>
        <v>27</v>
      </c>
      <c r="B46" s="447" t="str">
        <f>'DADOS (F)'!B38</f>
        <v>PASS PRINC ISABEL</v>
      </c>
      <c r="C46" s="448">
        <f>'DADOS (F)'!F38</f>
        <v>96.66</v>
      </c>
      <c r="D46" s="448">
        <v>79.16</v>
      </c>
      <c r="E46" s="448">
        <v>79.16</v>
      </c>
      <c r="F46" s="449">
        <f>'DADOS (F)'!H38</f>
        <v>4.55</v>
      </c>
      <c r="G46" s="449">
        <v>1.2</v>
      </c>
      <c r="H46" s="449">
        <v>0.85</v>
      </c>
      <c r="I46" s="449">
        <f t="shared" si="21"/>
        <v>2.85</v>
      </c>
      <c r="J46" s="449">
        <f t="shared" si="0"/>
        <v>2</v>
      </c>
      <c r="K46" s="512">
        <f t="shared" si="6"/>
        <v>78</v>
      </c>
      <c r="L46" s="512">
        <f t="shared" si="7"/>
        <v>18.98</v>
      </c>
      <c r="M46" s="449">
        <f t="shared" si="1"/>
        <v>142.49</v>
      </c>
      <c r="N46" s="449">
        <f t="shared" si="8"/>
        <v>19.79</v>
      </c>
      <c r="O46" s="449">
        <f t="shared" si="17"/>
        <v>6.81</v>
      </c>
      <c r="P46" s="449">
        <f t="shared" si="10"/>
        <v>158.32</v>
      </c>
      <c r="Q46" s="449">
        <f t="shared" si="11"/>
        <v>158.32</v>
      </c>
      <c r="R46" s="449">
        <f t="shared" si="2"/>
        <v>9.66</v>
      </c>
      <c r="S46" s="512">
        <f t="shared" si="12"/>
        <v>193.39</v>
      </c>
      <c r="T46" s="449">
        <f t="shared" si="3"/>
        <v>439.8</v>
      </c>
      <c r="U46" s="449">
        <f t="shared" si="4"/>
        <v>439.8</v>
      </c>
      <c r="V46" s="470">
        <v>0.04</v>
      </c>
      <c r="W46" s="449">
        <f t="shared" si="18"/>
        <v>17.59</v>
      </c>
      <c r="X46" s="450">
        <f t="shared" si="19"/>
        <v>235.71</v>
      </c>
      <c r="Y46" s="969"/>
      <c r="Z46" s="969"/>
      <c r="AA46" s="450"/>
      <c r="AB46" s="970">
        <f t="shared" si="20"/>
        <v>0</v>
      </c>
      <c r="AC46" s="970">
        <f t="shared" si="14"/>
        <v>0</v>
      </c>
      <c r="AD46" s="451">
        <f t="shared" si="5"/>
        <v>65.97</v>
      </c>
    </row>
    <row r="47" spans="1:30" ht="50.1" customHeight="1" thickTop="1" thickBot="1">
      <c r="A47" s="446">
        <f>'DADOS (F)'!A39</f>
        <v>28</v>
      </c>
      <c r="B47" s="447" t="str">
        <f>'DADOS (F)'!B39</f>
        <v>PASS SANTA CLARA</v>
      </c>
      <c r="C47" s="448">
        <f>'DADOS (F)'!F39</f>
        <v>95.95</v>
      </c>
      <c r="D47" s="448">
        <v>78.45</v>
      </c>
      <c r="E47" s="448">
        <v>78.45</v>
      </c>
      <c r="F47" s="449">
        <f>'DADOS (F)'!H39</f>
        <v>2.9</v>
      </c>
      <c r="G47" s="449">
        <v>1.2</v>
      </c>
      <c r="H47" s="449">
        <v>0.3</v>
      </c>
      <c r="I47" s="449">
        <f t="shared" si="21"/>
        <v>1.96</v>
      </c>
      <c r="J47" s="449">
        <f t="shared" si="0"/>
        <v>1.37</v>
      </c>
      <c r="K47" s="512">
        <f t="shared" si="6"/>
        <v>53.43</v>
      </c>
      <c r="L47" s="512">
        <f t="shared" si="7"/>
        <v>13</v>
      </c>
      <c r="M47" s="449">
        <f t="shared" si="1"/>
        <v>98.07</v>
      </c>
      <c r="N47" s="449">
        <f t="shared" si="8"/>
        <v>19.61</v>
      </c>
      <c r="O47" s="449">
        <f t="shared" si="17"/>
        <v>6.75</v>
      </c>
      <c r="P47" s="449">
        <f t="shared" si="10"/>
        <v>156.9</v>
      </c>
      <c r="Q47" s="449">
        <f t="shared" si="11"/>
        <v>156.9</v>
      </c>
      <c r="R47" s="449">
        <f t="shared" si="2"/>
        <v>8.7100000000000009</v>
      </c>
      <c r="S47" s="512">
        <f t="shared" si="12"/>
        <v>174.37</v>
      </c>
      <c r="T47" s="449">
        <f t="shared" si="3"/>
        <v>278.26</v>
      </c>
      <c r="U47" s="449">
        <f t="shared" si="4"/>
        <v>278.26</v>
      </c>
      <c r="V47" s="470">
        <v>0.04</v>
      </c>
      <c r="W47" s="449">
        <f t="shared" si="18"/>
        <v>11.13</v>
      </c>
      <c r="X47" s="450">
        <f t="shared" si="19"/>
        <v>149.13999999999999</v>
      </c>
      <c r="Y47" s="969"/>
      <c r="Z47" s="969"/>
      <c r="AA47" s="450"/>
      <c r="AB47" s="970">
        <f t="shared" si="20"/>
        <v>0</v>
      </c>
      <c r="AC47" s="970">
        <f t="shared" si="14"/>
        <v>0</v>
      </c>
      <c r="AD47" s="451">
        <f t="shared" si="5"/>
        <v>41.74</v>
      </c>
    </row>
    <row r="48" spans="1:30" ht="50.1" customHeight="1" thickTop="1" thickBot="1">
      <c r="A48" s="446">
        <f>'DADOS (F)'!A40</f>
        <v>29</v>
      </c>
      <c r="B48" s="447" t="str">
        <f>'DADOS (F)'!B40</f>
        <v>PASS AIRTON SENA 1</v>
      </c>
      <c r="C48" s="448">
        <f>'DADOS (F)'!F40</f>
        <v>117.94</v>
      </c>
      <c r="D48" s="448">
        <v>108.49</v>
      </c>
      <c r="E48" s="448">
        <v>108.49</v>
      </c>
      <c r="F48" s="449">
        <f>'DADOS (F)'!H40</f>
        <v>4.7</v>
      </c>
      <c r="G48" s="449">
        <v>1.2</v>
      </c>
      <c r="H48" s="449">
        <v>0.8</v>
      </c>
      <c r="I48" s="449">
        <f t="shared" si="21"/>
        <v>3.8</v>
      </c>
      <c r="J48" s="449">
        <f t="shared" si="0"/>
        <v>2.66</v>
      </c>
      <c r="K48" s="512">
        <f t="shared" si="6"/>
        <v>103.74</v>
      </c>
      <c r="L48" s="512">
        <f t="shared" si="7"/>
        <v>25.24</v>
      </c>
      <c r="M48" s="449">
        <f t="shared" si="1"/>
        <v>189.86</v>
      </c>
      <c r="N48" s="449">
        <f t="shared" si="8"/>
        <v>27.12</v>
      </c>
      <c r="O48" s="449">
        <f t="shared" si="17"/>
        <v>9.33</v>
      </c>
      <c r="P48" s="449">
        <f t="shared" si="10"/>
        <v>216.98</v>
      </c>
      <c r="Q48" s="449">
        <f t="shared" si="11"/>
        <v>216.98</v>
      </c>
      <c r="R48" s="449">
        <f t="shared" si="2"/>
        <v>13.13</v>
      </c>
      <c r="S48" s="512">
        <f t="shared" si="12"/>
        <v>262.86</v>
      </c>
      <c r="T48" s="449">
        <f t="shared" si="3"/>
        <v>554.32000000000005</v>
      </c>
      <c r="U48" s="449">
        <f t="shared" si="4"/>
        <v>554.32000000000005</v>
      </c>
      <c r="V48" s="470">
        <v>0.04</v>
      </c>
      <c r="W48" s="449">
        <f t="shared" si="18"/>
        <v>22.17</v>
      </c>
      <c r="X48" s="450">
        <f t="shared" si="19"/>
        <v>297.08</v>
      </c>
      <c r="Y48" s="969"/>
      <c r="Z48" s="969"/>
      <c r="AA48" s="450"/>
      <c r="AB48" s="970">
        <f t="shared" si="20"/>
        <v>0</v>
      </c>
      <c r="AC48" s="970">
        <f t="shared" si="14"/>
        <v>0</v>
      </c>
      <c r="AD48" s="451">
        <f t="shared" si="5"/>
        <v>83.15</v>
      </c>
    </row>
    <row r="49" spans="1:30" ht="50.1" customHeight="1" thickTop="1" thickBot="1">
      <c r="A49" s="446">
        <f>'DADOS (F)'!A41</f>
        <v>30</v>
      </c>
      <c r="B49" s="447" t="str">
        <f>'DADOS (F)'!B41</f>
        <v>PASS TIM LOPES</v>
      </c>
      <c r="C49" s="448">
        <f>'DADOS (F)'!F41</f>
        <v>108.35</v>
      </c>
      <c r="D49" s="448">
        <v>103.05</v>
      </c>
      <c r="E49" s="448">
        <v>103.05</v>
      </c>
      <c r="F49" s="449">
        <f>'DADOS (F)'!H41</f>
        <v>3.83</v>
      </c>
      <c r="G49" s="449">
        <v>1.2</v>
      </c>
      <c r="H49" s="449">
        <v>0.3</v>
      </c>
      <c r="I49" s="449">
        <f t="shared" si="21"/>
        <v>2.58</v>
      </c>
      <c r="J49" s="449">
        <f t="shared" si="0"/>
        <v>1.81</v>
      </c>
      <c r="K49" s="512">
        <f t="shared" si="6"/>
        <v>70.59</v>
      </c>
      <c r="L49" s="512">
        <f t="shared" si="7"/>
        <v>17.18</v>
      </c>
      <c r="M49" s="449">
        <f t="shared" si="1"/>
        <v>128.82</v>
      </c>
      <c r="N49" s="449">
        <f t="shared" si="8"/>
        <v>25.76</v>
      </c>
      <c r="O49" s="449">
        <f t="shared" si="17"/>
        <v>8.86</v>
      </c>
      <c r="P49" s="449">
        <f t="shared" si="10"/>
        <v>206.1</v>
      </c>
      <c r="Q49" s="449">
        <f t="shared" si="11"/>
        <v>206.1</v>
      </c>
      <c r="R49" s="449">
        <f t="shared" si="2"/>
        <v>11.44</v>
      </c>
      <c r="S49" s="512">
        <f t="shared" si="12"/>
        <v>229.03</v>
      </c>
      <c r="T49" s="449">
        <f t="shared" si="3"/>
        <v>414.98</v>
      </c>
      <c r="U49" s="449">
        <f t="shared" si="4"/>
        <v>414.98</v>
      </c>
      <c r="V49" s="470">
        <v>0.04</v>
      </c>
      <c r="W49" s="449">
        <f t="shared" si="18"/>
        <v>16.600000000000001</v>
      </c>
      <c r="X49" s="450">
        <f t="shared" si="19"/>
        <v>222.44</v>
      </c>
      <c r="Y49" s="969"/>
      <c r="Z49" s="969"/>
      <c r="AA49" s="450"/>
      <c r="AB49" s="970">
        <f t="shared" si="20"/>
        <v>0</v>
      </c>
      <c r="AC49" s="970">
        <f t="shared" si="14"/>
        <v>0</v>
      </c>
      <c r="AD49" s="451">
        <f t="shared" si="5"/>
        <v>62.25</v>
      </c>
    </row>
    <row r="50" spans="1:30" ht="80.099999999999994" hidden="1" customHeight="1" thickTop="1" thickBot="1">
      <c r="A50" s="446">
        <f>'DADOS (F)'!A42</f>
        <v>0</v>
      </c>
      <c r="B50" s="447">
        <f>'DADOS (F)'!B42</f>
        <v>0</v>
      </c>
      <c r="C50" s="448">
        <f>'DADOS (F)'!F42</f>
        <v>0</v>
      </c>
      <c r="D50" s="448"/>
      <c r="E50" s="448"/>
      <c r="F50" s="449">
        <f>'DADOS (F)'!H42</f>
        <v>0</v>
      </c>
      <c r="G50" s="449"/>
      <c r="H50" s="449">
        <v>1</v>
      </c>
      <c r="I50" s="449">
        <f t="shared" ref="I50:I55" si="22">M50*$I$17</f>
        <v>0</v>
      </c>
      <c r="J50" s="449">
        <f t="shared" si="0"/>
        <v>0</v>
      </c>
      <c r="K50" s="512">
        <f t="shared" si="6"/>
        <v>0</v>
      </c>
      <c r="L50" s="512">
        <f t="shared" si="7"/>
        <v>0</v>
      </c>
      <c r="M50" s="449">
        <f t="shared" ref="M50:M56" si="23">C50*H50*2*50%</f>
        <v>0</v>
      </c>
      <c r="N50" s="449">
        <f t="shared" si="8"/>
        <v>0</v>
      </c>
      <c r="O50" s="449">
        <f t="shared" si="17"/>
        <v>0</v>
      </c>
      <c r="P50" s="449">
        <f t="shared" ref="P50:P81" si="24">C50*2</f>
        <v>0</v>
      </c>
      <c r="Q50" s="449">
        <f t="shared" ref="Q50:Q81" si="25">C50*2</f>
        <v>0</v>
      </c>
      <c r="R50" s="449">
        <f t="shared" si="2"/>
        <v>0</v>
      </c>
      <c r="S50" s="449"/>
      <c r="T50" s="449">
        <f t="shared" ref="T50:T81" si="26">C50*(F50-0.43*2)</f>
        <v>0</v>
      </c>
      <c r="U50" s="449">
        <f t="shared" ref="U50:U81" si="27">C50*(F50-0.43*2)</f>
        <v>0</v>
      </c>
      <c r="V50" s="470">
        <v>3.5000000000000003E-2</v>
      </c>
      <c r="W50" s="449">
        <f t="shared" si="18"/>
        <v>0</v>
      </c>
      <c r="X50" s="450">
        <f t="shared" si="19"/>
        <v>0</v>
      </c>
      <c r="Y50" s="969"/>
      <c r="Z50" s="969"/>
      <c r="AA50" s="969"/>
      <c r="AB50" s="970">
        <f t="shared" si="20"/>
        <v>0</v>
      </c>
      <c r="AC50" s="970">
        <f t="shared" ref="AC50:AC59" si="28">AB50*1.3*$AC$17</f>
        <v>0</v>
      </c>
      <c r="AD50" s="451">
        <f t="shared" si="5"/>
        <v>0</v>
      </c>
    </row>
    <row r="51" spans="1:30" ht="54" hidden="1" thickTop="1" thickBot="1">
      <c r="A51" s="446">
        <f>'DADOS (F)'!A43</f>
        <v>0</v>
      </c>
      <c r="B51" s="447">
        <f>'DADOS (F)'!B43</f>
        <v>0</v>
      </c>
      <c r="C51" s="448">
        <f>'DADOS (F)'!F43</f>
        <v>0</v>
      </c>
      <c r="D51" s="448"/>
      <c r="E51" s="448"/>
      <c r="F51" s="449">
        <f>'DADOS (F)'!H43</f>
        <v>0</v>
      </c>
      <c r="G51" s="449"/>
      <c r="H51" s="449">
        <v>1</v>
      </c>
      <c r="I51" s="449">
        <f t="shared" si="22"/>
        <v>0</v>
      </c>
      <c r="J51" s="449">
        <f t="shared" si="0"/>
        <v>0</v>
      </c>
      <c r="K51" s="512">
        <f t="shared" si="6"/>
        <v>0</v>
      </c>
      <c r="L51" s="512">
        <f t="shared" si="7"/>
        <v>0</v>
      </c>
      <c r="M51" s="449">
        <f t="shared" si="23"/>
        <v>0</v>
      </c>
      <c r="N51" s="449">
        <f t="shared" si="8"/>
        <v>0</v>
      </c>
      <c r="O51" s="449">
        <f t="shared" si="17"/>
        <v>0</v>
      </c>
      <c r="P51" s="449">
        <f t="shared" si="24"/>
        <v>0</v>
      </c>
      <c r="Q51" s="449">
        <f t="shared" si="25"/>
        <v>0</v>
      </c>
      <c r="R51" s="449">
        <f t="shared" si="2"/>
        <v>0</v>
      </c>
      <c r="S51" s="449"/>
      <c r="T51" s="449">
        <f t="shared" si="26"/>
        <v>0</v>
      </c>
      <c r="U51" s="449">
        <f t="shared" si="27"/>
        <v>0</v>
      </c>
      <c r="V51" s="470">
        <v>3.5000000000000003E-2</v>
      </c>
      <c r="W51" s="449">
        <f t="shared" si="18"/>
        <v>0</v>
      </c>
      <c r="X51" s="450">
        <f t="shared" si="19"/>
        <v>0</v>
      </c>
      <c r="Y51" s="969"/>
      <c r="Z51" s="969"/>
      <c r="AA51" s="969"/>
      <c r="AB51" s="970">
        <f t="shared" si="20"/>
        <v>0</v>
      </c>
      <c r="AC51" s="970">
        <f t="shared" si="28"/>
        <v>0</v>
      </c>
      <c r="AD51" s="451">
        <f t="shared" si="5"/>
        <v>0</v>
      </c>
    </row>
    <row r="52" spans="1:30" ht="54" hidden="1" thickTop="1" thickBot="1">
      <c r="A52" s="446">
        <f>'DADOS (F)'!A44</f>
        <v>0</v>
      </c>
      <c r="B52" s="447">
        <f>'DADOS (F)'!B44</f>
        <v>0</v>
      </c>
      <c r="C52" s="448">
        <f>'DADOS (F)'!F44</f>
        <v>0</v>
      </c>
      <c r="D52" s="448"/>
      <c r="E52" s="448"/>
      <c r="F52" s="449">
        <f>'DADOS (F)'!H44</f>
        <v>0</v>
      </c>
      <c r="G52" s="449"/>
      <c r="H52" s="449">
        <v>1</v>
      </c>
      <c r="I52" s="449">
        <f t="shared" si="22"/>
        <v>0</v>
      </c>
      <c r="J52" s="449">
        <f t="shared" ref="J52:J83" si="29">I52*70%</f>
        <v>0</v>
      </c>
      <c r="K52" s="512">
        <f t="shared" si="6"/>
        <v>0</v>
      </c>
      <c r="L52" s="512">
        <f t="shared" si="7"/>
        <v>0</v>
      </c>
      <c r="M52" s="449">
        <f t="shared" si="23"/>
        <v>0</v>
      </c>
      <c r="N52" s="449">
        <f t="shared" si="8"/>
        <v>0</v>
      </c>
      <c r="O52" s="449">
        <f t="shared" si="17"/>
        <v>0</v>
      </c>
      <c r="P52" s="449">
        <f t="shared" si="24"/>
        <v>0</v>
      </c>
      <c r="Q52" s="449">
        <f t="shared" si="25"/>
        <v>0</v>
      </c>
      <c r="R52" s="449">
        <f t="shared" ref="R52:R83" si="30">I52+O52</f>
        <v>0</v>
      </c>
      <c r="S52" s="449"/>
      <c r="T52" s="449">
        <f t="shared" si="26"/>
        <v>0</v>
      </c>
      <c r="U52" s="449">
        <f t="shared" si="27"/>
        <v>0</v>
      </c>
      <c r="V52" s="470">
        <v>3.5000000000000003E-2</v>
      </c>
      <c r="W52" s="449">
        <f t="shared" si="18"/>
        <v>0</v>
      </c>
      <c r="X52" s="450">
        <f t="shared" si="19"/>
        <v>0</v>
      </c>
      <c r="Y52" s="969"/>
      <c r="Z52" s="969"/>
      <c r="AA52" s="969"/>
      <c r="AB52" s="970">
        <f t="shared" si="20"/>
        <v>0</v>
      </c>
      <c r="AC52" s="970">
        <f t="shared" si="28"/>
        <v>0</v>
      </c>
      <c r="AD52" s="451">
        <f t="shared" ref="AD52:AD83" si="31">C52*F52*15%</f>
        <v>0</v>
      </c>
    </row>
    <row r="53" spans="1:30" ht="80.099999999999994" hidden="1" customHeight="1" thickBot="1">
      <c r="A53" s="446">
        <f>'DADOS (F)'!A45</f>
        <v>0</v>
      </c>
      <c r="B53" s="447">
        <f>'DADOS (F)'!B45</f>
        <v>0</v>
      </c>
      <c r="C53" s="448">
        <f>'DADOS (F)'!F45</f>
        <v>0</v>
      </c>
      <c r="D53" s="448"/>
      <c r="E53" s="448"/>
      <c r="F53" s="449">
        <f>'DADOS (F)'!H45</f>
        <v>0</v>
      </c>
      <c r="G53" s="449"/>
      <c r="H53" s="449">
        <v>1</v>
      </c>
      <c r="I53" s="449">
        <f t="shared" si="22"/>
        <v>0</v>
      </c>
      <c r="J53" s="449">
        <f t="shared" si="29"/>
        <v>0</v>
      </c>
      <c r="K53" s="512">
        <f t="shared" si="6"/>
        <v>0</v>
      </c>
      <c r="L53" s="512">
        <f t="shared" si="7"/>
        <v>0</v>
      </c>
      <c r="M53" s="449">
        <f t="shared" si="23"/>
        <v>0</v>
      </c>
      <c r="N53" s="449">
        <f t="shared" si="8"/>
        <v>0</v>
      </c>
      <c r="O53" s="449">
        <f t="shared" si="17"/>
        <v>0</v>
      </c>
      <c r="P53" s="449">
        <f t="shared" si="24"/>
        <v>0</v>
      </c>
      <c r="Q53" s="449">
        <f t="shared" si="25"/>
        <v>0</v>
      </c>
      <c r="R53" s="449">
        <f t="shared" si="30"/>
        <v>0</v>
      </c>
      <c r="S53" s="449"/>
      <c r="T53" s="449">
        <f t="shared" si="26"/>
        <v>0</v>
      </c>
      <c r="U53" s="449">
        <f t="shared" si="27"/>
        <v>0</v>
      </c>
      <c r="V53" s="470">
        <v>3.5000000000000003E-2</v>
      </c>
      <c r="W53" s="449">
        <f t="shared" si="18"/>
        <v>0</v>
      </c>
      <c r="X53" s="450">
        <f t="shared" si="19"/>
        <v>0</v>
      </c>
      <c r="Y53" s="969"/>
      <c r="Z53" s="969"/>
      <c r="AA53" s="969"/>
      <c r="AB53" s="970">
        <f t="shared" si="20"/>
        <v>0</v>
      </c>
      <c r="AC53" s="970">
        <f t="shared" si="28"/>
        <v>0</v>
      </c>
      <c r="AD53" s="451">
        <f t="shared" si="31"/>
        <v>0</v>
      </c>
    </row>
    <row r="54" spans="1:30" ht="80.099999999999994" hidden="1" customHeight="1" thickBot="1">
      <c r="A54" s="446">
        <f>'DADOS (F)'!A46</f>
        <v>0</v>
      </c>
      <c r="B54" s="447">
        <f>'DADOS (F)'!B46</f>
        <v>0</v>
      </c>
      <c r="C54" s="448">
        <f>'DADOS (F)'!F46</f>
        <v>0</v>
      </c>
      <c r="D54" s="448"/>
      <c r="E54" s="448"/>
      <c r="F54" s="449">
        <f>'DADOS (F)'!H46</f>
        <v>0</v>
      </c>
      <c r="G54" s="449"/>
      <c r="H54" s="449">
        <v>1</v>
      </c>
      <c r="I54" s="449">
        <f t="shared" si="22"/>
        <v>0</v>
      </c>
      <c r="J54" s="449">
        <f t="shared" si="29"/>
        <v>0</v>
      </c>
      <c r="K54" s="512">
        <f t="shared" si="6"/>
        <v>0</v>
      </c>
      <c r="L54" s="512">
        <f t="shared" si="7"/>
        <v>0</v>
      </c>
      <c r="M54" s="449">
        <f t="shared" si="23"/>
        <v>0</v>
      </c>
      <c r="N54" s="449">
        <f t="shared" si="8"/>
        <v>0</v>
      </c>
      <c r="O54" s="449">
        <f t="shared" si="17"/>
        <v>0</v>
      </c>
      <c r="P54" s="449">
        <f t="shared" si="24"/>
        <v>0</v>
      </c>
      <c r="Q54" s="449">
        <f t="shared" si="25"/>
        <v>0</v>
      </c>
      <c r="R54" s="449">
        <f t="shared" si="30"/>
        <v>0</v>
      </c>
      <c r="S54" s="449"/>
      <c r="T54" s="449">
        <f t="shared" si="26"/>
        <v>0</v>
      </c>
      <c r="U54" s="449">
        <f t="shared" si="27"/>
        <v>0</v>
      </c>
      <c r="V54" s="470">
        <v>3.5000000000000003E-2</v>
      </c>
      <c r="W54" s="449">
        <f t="shared" si="18"/>
        <v>0</v>
      </c>
      <c r="X54" s="450">
        <f t="shared" si="19"/>
        <v>0</v>
      </c>
      <c r="Y54" s="969"/>
      <c r="Z54" s="969"/>
      <c r="AA54" s="969"/>
      <c r="AB54" s="970">
        <f t="shared" si="20"/>
        <v>0</v>
      </c>
      <c r="AC54" s="970">
        <f t="shared" si="28"/>
        <v>0</v>
      </c>
      <c r="AD54" s="451">
        <f t="shared" si="31"/>
        <v>0</v>
      </c>
    </row>
    <row r="55" spans="1:30" ht="80.099999999999994" hidden="1" customHeight="1" thickBot="1">
      <c r="A55" s="446">
        <f>'DADOS (F)'!A47</f>
        <v>0</v>
      </c>
      <c r="B55" s="447">
        <f>'DADOS (F)'!B47</f>
        <v>0</v>
      </c>
      <c r="C55" s="448">
        <f>'DADOS (F)'!F47</f>
        <v>0</v>
      </c>
      <c r="D55" s="448"/>
      <c r="E55" s="448"/>
      <c r="F55" s="449">
        <f>'DADOS (F)'!H47</f>
        <v>0</v>
      </c>
      <c r="G55" s="449"/>
      <c r="H55" s="449">
        <v>1</v>
      </c>
      <c r="I55" s="449">
        <f t="shared" si="22"/>
        <v>0</v>
      </c>
      <c r="J55" s="449">
        <f t="shared" si="29"/>
        <v>0</v>
      </c>
      <c r="K55" s="512">
        <f t="shared" si="6"/>
        <v>0</v>
      </c>
      <c r="L55" s="512">
        <f t="shared" si="7"/>
        <v>0</v>
      </c>
      <c r="M55" s="449">
        <f t="shared" si="23"/>
        <v>0</v>
      </c>
      <c r="N55" s="449">
        <f t="shared" si="8"/>
        <v>0</v>
      </c>
      <c r="O55" s="449">
        <f t="shared" si="17"/>
        <v>0</v>
      </c>
      <c r="P55" s="449">
        <f t="shared" si="24"/>
        <v>0</v>
      </c>
      <c r="Q55" s="449">
        <f t="shared" si="25"/>
        <v>0</v>
      </c>
      <c r="R55" s="449">
        <f t="shared" si="30"/>
        <v>0</v>
      </c>
      <c r="S55" s="449"/>
      <c r="T55" s="449">
        <f t="shared" si="26"/>
        <v>0</v>
      </c>
      <c r="U55" s="449">
        <f t="shared" si="27"/>
        <v>0</v>
      </c>
      <c r="V55" s="470">
        <v>3.5000000000000003E-2</v>
      </c>
      <c r="W55" s="449">
        <f t="shared" si="18"/>
        <v>0</v>
      </c>
      <c r="X55" s="450">
        <f t="shared" si="19"/>
        <v>0</v>
      </c>
      <c r="Y55" s="969"/>
      <c r="Z55" s="969"/>
      <c r="AA55" s="969"/>
      <c r="AB55" s="970">
        <f t="shared" si="20"/>
        <v>0</v>
      </c>
      <c r="AC55" s="970">
        <f t="shared" si="28"/>
        <v>0</v>
      </c>
      <c r="AD55" s="451">
        <f t="shared" si="31"/>
        <v>0</v>
      </c>
    </row>
    <row r="56" spans="1:30" ht="54" hidden="1" thickTop="1" thickBot="1">
      <c r="A56" s="446">
        <f>'DADOS (F)'!A48</f>
        <v>0</v>
      </c>
      <c r="B56" s="447">
        <f>'DADOS (F)'!B48</f>
        <v>0</v>
      </c>
      <c r="C56" s="448">
        <f>'DADOS (F)'!F48</f>
        <v>0</v>
      </c>
      <c r="D56" s="448"/>
      <c r="E56" s="448"/>
      <c r="F56" s="449">
        <f>'DADOS (F)'!H48</f>
        <v>0</v>
      </c>
      <c r="G56" s="449"/>
      <c r="H56" s="449">
        <v>1</v>
      </c>
      <c r="I56" s="449">
        <f>M56*$I$17</f>
        <v>0</v>
      </c>
      <c r="J56" s="449">
        <f t="shared" si="29"/>
        <v>0</v>
      </c>
      <c r="K56" s="512">
        <f t="shared" si="6"/>
        <v>0</v>
      </c>
      <c r="L56" s="512">
        <f t="shared" si="7"/>
        <v>0</v>
      </c>
      <c r="M56" s="449">
        <f t="shared" si="23"/>
        <v>0</v>
      </c>
      <c r="N56" s="449">
        <f t="shared" si="8"/>
        <v>0</v>
      </c>
      <c r="O56" s="449">
        <f t="shared" si="9"/>
        <v>0</v>
      </c>
      <c r="P56" s="449">
        <f t="shared" si="24"/>
        <v>0</v>
      </c>
      <c r="Q56" s="449">
        <f t="shared" si="25"/>
        <v>0</v>
      </c>
      <c r="R56" s="449">
        <f t="shared" si="30"/>
        <v>0</v>
      </c>
      <c r="S56" s="449"/>
      <c r="T56" s="449">
        <f t="shared" si="26"/>
        <v>0</v>
      </c>
      <c r="U56" s="449">
        <f t="shared" si="27"/>
        <v>0</v>
      </c>
      <c r="V56" s="470">
        <v>3.5000000000000003E-2</v>
      </c>
      <c r="W56" s="449">
        <f>U56*V56</f>
        <v>0</v>
      </c>
      <c r="X56" s="450">
        <f>W56*$X$17</f>
        <v>0</v>
      </c>
      <c r="Y56" s="969"/>
      <c r="Z56" s="969"/>
      <c r="AA56" s="969"/>
      <c r="AB56" s="970">
        <f t="shared" si="13"/>
        <v>0</v>
      </c>
      <c r="AC56" s="970">
        <f t="shared" si="28"/>
        <v>0</v>
      </c>
      <c r="AD56" s="451">
        <f t="shared" si="31"/>
        <v>0</v>
      </c>
    </row>
    <row r="57" spans="1:30" ht="80.099999999999994" hidden="1" customHeight="1" thickBot="1">
      <c r="A57" s="446">
        <f>'DADOS (F)'!A49</f>
        <v>0</v>
      </c>
      <c r="B57" s="447">
        <f>'DADOS (F)'!B49</f>
        <v>0</v>
      </c>
      <c r="C57" s="448">
        <f>'DADOS (F)'!F49</f>
        <v>0</v>
      </c>
      <c r="D57" s="448"/>
      <c r="E57" s="448"/>
      <c r="F57" s="449">
        <f>'DADOS (F)'!H49</f>
        <v>0</v>
      </c>
      <c r="G57" s="449"/>
      <c r="H57" s="449">
        <v>1</v>
      </c>
      <c r="I57" s="449">
        <f>M57*$I$17</f>
        <v>0</v>
      </c>
      <c r="J57" s="449">
        <f t="shared" si="29"/>
        <v>0</v>
      </c>
      <c r="K57" s="512">
        <f t="shared" si="6"/>
        <v>0</v>
      </c>
      <c r="L57" s="512">
        <f t="shared" si="7"/>
        <v>0</v>
      </c>
      <c r="M57" s="449">
        <f t="shared" ref="M57:M88" si="32">C57*H57*2*70%</f>
        <v>0</v>
      </c>
      <c r="N57" s="449">
        <f t="shared" si="8"/>
        <v>0</v>
      </c>
      <c r="O57" s="449">
        <f>Q57*0.43*0.1</f>
        <v>0</v>
      </c>
      <c r="P57" s="449">
        <f t="shared" si="24"/>
        <v>0</v>
      </c>
      <c r="Q57" s="449">
        <f t="shared" si="25"/>
        <v>0</v>
      </c>
      <c r="R57" s="449">
        <f t="shared" si="30"/>
        <v>0</v>
      </c>
      <c r="S57" s="449"/>
      <c r="T57" s="449">
        <f t="shared" si="26"/>
        <v>0</v>
      </c>
      <c r="U57" s="449">
        <f t="shared" si="27"/>
        <v>0</v>
      </c>
      <c r="V57" s="470">
        <v>3.5000000000000003E-2</v>
      </c>
      <c r="W57" s="449">
        <f>U57*V57</f>
        <v>0</v>
      </c>
      <c r="X57" s="450">
        <f>W57*$X$17</f>
        <v>0</v>
      </c>
      <c r="Y57" s="969">
        <f>U57*$Y$17</f>
        <v>0</v>
      </c>
      <c r="Z57" s="969">
        <f>U57*0.7*$Z$17</f>
        <v>0</v>
      </c>
      <c r="AA57" s="969">
        <f>U57*$AA$17</f>
        <v>0</v>
      </c>
      <c r="AB57" s="970">
        <f>(Y57+AA57)*0.05+Z57</f>
        <v>0</v>
      </c>
      <c r="AC57" s="970">
        <f t="shared" si="28"/>
        <v>0</v>
      </c>
      <c r="AD57" s="451">
        <f t="shared" si="31"/>
        <v>0</v>
      </c>
    </row>
    <row r="58" spans="1:30" ht="80.099999999999994" hidden="1" customHeight="1" thickBot="1">
      <c r="A58" s="446">
        <f>'DADOS (F)'!A50</f>
        <v>0</v>
      </c>
      <c r="B58" s="447">
        <f>'DADOS (F)'!B50</f>
        <v>0</v>
      </c>
      <c r="C58" s="448">
        <f>'DADOS (F)'!F50</f>
        <v>0</v>
      </c>
      <c r="D58" s="448"/>
      <c r="E58" s="448"/>
      <c r="F58" s="449">
        <f>'DADOS (F)'!H50</f>
        <v>0</v>
      </c>
      <c r="G58" s="449"/>
      <c r="H58" s="449">
        <v>1</v>
      </c>
      <c r="I58" s="449">
        <f>M58*$I$17</f>
        <v>0</v>
      </c>
      <c r="J58" s="449">
        <f t="shared" si="29"/>
        <v>0</v>
      </c>
      <c r="K58" s="512">
        <f t="shared" si="6"/>
        <v>0</v>
      </c>
      <c r="L58" s="512">
        <f t="shared" si="7"/>
        <v>0</v>
      </c>
      <c r="M58" s="449">
        <f t="shared" si="32"/>
        <v>0</v>
      </c>
      <c r="N58" s="449">
        <f t="shared" si="8"/>
        <v>0</v>
      </c>
      <c r="O58" s="449">
        <f>Q58*0.43*0.1</f>
        <v>0</v>
      </c>
      <c r="P58" s="449">
        <f t="shared" si="24"/>
        <v>0</v>
      </c>
      <c r="Q58" s="449">
        <f t="shared" si="25"/>
        <v>0</v>
      </c>
      <c r="R58" s="449">
        <f t="shared" si="30"/>
        <v>0</v>
      </c>
      <c r="S58" s="449"/>
      <c r="T58" s="449">
        <f t="shared" si="26"/>
        <v>0</v>
      </c>
      <c r="U58" s="449">
        <f t="shared" si="27"/>
        <v>0</v>
      </c>
      <c r="V58" s="470">
        <v>3.5000000000000003E-2</v>
      </c>
      <c r="W58" s="449">
        <f>U58*V58</f>
        <v>0</v>
      </c>
      <c r="X58" s="450">
        <f>W58*$X$17</f>
        <v>0</v>
      </c>
      <c r="Y58" s="969"/>
      <c r="Z58" s="969"/>
      <c r="AA58" s="969"/>
      <c r="AB58" s="970">
        <f>(Y58+AA58)*0.05+Z58</f>
        <v>0</v>
      </c>
      <c r="AC58" s="970">
        <f t="shared" si="28"/>
        <v>0</v>
      </c>
      <c r="AD58" s="451">
        <f t="shared" si="31"/>
        <v>0</v>
      </c>
    </row>
    <row r="59" spans="1:30" ht="80.099999999999994" hidden="1" customHeight="1" thickBot="1">
      <c r="A59" s="446">
        <f>'DADOS (F)'!A51</f>
        <v>0</v>
      </c>
      <c r="B59" s="447">
        <f>'DADOS (F)'!B51</f>
        <v>0</v>
      </c>
      <c r="C59" s="448">
        <f>'DADOS (F)'!F51</f>
        <v>0</v>
      </c>
      <c r="D59" s="448"/>
      <c r="E59" s="448"/>
      <c r="F59" s="449">
        <f>'DADOS (F)'!H51</f>
        <v>0</v>
      </c>
      <c r="G59" s="449"/>
      <c r="H59" s="449">
        <v>1</v>
      </c>
      <c r="I59" s="449">
        <f>M59*$I$17</f>
        <v>0</v>
      </c>
      <c r="J59" s="449">
        <f t="shared" si="29"/>
        <v>0</v>
      </c>
      <c r="K59" s="512">
        <f t="shared" si="6"/>
        <v>0</v>
      </c>
      <c r="L59" s="512">
        <f t="shared" si="7"/>
        <v>0</v>
      </c>
      <c r="M59" s="449">
        <f t="shared" si="32"/>
        <v>0</v>
      </c>
      <c r="N59" s="449">
        <f t="shared" si="8"/>
        <v>0</v>
      </c>
      <c r="O59" s="449">
        <f>Q59*0.43*0.1</f>
        <v>0</v>
      </c>
      <c r="P59" s="449">
        <f t="shared" si="24"/>
        <v>0</v>
      </c>
      <c r="Q59" s="449">
        <f t="shared" si="25"/>
        <v>0</v>
      </c>
      <c r="R59" s="449">
        <f t="shared" si="30"/>
        <v>0</v>
      </c>
      <c r="S59" s="449"/>
      <c r="T59" s="449">
        <f t="shared" si="26"/>
        <v>0</v>
      </c>
      <c r="U59" s="449">
        <f t="shared" si="27"/>
        <v>0</v>
      </c>
      <c r="V59" s="470">
        <v>3.5000000000000003E-2</v>
      </c>
      <c r="W59" s="449">
        <f>U59*V59</f>
        <v>0</v>
      </c>
      <c r="X59" s="450">
        <f>W59*$X$17</f>
        <v>0</v>
      </c>
      <c r="Y59" s="969"/>
      <c r="Z59" s="969"/>
      <c r="AA59" s="969"/>
      <c r="AB59" s="970">
        <f>(Y59+AA59)*0.05+Z59</f>
        <v>0</v>
      </c>
      <c r="AC59" s="970">
        <f t="shared" si="28"/>
        <v>0</v>
      </c>
      <c r="AD59" s="451">
        <f t="shared" si="31"/>
        <v>0</v>
      </c>
    </row>
    <row r="60" spans="1:30" ht="80.099999999999994" hidden="1" customHeight="1" thickBot="1">
      <c r="A60" s="446">
        <f>'DADOS (F)'!A52</f>
        <v>0</v>
      </c>
      <c r="B60" s="447">
        <f>'DADOS (F)'!B52</f>
        <v>0</v>
      </c>
      <c r="C60" s="448">
        <f>'DADOS (F)'!F52</f>
        <v>0</v>
      </c>
      <c r="D60" s="448"/>
      <c r="E60" s="448"/>
      <c r="F60" s="449">
        <f>'DADOS (F)'!H52</f>
        <v>0</v>
      </c>
      <c r="G60" s="449"/>
      <c r="H60" s="449">
        <v>1</v>
      </c>
      <c r="I60" s="449">
        <f t="shared" ref="I60:I123" si="33">M60*$I$17</f>
        <v>0</v>
      </c>
      <c r="J60" s="449">
        <f t="shared" si="29"/>
        <v>0</v>
      </c>
      <c r="K60" s="512">
        <f t="shared" si="6"/>
        <v>0</v>
      </c>
      <c r="L60" s="512">
        <f t="shared" si="7"/>
        <v>0</v>
      </c>
      <c r="M60" s="449">
        <f t="shared" si="32"/>
        <v>0</v>
      </c>
      <c r="N60" s="449">
        <f t="shared" si="8"/>
        <v>0</v>
      </c>
      <c r="O60" s="449">
        <f t="shared" ref="O60:O123" si="34">Q60*0.43*0.1</f>
        <v>0</v>
      </c>
      <c r="P60" s="449">
        <f t="shared" si="24"/>
        <v>0</v>
      </c>
      <c r="Q60" s="449">
        <f t="shared" si="25"/>
        <v>0</v>
      </c>
      <c r="R60" s="449">
        <f t="shared" si="30"/>
        <v>0</v>
      </c>
      <c r="S60" s="449"/>
      <c r="T60" s="449">
        <f t="shared" si="26"/>
        <v>0</v>
      </c>
      <c r="U60" s="449">
        <f t="shared" si="27"/>
        <v>0</v>
      </c>
      <c r="V60" s="470">
        <v>3.5000000000000003E-2</v>
      </c>
      <c r="W60" s="449">
        <f t="shared" ref="W60:W123" si="35">U60*V60</f>
        <v>0</v>
      </c>
      <c r="X60" s="450">
        <f t="shared" ref="X60:X123" si="36">W60*$X$17</f>
        <v>0</v>
      </c>
      <c r="Y60" s="969"/>
      <c r="Z60" s="969"/>
      <c r="AA60" s="969"/>
      <c r="AB60" s="970">
        <f t="shared" ref="AB60:AB123" si="37">(Y60+AA60)*0.05+Z60</f>
        <v>0</v>
      </c>
      <c r="AC60" s="970">
        <f t="shared" ref="AC60:AC123" si="38">AB60*1.3*$AC$17</f>
        <v>0</v>
      </c>
      <c r="AD60" s="451">
        <f t="shared" si="31"/>
        <v>0</v>
      </c>
    </row>
    <row r="61" spans="1:30" ht="80.099999999999994" hidden="1" customHeight="1" thickBot="1">
      <c r="A61" s="446">
        <f>'DADOS (F)'!A53</f>
        <v>0</v>
      </c>
      <c r="B61" s="447">
        <f>'DADOS (F)'!B53</f>
        <v>0</v>
      </c>
      <c r="C61" s="448">
        <f>'DADOS (F)'!F53</f>
        <v>0</v>
      </c>
      <c r="D61" s="448"/>
      <c r="E61" s="448"/>
      <c r="F61" s="449">
        <f>'DADOS (F)'!H53</f>
        <v>0</v>
      </c>
      <c r="G61" s="449"/>
      <c r="H61" s="449">
        <v>1</v>
      </c>
      <c r="I61" s="449">
        <f t="shared" si="33"/>
        <v>0</v>
      </c>
      <c r="J61" s="449">
        <f t="shared" si="29"/>
        <v>0</v>
      </c>
      <c r="K61" s="512">
        <f t="shared" si="6"/>
        <v>0</v>
      </c>
      <c r="L61" s="512">
        <f t="shared" si="7"/>
        <v>0</v>
      </c>
      <c r="M61" s="449">
        <f t="shared" si="32"/>
        <v>0</v>
      </c>
      <c r="N61" s="449">
        <f t="shared" si="8"/>
        <v>0</v>
      </c>
      <c r="O61" s="449">
        <f t="shared" si="34"/>
        <v>0</v>
      </c>
      <c r="P61" s="449">
        <f t="shared" si="24"/>
        <v>0</v>
      </c>
      <c r="Q61" s="449">
        <f t="shared" si="25"/>
        <v>0</v>
      </c>
      <c r="R61" s="449">
        <f t="shared" si="30"/>
        <v>0</v>
      </c>
      <c r="S61" s="449"/>
      <c r="T61" s="449">
        <f t="shared" si="26"/>
        <v>0</v>
      </c>
      <c r="U61" s="449">
        <f t="shared" si="27"/>
        <v>0</v>
      </c>
      <c r="V61" s="470">
        <v>3.5000000000000003E-2</v>
      </c>
      <c r="W61" s="449">
        <f t="shared" si="35"/>
        <v>0</v>
      </c>
      <c r="X61" s="450">
        <f t="shared" si="36"/>
        <v>0</v>
      </c>
      <c r="Y61" s="969"/>
      <c r="Z61" s="969"/>
      <c r="AA61" s="969"/>
      <c r="AB61" s="970">
        <f t="shared" si="37"/>
        <v>0</v>
      </c>
      <c r="AC61" s="970">
        <f t="shared" si="38"/>
        <v>0</v>
      </c>
      <c r="AD61" s="451">
        <f t="shared" si="31"/>
        <v>0</v>
      </c>
    </row>
    <row r="62" spans="1:30" ht="80.099999999999994" hidden="1" customHeight="1" thickBot="1">
      <c r="A62" s="446">
        <f>'DADOS (F)'!A54</f>
        <v>0</v>
      </c>
      <c r="B62" s="447">
        <f>'DADOS (F)'!B54</f>
        <v>0</v>
      </c>
      <c r="C62" s="448">
        <f>'DADOS (F)'!F54</f>
        <v>0</v>
      </c>
      <c r="D62" s="448"/>
      <c r="E62" s="448"/>
      <c r="F62" s="449">
        <f>'DADOS (F)'!H54</f>
        <v>0</v>
      </c>
      <c r="G62" s="449"/>
      <c r="H62" s="449">
        <v>1</v>
      </c>
      <c r="I62" s="449">
        <f t="shared" si="33"/>
        <v>0</v>
      </c>
      <c r="J62" s="449">
        <f t="shared" si="29"/>
        <v>0</v>
      </c>
      <c r="K62" s="512">
        <f t="shared" si="6"/>
        <v>0</v>
      </c>
      <c r="L62" s="512">
        <f t="shared" si="7"/>
        <v>0</v>
      </c>
      <c r="M62" s="449">
        <f t="shared" si="32"/>
        <v>0</v>
      </c>
      <c r="N62" s="449">
        <f t="shared" si="8"/>
        <v>0</v>
      </c>
      <c r="O62" s="449">
        <f t="shared" si="34"/>
        <v>0</v>
      </c>
      <c r="P62" s="449">
        <f t="shared" si="24"/>
        <v>0</v>
      </c>
      <c r="Q62" s="449">
        <f t="shared" si="25"/>
        <v>0</v>
      </c>
      <c r="R62" s="449">
        <f t="shared" si="30"/>
        <v>0</v>
      </c>
      <c r="S62" s="449"/>
      <c r="T62" s="449">
        <f t="shared" si="26"/>
        <v>0</v>
      </c>
      <c r="U62" s="449">
        <f t="shared" si="27"/>
        <v>0</v>
      </c>
      <c r="V62" s="470">
        <v>3.5000000000000003E-2</v>
      </c>
      <c r="W62" s="449">
        <f t="shared" si="35"/>
        <v>0</v>
      </c>
      <c r="X62" s="450">
        <f t="shared" si="36"/>
        <v>0</v>
      </c>
      <c r="Y62" s="969"/>
      <c r="Z62" s="969"/>
      <c r="AA62" s="969"/>
      <c r="AB62" s="970">
        <f t="shared" si="37"/>
        <v>0</v>
      </c>
      <c r="AC62" s="970">
        <f t="shared" si="38"/>
        <v>0</v>
      </c>
      <c r="AD62" s="451">
        <f t="shared" si="31"/>
        <v>0</v>
      </c>
    </row>
    <row r="63" spans="1:30" ht="80.099999999999994" hidden="1" customHeight="1" thickBot="1">
      <c r="A63" s="446">
        <f>'DADOS (F)'!A55</f>
        <v>0</v>
      </c>
      <c r="B63" s="447">
        <f>'DADOS (F)'!B55</f>
        <v>0</v>
      </c>
      <c r="C63" s="448">
        <f>'DADOS (F)'!F55</f>
        <v>0</v>
      </c>
      <c r="D63" s="448"/>
      <c r="E63" s="448"/>
      <c r="F63" s="449">
        <f>'DADOS (F)'!H55</f>
        <v>0</v>
      </c>
      <c r="G63" s="449"/>
      <c r="H63" s="449">
        <v>1</v>
      </c>
      <c r="I63" s="449">
        <f t="shared" si="33"/>
        <v>0</v>
      </c>
      <c r="J63" s="449">
        <f t="shared" si="29"/>
        <v>0</v>
      </c>
      <c r="K63" s="512">
        <f t="shared" si="6"/>
        <v>0</v>
      </c>
      <c r="L63" s="512">
        <f t="shared" si="7"/>
        <v>0</v>
      </c>
      <c r="M63" s="449">
        <f t="shared" si="32"/>
        <v>0</v>
      </c>
      <c r="N63" s="449">
        <f t="shared" si="8"/>
        <v>0</v>
      </c>
      <c r="O63" s="449">
        <f t="shared" si="34"/>
        <v>0</v>
      </c>
      <c r="P63" s="449">
        <f t="shared" si="24"/>
        <v>0</v>
      </c>
      <c r="Q63" s="449">
        <f t="shared" si="25"/>
        <v>0</v>
      </c>
      <c r="R63" s="449">
        <f t="shared" si="30"/>
        <v>0</v>
      </c>
      <c r="S63" s="449"/>
      <c r="T63" s="449">
        <f t="shared" si="26"/>
        <v>0</v>
      </c>
      <c r="U63" s="449">
        <f t="shared" si="27"/>
        <v>0</v>
      </c>
      <c r="V63" s="470">
        <v>3.5000000000000003E-2</v>
      </c>
      <c r="W63" s="449">
        <f t="shared" si="35"/>
        <v>0</v>
      </c>
      <c r="X63" s="450">
        <f t="shared" si="36"/>
        <v>0</v>
      </c>
      <c r="Y63" s="969"/>
      <c r="Z63" s="969"/>
      <c r="AA63" s="969"/>
      <c r="AB63" s="970">
        <f t="shared" si="37"/>
        <v>0</v>
      </c>
      <c r="AC63" s="970">
        <f t="shared" si="38"/>
        <v>0</v>
      </c>
      <c r="AD63" s="451">
        <f t="shared" si="31"/>
        <v>0</v>
      </c>
    </row>
    <row r="64" spans="1:30" ht="80.099999999999994" hidden="1" customHeight="1" thickBot="1">
      <c r="A64" s="446">
        <f>'DADOS (F)'!A56</f>
        <v>0</v>
      </c>
      <c r="B64" s="447">
        <f>'DADOS (F)'!B56</f>
        <v>0</v>
      </c>
      <c r="C64" s="448">
        <f>'DADOS (F)'!F56</f>
        <v>0</v>
      </c>
      <c r="D64" s="448"/>
      <c r="E64" s="448"/>
      <c r="F64" s="449">
        <f>'DADOS (F)'!H56</f>
        <v>0</v>
      </c>
      <c r="G64" s="449"/>
      <c r="H64" s="449">
        <v>1</v>
      </c>
      <c r="I64" s="449">
        <f t="shared" si="33"/>
        <v>0</v>
      </c>
      <c r="J64" s="449">
        <f t="shared" si="29"/>
        <v>0</v>
      </c>
      <c r="K64" s="512">
        <f t="shared" si="6"/>
        <v>0</v>
      </c>
      <c r="L64" s="512">
        <f t="shared" si="7"/>
        <v>0</v>
      </c>
      <c r="M64" s="449">
        <f t="shared" si="32"/>
        <v>0</v>
      </c>
      <c r="N64" s="449">
        <f t="shared" si="8"/>
        <v>0</v>
      </c>
      <c r="O64" s="449">
        <f t="shared" si="34"/>
        <v>0</v>
      </c>
      <c r="P64" s="449">
        <f t="shared" si="24"/>
        <v>0</v>
      </c>
      <c r="Q64" s="449">
        <f t="shared" si="25"/>
        <v>0</v>
      </c>
      <c r="R64" s="449">
        <f t="shared" si="30"/>
        <v>0</v>
      </c>
      <c r="S64" s="449"/>
      <c r="T64" s="449">
        <f t="shared" si="26"/>
        <v>0</v>
      </c>
      <c r="U64" s="449">
        <f t="shared" si="27"/>
        <v>0</v>
      </c>
      <c r="V64" s="470">
        <v>3.5000000000000003E-2</v>
      </c>
      <c r="W64" s="449">
        <f t="shared" si="35"/>
        <v>0</v>
      </c>
      <c r="X64" s="450">
        <f t="shared" si="36"/>
        <v>0</v>
      </c>
      <c r="Y64" s="969"/>
      <c r="Z64" s="969"/>
      <c r="AA64" s="969"/>
      <c r="AB64" s="970">
        <f t="shared" si="37"/>
        <v>0</v>
      </c>
      <c r="AC64" s="970">
        <f t="shared" si="38"/>
        <v>0</v>
      </c>
      <c r="AD64" s="451">
        <f t="shared" si="31"/>
        <v>0</v>
      </c>
    </row>
    <row r="65" spans="1:30" ht="80.099999999999994" hidden="1" customHeight="1" thickBot="1">
      <c r="A65" s="446">
        <f>'DADOS (F)'!A57</f>
        <v>0</v>
      </c>
      <c r="B65" s="447">
        <f>'DADOS (F)'!B57</f>
        <v>0</v>
      </c>
      <c r="C65" s="448">
        <f>'DADOS (F)'!F57</f>
        <v>0</v>
      </c>
      <c r="D65" s="448"/>
      <c r="E65" s="448"/>
      <c r="F65" s="449">
        <f>'DADOS (F)'!H57</f>
        <v>0</v>
      </c>
      <c r="G65" s="449"/>
      <c r="H65" s="449">
        <v>1</v>
      </c>
      <c r="I65" s="449">
        <f t="shared" si="33"/>
        <v>0</v>
      </c>
      <c r="J65" s="449">
        <f t="shared" si="29"/>
        <v>0</v>
      </c>
      <c r="K65" s="512">
        <f t="shared" si="6"/>
        <v>0</v>
      </c>
      <c r="L65" s="512">
        <f t="shared" si="7"/>
        <v>0</v>
      </c>
      <c r="M65" s="449">
        <f t="shared" si="32"/>
        <v>0</v>
      </c>
      <c r="N65" s="449">
        <f t="shared" si="8"/>
        <v>0</v>
      </c>
      <c r="O65" s="449">
        <f t="shared" si="34"/>
        <v>0</v>
      </c>
      <c r="P65" s="449">
        <f t="shared" si="24"/>
        <v>0</v>
      </c>
      <c r="Q65" s="449">
        <f t="shared" si="25"/>
        <v>0</v>
      </c>
      <c r="R65" s="449">
        <f t="shared" si="30"/>
        <v>0</v>
      </c>
      <c r="S65" s="449"/>
      <c r="T65" s="449">
        <f t="shared" si="26"/>
        <v>0</v>
      </c>
      <c r="U65" s="449">
        <f t="shared" si="27"/>
        <v>0</v>
      </c>
      <c r="V65" s="470">
        <v>3.5000000000000003E-2</v>
      </c>
      <c r="W65" s="449">
        <f t="shared" si="35"/>
        <v>0</v>
      </c>
      <c r="X65" s="450">
        <f t="shared" si="36"/>
        <v>0</v>
      </c>
      <c r="Y65" s="969"/>
      <c r="Z65" s="969"/>
      <c r="AA65" s="969"/>
      <c r="AB65" s="970">
        <f t="shared" si="37"/>
        <v>0</v>
      </c>
      <c r="AC65" s="970">
        <f t="shared" si="38"/>
        <v>0</v>
      </c>
      <c r="AD65" s="451">
        <f t="shared" si="31"/>
        <v>0</v>
      </c>
    </row>
    <row r="66" spans="1:30" ht="80.099999999999994" hidden="1" customHeight="1" thickBot="1">
      <c r="A66" s="446">
        <f>'DADOS (F)'!A58</f>
        <v>0</v>
      </c>
      <c r="B66" s="447">
        <f>'DADOS (F)'!B58</f>
        <v>0</v>
      </c>
      <c r="C66" s="448">
        <f>'DADOS (F)'!F58</f>
        <v>0</v>
      </c>
      <c r="D66" s="448"/>
      <c r="E66" s="448"/>
      <c r="F66" s="449">
        <f>'DADOS (F)'!H58</f>
        <v>0</v>
      </c>
      <c r="G66" s="449"/>
      <c r="H66" s="449">
        <v>1</v>
      </c>
      <c r="I66" s="449">
        <f t="shared" si="33"/>
        <v>0</v>
      </c>
      <c r="J66" s="449">
        <f t="shared" si="29"/>
        <v>0</v>
      </c>
      <c r="K66" s="512">
        <f t="shared" si="6"/>
        <v>0</v>
      </c>
      <c r="L66" s="512">
        <f t="shared" si="7"/>
        <v>0</v>
      </c>
      <c r="M66" s="449">
        <f t="shared" si="32"/>
        <v>0</v>
      </c>
      <c r="N66" s="449">
        <f t="shared" si="8"/>
        <v>0</v>
      </c>
      <c r="O66" s="449">
        <f t="shared" si="34"/>
        <v>0</v>
      </c>
      <c r="P66" s="449">
        <f t="shared" si="24"/>
        <v>0</v>
      </c>
      <c r="Q66" s="449">
        <f t="shared" si="25"/>
        <v>0</v>
      </c>
      <c r="R66" s="449">
        <f t="shared" si="30"/>
        <v>0</v>
      </c>
      <c r="S66" s="449"/>
      <c r="T66" s="449">
        <f t="shared" si="26"/>
        <v>0</v>
      </c>
      <c r="U66" s="449">
        <f t="shared" si="27"/>
        <v>0</v>
      </c>
      <c r="V66" s="470">
        <v>3.5000000000000003E-2</v>
      </c>
      <c r="W66" s="449">
        <f t="shared" si="35"/>
        <v>0</v>
      </c>
      <c r="X66" s="450">
        <f t="shared" si="36"/>
        <v>0</v>
      </c>
      <c r="Y66" s="969"/>
      <c r="Z66" s="969"/>
      <c r="AA66" s="969"/>
      <c r="AB66" s="970">
        <f t="shared" si="37"/>
        <v>0</v>
      </c>
      <c r="AC66" s="970">
        <f t="shared" si="38"/>
        <v>0</v>
      </c>
      <c r="AD66" s="451">
        <f t="shared" si="31"/>
        <v>0</v>
      </c>
    </row>
    <row r="67" spans="1:30" ht="80.099999999999994" hidden="1" customHeight="1" thickBot="1">
      <c r="A67" s="446">
        <f>'DADOS (F)'!A59</f>
        <v>0</v>
      </c>
      <c r="B67" s="447">
        <f>'DADOS (F)'!B59</f>
        <v>0</v>
      </c>
      <c r="C67" s="448">
        <f>'DADOS (F)'!F59</f>
        <v>0</v>
      </c>
      <c r="D67" s="448"/>
      <c r="E67" s="448"/>
      <c r="F67" s="449">
        <f>'DADOS (F)'!H59</f>
        <v>0</v>
      </c>
      <c r="G67" s="449"/>
      <c r="H67" s="449">
        <v>1</v>
      </c>
      <c r="I67" s="449">
        <f t="shared" si="33"/>
        <v>0</v>
      </c>
      <c r="J67" s="449">
        <f t="shared" si="29"/>
        <v>0</v>
      </c>
      <c r="K67" s="512">
        <f t="shared" si="6"/>
        <v>0</v>
      </c>
      <c r="L67" s="512">
        <f t="shared" si="7"/>
        <v>0</v>
      </c>
      <c r="M67" s="449">
        <f t="shared" si="32"/>
        <v>0</v>
      </c>
      <c r="N67" s="449">
        <f t="shared" si="8"/>
        <v>0</v>
      </c>
      <c r="O67" s="449">
        <f t="shared" si="34"/>
        <v>0</v>
      </c>
      <c r="P67" s="449">
        <f t="shared" si="24"/>
        <v>0</v>
      </c>
      <c r="Q67" s="449">
        <f t="shared" si="25"/>
        <v>0</v>
      </c>
      <c r="R67" s="449">
        <f t="shared" si="30"/>
        <v>0</v>
      </c>
      <c r="S67" s="449"/>
      <c r="T67" s="449">
        <f t="shared" si="26"/>
        <v>0</v>
      </c>
      <c r="U67" s="449">
        <f t="shared" si="27"/>
        <v>0</v>
      </c>
      <c r="V67" s="470">
        <v>3.5000000000000003E-2</v>
      </c>
      <c r="W67" s="449">
        <f t="shared" si="35"/>
        <v>0</v>
      </c>
      <c r="X67" s="450">
        <f t="shared" si="36"/>
        <v>0</v>
      </c>
      <c r="Y67" s="969"/>
      <c r="Z67" s="969"/>
      <c r="AA67" s="969"/>
      <c r="AB67" s="970">
        <f t="shared" si="37"/>
        <v>0</v>
      </c>
      <c r="AC67" s="970">
        <f t="shared" si="38"/>
        <v>0</v>
      </c>
      <c r="AD67" s="451">
        <f t="shared" si="31"/>
        <v>0</v>
      </c>
    </row>
    <row r="68" spans="1:30" ht="80.099999999999994" hidden="1" customHeight="1" thickBot="1">
      <c r="A68" s="446">
        <f>'DADOS (F)'!A60</f>
        <v>0</v>
      </c>
      <c r="B68" s="447">
        <f>'DADOS (F)'!B60</f>
        <v>0</v>
      </c>
      <c r="C68" s="448">
        <f>'DADOS (F)'!F60</f>
        <v>0</v>
      </c>
      <c r="D68" s="448"/>
      <c r="E68" s="448"/>
      <c r="F68" s="449">
        <f>'DADOS (F)'!H60</f>
        <v>0</v>
      </c>
      <c r="G68" s="449"/>
      <c r="H68" s="449">
        <v>1</v>
      </c>
      <c r="I68" s="449">
        <f t="shared" si="33"/>
        <v>0</v>
      </c>
      <c r="J68" s="449">
        <f t="shared" si="29"/>
        <v>0</v>
      </c>
      <c r="K68" s="512">
        <f t="shared" si="6"/>
        <v>0</v>
      </c>
      <c r="L68" s="512">
        <f t="shared" si="7"/>
        <v>0</v>
      </c>
      <c r="M68" s="449">
        <f t="shared" si="32"/>
        <v>0</v>
      </c>
      <c r="N68" s="449">
        <f t="shared" si="8"/>
        <v>0</v>
      </c>
      <c r="O68" s="449">
        <f t="shared" si="34"/>
        <v>0</v>
      </c>
      <c r="P68" s="449">
        <f t="shared" si="24"/>
        <v>0</v>
      </c>
      <c r="Q68" s="449">
        <f t="shared" si="25"/>
        <v>0</v>
      </c>
      <c r="R68" s="449">
        <f t="shared" si="30"/>
        <v>0</v>
      </c>
      <c r="S68" s="449"/>
      <c r="T68" s="449">
        <f t="shared" si="26"/>
        <v>0</v>
      </c>
      <c r="U68" s="449">
        <f t="shared" si="27"/>
        <v>0</v>
      </c>
      <c r="V68" s="470">
        <v>3.5000000000000003E-2</v>
      </c>
      <c r="W68" s="449">
        <f t="shared" si="35"/>
        <v>0</v>
      </c>
      <c r="X68" s="450">
        <f t="shared" si="36"/>
        <v>0</v>
      </c>
      <c r="Y68" s="969"/>
      <c r="Z68" s="969"/>
      <c r="AA68" s="969"/>
      <c r="AB68" s="970">
        <f t="shared" si="37"/>
        <v>0</v>
      </c>
      <c r="AC68" s="970">
        <f t="shared" si="38"/>
        <v>0</v>
      </c>
      <c r="AD68" s="451">
        <f t="shared" si="31"/>
        <v>0</v>
      </c>
    </row>
    <row r="69" spans="1:30" ht="80.099999999999994" hidden="1" customHeight="1" thickBot="1">
      <c r="A69" s="446">
        <f>'DADOS (F)'!A61</f>
        <v>0</v>
      </c>
      <c r="B69" s="447">
        <f>'DADOS (F)'!B61</f>
        <v>0</v>
      </c>
      <c r="C69" s="448">
        <f>'DADOS (F)'!F61</f>
        <v>0</v>
      </c>
      <c r="D69" s="448"/>
      <c r="E69" s="448"/>
      <c r="F69" s="449">
        <f>'DADOS (F)'!H61</f>
        <v>0</v>
      </c>
      <c r="G69" s="449"/>
      <c r="H69" s="449">
        <v>1</v>
      </c>
      <c r="I69" s="449">
        <f t="shared" si="33"/>
        <v>0</v>
      </c>
      <c r="J69" s="449">
        <f t="shared" si="29"/>
        <v>0</v>
      </c>
      <c r="K69" s="512">
        <f t="shared" si="6"/>
        <v>0</v>
      </c>
      <c r="L69" s="512">
        <f t="shared" si="7"/>
        <v>0</v>
      </c>
      <c r="M69" s="449">
        <f t="shared" si="32"/>
        <v>0</v>
      </c>
      <c r="N69" s="449">
        <f t="shared" si="8"/>
        <v>0</v>
      </c>
      <c r="O69" s="449">
        <f t="shared" si="34"/>
        <v>0</v>
      </c>
      <c r="P69" s="449">
        <f t="shared" si="24"/>
        <v>0</v>
      </c>
      <c r="Q69" s="449">
        <f t="shared" si="25"/>
        <v>0</v>
      </c>
      <c r="R69" s="449">
        <f t="shared" si="30"/>
        <v>0</v>
      </c>
      <c r="S69" s="449"/>
      <c r="T69" s="449">
        <f t="shared" si="26"/>
        <v>0</v>
      </c>
      <c r="U69" s="449">
        <f t="shared" si="27"/>
        <v>0</v>
      </c>
      <c r="V69" s="470">
        <v>3.5000000000000003E-2</v>
      </c>
      <c r="W69" s="449">
        <f t="shared" si="35"/>
        <v>0</v>
      </c>
      <c r="X69" s="450">
        <f t="shared" si="36"/>
        <v>0</v>
      </c>
      <c r="Y69" s="969"/>
      <c r="Z69" s="969"/>
      <c r="AA69" s="969"/>
      <c r="AB69" s="970">
        <f t="shared" si="37"/>
        <v>0</v>
      </c>
      <c r="AC69" s="970">
        <f t="shared" si="38"/>
        <v>0</v>
      </c>
      <c r="AD69" s="451">
        <f t="shared" si="31"/>
        <v>0</v>
      </c>
    </row>
    <row r="70" spans="1:30" ht="80.099999999999994" hidden="1" customHeight="1" thickBot="1">
      <c r="A70" s="446">
        <f>'DADOS (F)'!A62</f>
        <v>0</v>
      </c>
      <c r="B70" s="447">
        <f>'DADOS (F)'!B62</f>
        <v>0</v>
      </c>
      <c r="C70" s="448">
        <f>'DADOS (F)'!F62</f>
        <v>0</v>
      </c>
      <c r="D70" s="448"/>
      <c r="E70" s="448"/>
      <c r="F70" s="449">
        <f>'DADOS (F)'!H62</f>
        <v>0</v>
      </c>
      <c r="G70" s="449"/>
      <c r="H70" s="449">
        <v>1</v>
      </c>
      <c r="I70" s="449">
        <f t="shared" si="33"/>
        <v>0</v>
      </c>
      <c r="J70" s="449">
        <f t="shared" si="29"/>
        <v>0</v>
      </c>
      <c r="K70" s="512">
        <f t="shared" si="6"/>
        <v>0</v>
      </c>
      <c r="L70" s="512">
        <f t="shared" si="7"/>
        <v>0</v>
      </c>
      <c r="M70" s="449">
        <f t="shared" si="32"/>
        <v>0</v>
      </c>
      <c r="N70" s="449">
        <f t="shared" si="8"/>
        <v>0</v>
      </c>
      <c r="O70" s="449">
        <f t="shared" si="34"/>
        <v>0</v>
      </c>
      <c r="P70" s="449">
        <f t="shared" si="24"/>
        <v>0</v>
      </c>
      <c r="Q70" s="449">
        <f t="shared" si="25"/>
        <v>0</v>
      </c>
      <c r="R70" s="449">
        <f t="shared" si="30"/>
        <v>0</v>
      </c>
      <c r="S70" s="449"/>
      <c r="T70" s="449">
        <f t="shared" si="26"/>
        <v>0</v>
      </c>
      <c r="U70" s="449">
        <f t="shared" si="27"/>
        <v>0</v>
      </c>
      <c r="V70" s="470">
        <v>3.5000000000000003E-2</v>
      </c>
      <c r="W70" s="449">
        <f t="shared" si="35"/>
        <v>0</v>
      </c>
      <c r="X70" s="450">
        <f t="shared" si="36"/>
        <v>0</v>
      </c>
      <c r="Y70" s="969"/>
      <c r="Z70" s="969"/>
      <c r="AA70" s="969"/>
      <c r="AB70" s="970">
        <f t="shared" si="37"/>
        <v>0</v>
      </c>
      <c r="AC70" s="970">
        <f t="shared" si="38"/>
        <v>0</v>
      </c>
      <c r="AD70" s="451">
        <f t="shared" si="31"/>
        <v>0</v>
      </c>
    </row>
    <row r="71" spans="1:30" ht="80.099999999999994" hidden="1" customHeight="1" thickBot="1">
      <c r="A71" s="446">
        <f>'DADOS (F)'!A63</f>
        <v>0</v>
      </c>
      <c r="B71" s="447">
        <f>'DADOS (F)'!B63</f>
        <v>0</v>
      </c>
      <c r="C71" s="448">
        <f>'DADOS (F)'!F63</f>
        <v>0</v>
      </c>
      <c r="D71" s="448"/>
      <c r="E71" s="448"/>
      <c r="F71" s="449">
        <f>'DADOS (F)'!H63</f>
        <v>0</v>
      </c>
      <c r="G71" s="449"/>
      <c r="H71" s="449">
        <v>1</v>
      </c>
      <c r="I71" s="449">
        <f t="shared" si="33"/>
        <v>0</v>
      </c>
      <c r="J71" s="449">
        <f t="shared" si="29"/>
        <v>0</v>
      </c>
      <c r="K71" s="512">
        <f t="shared" si="6"/>
        <v>0</v>
      </c>
      <c r="L71" s="512">
        <f t="shared" si="7"/>
        <v>0</v>
      </c>
      <c r="M71" s="449">
        <f t="shared" si="32"/>
        <v>0</v>
      </c>
      <c r="N71" s="449">
        <f t="shared" si="8"/>
        <v>0</v>
      </c>
      <c r="O71" s="449">
        <f t="shared" si="34"/>
        <v>0</v>
      </c>
      <c r="P71" s="449">
        <f t="shared" si="24"/>
        <v>0</v>
      </c>
      <c r="Q71" s="449">
        <f t="shared" si="25"/>
        <v>0</v>
      </c>
      <c r="R71" s="449">
        <f t="shared" si="30"/>
        <v>0</v>
      </c>
      <c r="S71" s="449"/>
      <c r="T71" s="449">
        <f t="shared" si="26"/>
        <v>0</v>
      </c>
      <c r="U71" s="449">
        <f t="shared" si="27"/>
        <v>0</v>
      </c>
      <c r="V71" s="470">
        <v>3.5000000000000003E-2</v>
      </c>
      <c r="W71" s="449">
        <f t="shared" si="35"/>
        <v>0</v>
      </c>
      <c r="X71" s="450">
        <f t="shared" si="36"/>
        <v>0</v>
      </c>
      <c r="Y71" s="969"/>
      <c r="Z71" s="969"/>
      <c r="AA71" s="969"/>
      <c r="AB71" s="970">
        <f t="shared" si="37"/>
        <v>0</v>
      </c>
      <c r="AC71" s="970">
        <f t="shared" si="38"/>
        <v>0</v>
      </c>
      <c r="AD71" s="451">
        <f t="shared" si="31"/>
        <v>0</v>
      </c>
    </row>
    <row r="72" spans="1:30" ht="80.099999999999994" hidden="1" customHeight="1" thickBot="1">
      <c r="A72" s="446">
        <f>'DADOS (F)'!A64</f>
        <v>0</v>
      </c>
      <c r="B72" s="447">
        <f>'DADOS (F)'!B64</f>
        <v>0</v>
      </c>
      <c r="C72" s="448">
        <f>'DADOS (F)'!F64</f>
        <v>0</v>
      </c>
      <c r="D72" s="448"/>
      <c r="E72" s="448"/>
      <c r="F72" s="449">
        <f>'DADOS (F)'!H64</f>
        <v>0</v>
      </c>
      <c r="G72" s="449"/>
      <c r="H72" s="449">
        <v>1</v>
      </c>
      <c r="I72" s="449">
        <f t="shared" si="33"/>
        <v>0</v>
      </c>
      <c r="J72" s="449">
        <f t="shared" si="29"/>
        <v>0</v>
      </c>
      <c r="K72" s="512">
        <f t="shared" si="6"/>
        <v>0</v>
      </c>
      <c r="L72" s="512">
        <f t="shared" si="7"/>
        <v>0</v>
      </c>
      <c r="M72" s="449">
        <f t="shared" si="32"/>
        <v>0</v>
      </c>
      <c r="N72" s="449">
        <f t="shared" si="8"/>
        <v>0</v>
      </c>
      <c r="O72" s="449">
        <f t="shared" si="34"/>
        <v>0</v>
      </c>
      <c r="P72" s="449">
        <f t="shared" si="24"/>
        <v>0</v>
      </c>
      <c r="Q72" s="449">
        <f t="shared" si="25"/>
        <v>0</v>
      </c>
      <c r="R72" s="449">
        <f t="shared" si="30"/>
        <v>0</v>
      </c>
      <c r="S72" s="449"/>
      <c r="T72" s="449">
        <f t="shared" si="26"/>
        <v>0</v>
      </c>
      <c r="U72" s="449">
        <f t="shared" si="27"/>
        <v>0</v>
      </c>
      <c r="V72" s="470">
        <v>3.5000000000000003E-2</v>
      </c>
      <c r="W72" s="449">
        <f t="shared" si="35"/>
        <v>0</v>
      </c>
      <c r="X72" s="450">
        <f t="shared" si="36"/>
        <v>0</v>
      </c>
      <c r="Y72" s="969"/>
      <c r="Z72" s="969"/>
      <c r="AA72" s="969"/>
      <c r="AB72" s="970">
        <f t="shared" si="37"/>
        <v>0</v>
      </c>
      <c r="AC72" s="970">
        <f t="shared" si="38"/>
        <v>0</v>
      </c>
      <c r="AD72" s="451">
        <f t="shared" si="31"/>
        <v>0</v>
      </c>
    </row>
    <row r="73" spans="1:30" ht="80.099999999999994" hidden="1" customHeight="1" thickBot="1">
      <c r="A73" s="446">
        <f>'DADOS (F)'!A65</f>
        <v>0</v>
      </c>
      <c r="B73" s="447">
        <f>'DADOS (F)'!B65</f>
        <v>0</v>
      </c>
      <c r="C73" s="448">
        <f>'DADOS (F)'!F65</f>
        <v>0</v>
      </c>
      <c r="D73" s="448"/>
      <c r="E73" s="448"/>
      <c r="F73" s="449">
        <f>'DADOS (F)'!H65</f>
        <v>0</v>
      </c>
      <c r="G73" s="449"/>
      <c r="H73" s="449">
        <v>1</v>
      </c>
      <c r="I73" s="449">
        <f t="shared" si="33"/>
        <v>0</v>
      </c>
      <c r="J73" s="449">
        <f t="shared" si="29"/>
        <v>0</v>
      </c>
      <c r="K73" s="512">
        <f t="shared" si="6"/>
        <v>0</v>
      </c>
      <c r="L73" s="512">
        <f t="shared" si="7"/>
        <v>0</v>
      </c>
      <c r="M73" s="449">
        <f t="shared" si="32"/>
        <v>0</v>
      </c>
      <c r="N73" s="449">
        <f t="shared" si="8"/>
        <v>0</v>
      </c>
      <c r="O73" s="449">
        <f t="shared" si="34"/>
        <v>0</v>
      </c>
      <c r="P73" s="449">
        <f t="shared" si="24"/>
        <v>0</v>
      </c>
      <c r="Q73" s="449">
        <f t="shared" si="25"/>
        <v>0</v>
      </c>
      <c r="R73" s="449">
        <f t="shared" si="30"/>
        <v>0</v>
      </c>
      <c r="S73" s="449"/>
      <c r="T73" s="449">
        <f t="shared" si="26"/>
        <v>0</v>
      </c>
      <c r="U73" s="449">
        <f t="shared" si="27"/>
        <v>0</v>
      </c>
      <c r="V73" s="470">
        <v>3.5000000000000003E-2</v>
      </c>
      <c r="W73" s="449">
        <f t="shared" si="35"/>
        <v>0</v>
      </c>
      <c r="X73" s="450">
        <f t="shared" si="36"/>
        <v>0</v>
      </c>
      <c r="Y73" s="969"/>
      <c r="Z73" s="969"/>
      <c r="AA73" s="969"/>
      <c r="AB73" s="970">
        <f t="shared" si="37"/>
        <v>0</v>
      </c>
      <c r="AC73" s="970">
        <f t="shared" si="38"/>
        <v>0</v>
      </c>
      <c r="AD73" s="451">
        <f t="shared" si="31"/>
        <v>0</v>
      </c>
    </row>
    <row r="74" spans="1:30" ht="80.099999999999994" hidden="1" customHeight="1" thickBot="1">
      <c r="A74" s="446">
        <f>'DADOS (F)'!A66</f>
        <v>0</v>
      </c>
      <c r="B74" s="447">
        <f>'DADOS (F)'!B66</f>
        <v>0</v>
      </c>
      <c r="C74" s="448">
        <f>'DADOS (F)'!F66</f>
        <v>0</v>
      </c>
      <c r="D74" s="448"/>
      <c r="E74" s="448"/>
      <c r="F74" s="449">
        <f>'DADOS (F)'!H66</f>
        <v>0</v>
      </c>
      <c r="G74" s="449"/>
      <c r="H74" s="449">
        <v>1</v>
      </c>
      <c r="I74" s="449">
        <f t="shared" si="33"/>
        <v>0</v>
      </c>
      <c r="J74" s="449">
        <f t="shared" si="29"/>
        <v>0</v>
      </c>
      <c r="K74" s="512">
        <f t="shared" si="6"/>
        <v>0</v>
      </c>
      <c r="L74" s="512">
        <f t="shared" si="7"/>
        <v>0</v>
      </c>
      <c r="M74" s="449">
        <f t="shared" si="32"/>
        <v>0</v>
      </c>
      <c r="N74" s="449">
        <f t="shared" si="8"/>
        <v>0</v>
      </c>
      <c r="O74" s="449">
        <f t="shared" si="34"/>
        <v>0</v>
      </c>
      <c r="P74" s="449">
        <f t="shared" si="24"/>
        <v>0</v>
      </c>
      <c r="Q74" s="449">
        <f t="shared" si="25"/>
        <v>0</v>
      </c>
      <c r="R74" s="449">
        <f t="shared" si="30"/>
        <v>0</v>
      </c>
      <c r="S74" s="449"/>
      <c r="T74" s="449">
        <f t="shared" si="26"/>
        <v>0</v>
      </c>
      <c r="U74" s="449">
        <f t="shared" si="27"/>
        <v>0</v>
      </c>
      <c r="V74" s="470">
        <v>3.5000000000000003E-2</v>
      </c>
      <c r="W74" s="449">
        <f t="shared" si="35"/>
        <v>0</v>
      </c>
      <c r="X74" s="450">
        <f t="shared" si="36"/>
        <v>0</v>
      </c>
      <c r="Y74" s="969"/>
      <c r="Z74" s="969"/>
      <c r="AA74" s="969"/>
      <c r="AB74" s="970">
        <f t="shared" si="37"/>
        <v>0</v>
      </c>
      <c r="AC74" s="970">
        <f t="shared" si="38"/>
        <v>0</v>
      </c>
      <c r="AD74" s="451">
        <f t="shared" si="31"/>
        <v>0</v>
      </c>
    </row>
    <row r="75" spans="1:30" ht="80.099999999999994" hidden="1" customHeight="1" thickBot="1">
      <c r="A75" s="446">
        <f>'DADOS (F)'!A67</f>
        <v>0</v>
      </c>
      <c r="B75" s="447">
        <f>'DADOS (F)'!B67</f>
        <v>0</v>
      </c>
      <c r="C75" s="448">
        <f>'DADOS (F)'!F67</f>
        <v>0</v>
      </c>
      <c r="D75" s="448"/>
      <c r="E75" s="448"/>
      <c r="F75" s="449">
        <f>'DADOS (F)'!H67</f>
        <v>0</v>
      </c>
      <c r="G75" s="449"/>
      <c r="H75" s="449">
        <v>1</v>
      </c>
      <c r="I75" s="449">
        <f t="shared" si="33"/>
        <v>0</v>
      </c>
      <c r="J75" s="449">
        <f t="shared" si="29"/>
        <v>0</v>
      </c>
      <c r="K75" s="512">
        <f t="shared" si="6"/>
        <v>0</v>
      </c>
      <c r="L75" s="512">
        <f t="shared" si="7"/>
        <v>0</v>
      </c>
      <c r="M75" s="449">
        <f t="shared" si="32"/>
        <v>0</v>
      </c>
      <c r="N75" s="449">
        <f t="shared" si="8"/>
        <v>0</v>
      </c>
      <c r="O75" s="449">
        <f t="shared" si="34"/>
        <v>0</v>
      </c>
      <c r="P75" s="449">
        <f t="shared" si="24"/>
        <v>0</v>
      </c>
      <c r="Q75" s="449">
        <f t="shared" si="25"/>
        <v>0</v>
      </c>
      <c r="R75" s="449">
        <f t="shared" si="30"/>
        <v>0</v>
      </c>
      <c r="S75" s="449"/>
      <c r="T75" s="449">
        <f t="shared" si="26"/>
        <v>0</v>
      </c>
      <c r="U75" s="449">
        <f t="shared" si="27"/>
        <v>0</v>
      </c>
      <c r="V75" s="470">
        <v>3.5000000000000003E-2</v>
      </c>
      <c r="W75" s="449">
        <f t="shared" si="35"/>
        <v>0</v>
      </c>
      <c r="X75" s="450">
        <f t="shared" si="36"/>
        <v>0</v>
      </c>
      <c r="Y75" s="969"/>
      <c r="Z75" s="969"/>
      <c r="AA75" s="969"/>
      <c r="AB75" s="970">
        <f t="shared" si="37"/>
        <v>0</v>
      </c>
      <c r="AC75" s="970">
        <f t="shared" si="38"/>
        <v>0</v>
      </c>
      <c r="AD75" s="451">
        <f t="shared" si="31"/>
        <v>0</v>
      </c>
    </row>
    <row r="76" spans="1:30" ht="80.099999999999994" hidden="1" customHeight="1" thickBot="1">
      <c r="A76" s="446">
        <f>'DADOS (F)'!A68</f>
        <v>0</v>
      </c>
      <c r="B76" s="447">
        <f>'DADOS (F)'!B68</f>
        <v>0</v>
      </c>
      <c r="C76" s="448">
        <f>'DADOS (F)'!F68</f>
        <v>0</v>
      </c>
      <c r="D76" s="448"/>
      <c r="E76" s="448"/>
      <c r="F76" s="449">
        <f>'DADOS (F)'!H68</f>
        <v>0</v>
      </c>
      <c r="G76" s="449"/>
      <c r="H76" s="449">
        <v>1</v>
      </c>
      <c r="I76" s="449">
        <f t="shared" si="33"/>
        <v>0</v>
      </c>
      <c r="J76" s="449">
        <f t="shared" si="29"/>
        <v>0</v>
      </c>
      <c r="K76" s="512">
        <f t="shared" si="6"/>
        <v>0</v>
      </c>
      <c r="L76" s="512">
        <f t="shared" si="7"/>
        <v>0</v>
      </c>
      <c r="M76" s="449">
        <f t="shared" si="32"/>
        <v>0</v>
      </c>
      <c r="N76" s="449">
        <f t="shared" si="8"/>
        <v>0</v>
      </c>
      <c r="O76" s="449">
        <f t="shared" si="34"/>
        <v>0</v>
      </c>
      <c r="P76" s="449">
        <f t="shared" si="24"/>
        <v>0</v>
      </c>
      <c r="Q76" s="449">
        <f t="shared" si="25"/>
        <v>0</v>
      </c>
      <c r="R76" s="449">
        <f t="shared" si="30"/>
        <v>0</v>
      </c>
      <c r="S76" s="449"/>
      <c r="T76" s="449">
        <f t="shared" si="26"/>
        <v>0</v>
      </c>
      <c r="U76" s="449">
        <f t="shared" si="27"/>
        <v>0</v>
      </c>
      <c r="V76" s="470">
        <v>3.5000000000000003E-2</v>
      </c>
      <c r="W76" s="449">
        <f t="shared" si="35"/>
        <v>0</v>
      </c>
      <c r="X76" s="450">
        <f t="shared" si="36"/>
        <v>0</v>
      </c>
      <c r="Y76" s="969"/>
      <c r="Z76" s="969"/>
      <c r="AA76" s="969"/>
      <c r="AB76" s="970">
        <f t="shared" si="37"/>
        <v>0</v>
      </c>
      <c r="AC76" s="970">
        <f t="shared" si="38"/>
        <v>0</v>
      </c>
      <c r="AD76" s="451">
        <f t="shared" si="31"/>
        <v>0</v>
      </c>
    </row>
    <row r="77" spans="1:30" ht="80.099999999999994" hidden="1" customHeight="1" thickBot="1">
      <c r="A77" s="446">
        <f>'DADOS (F)'!A69</f>
        <v>0</v>
      </c>
      <c r="B77" s="447">
        <f>'DADOS (F)'!B69</f>
        <v>0</v>
      </c>
      <c r="C77" s="448">
        <f>'DADOS (F)'!F69</f>
        <v>0</v>
      </c>
      <c r="D77" s="448"/>
      <c r="E77" s="448"/>
      <c r="F77" s="449">
        <f>'DADOS (F)'!H69</f>
        <v>0</v>
      </c>
      <c r="G77" s="449"/>
      <c r="H77" s="449">
        <v>1</v>
      </c>
      <c r="I77" s="449">
        <f t="shared" si="33"/>
        <v>0</v>
      </c>
      <c r="J77" s="449">
        <f t="shared" si="29"/>
        <v>0</v>
      </c>
      <c r="K77" s="512">
        <f t="shared" si="6"/>
        <v>0</v>
      </c>
      <c r="L77" s="512">
        <f t="shared" si="7"/>
        <v>0</v>
      </c>
      <c r="M77" s="449">
        <f t="shared" si="32"/>
        <v>0</v>
      </c>
      <c r="N77" s="449">
        <f t="shared" si="8"/>
        <v>0</v>
      </c>
      <c r="O77" s="449">
        <f t="shared" si="34"/>
        <v>0</v>
      </c>
      <c r="P77" s="449">
        <f t="shared" si="24"/>
        <v>0</v>
      </c>
      <c r="Q77" s="449">
        <f t="shared" si="25"/>
        <v>0</v>
      </c>
      <c r="R77" s="449">
        <f t="shared" si="30"/>
        <v>0</v>
      </c>
      <c r="S77" s="449"/>
      <c r="T77" s="449">
        <f t="shared" si="26"/>
        <v>0</v>
      </c>
      <c r="U77" s="449">
        <f t="shared" si="27"/>
        <v>0</v>
      </c>
      <c r="V77" s="470">
        <v>3.5000000000000003E-2</v>
      </c>
      <c r="W77" s="449">
        <f t="shared" si="35"/>
        <v>0</v>
      </c>
      <c r="X77" s="450">
        <f t="shared" si="36"/>
        <v>0</v>
      </c>
      <c r="Y77" s="969"/>
      <c r="Z77" s="969"/>
      <c r="AA77" s="969"/>
      <c r="AB77" s="970">
        <f t="shared" si="37"/>
        <v>0</v>
      </c>
      <c r="AC77" s="970">
        <f t="shared" si="38"/>
        <v>0</v>
      </c>
      <c r="AD77" s="451">
        <f t="shared" si="31"/>
        <v>0</v>
      </c>
    </row>
    <row r="78" spans="1:30" ht="80.099999999999994" hidden="1" customHeight="1" thickBot="1">
      <c r="A78" s="446"/>
      <c r="B78" s="447"/>
      <c r="C78" s="448"/>
      <c r="D78" s="448"/>
      <c r="E78" s="448"/>
      <c r="F78" s="449"/>
      <c r="G78" s="449"/>
      <c r="H78" s="449"/>
      <c r="I78" s="449">
        <f t="shared" si="33"/>
        <v>0</v>
      </c>
      <c r="J78" s="449">
        <f t="shared" si="29"/>
        <v>0</v>
      </c>
      <c r="K78" s="512">
        <f t="shared" si="6"/>
        <v>0</v>
      </c>
      <c r="L78" s="512">
        <f t="shared" ref="L78:L125" si="39">J78*1.3*$L$17</f>
        <v>0</v>
      </c>
      <c r="M78" s="449">
        <f t="shared" si="32"/>
        <v>0</v>
      </c>
      <c r="N78" s="449">
        <f t="shared" si="8"/>
        <v>0</v>
      </c>
      <c r="O78" s="449">
        <f t="shared" si="34"/>
        <v>0</v>
      </c>
      <c r="P78" s="449">
        <f t="shared" si="24"/>
        <v>0</v>
      </c>
      <c r="Q78" s="449">
        <f t="shared" si="25"/>
        <v>0</v>
      </c>
      <c r="R78" s="449">
        <f t="shared" si="30"/>
        <v>0</v>
      </c>
      <c r="S78" s="449"/>
      <c r="T78" s="449">
        <f t="shared" si="26"/>
        <v>0</v>
      </c>
      <c r="U78" s="449">
        <f t="shared" si="27"/>
        <v>0</v>
      </c>
      <c r="V78" s="470">
        <v>3.5000000000000003E-2</v>
      </c>
      <c r="W78" s="449">
        <f t="shared" si="35"/>
        <v>0</v>
      </c>
      <c r="X78" s="450">
        <f t="shared" si="36"/>
        <v>0</v>
      </c>
      <c r="Y78" s="969"/>
      <c r="Z78" s="969"/>
      <c r="AA78" s="969"/>
      <c r="AB78" s="970">
        <f t="shared" si="37"/>
        <v>0</v>
      </c>
      <c r="AC78" s="970">
        <f t="shared" si="38"/>
        <v>0</v>
      </c>
      <c r="AD78" s="451">
        <f t="shared" si="31"/>
        <v>0</v>
      </c>
    </row>
    <row r="79" spans="1:30" ht="80.099999999999994" hidden="1" customHeight="1" thickBot="1">
      <c r="A79" s="446"/>
      <c r="B79" s="447"/>
      <c r="C79" s="448"/>
      <c r="D79" s="448"/>
      <c r="E79" s="448"/>
      <c r="F79" s="449"/>
      <c r="G79" s="449"/>
      <c r="H79" s="449"/>
      <c r="I79" s="449">
        <f t="shared" si="33"/>
        <v>0</v>
      </c>
      <c r="J79" s="449">
        <f t="shared" si="29"/>
        <v>0</v>
      </c>
      <c r="K79" s="512">
        <f t="shared" si="6"/>
        <v>0</v>
      </c>
      <c r="L79" s="512">
        <f t="shared" si="39"/>
        <v>0</v>
      </c>
      <c r="M79" s="449">
        <f t="shared" si="32"/>
        <v>0</v>
      </c>
      <c r="N79" s="449">
        <f t="shared" si="8"/>
        <v>0</v>
      </c>
      <c r="O79" s="449">
        <f t="shared" si="34"/>
        <v>0</v>
      </c>
      <c r="P79" s="449">
        <f t="shared" si="24"/>
        <v>0</v>
      </c>
      <c r="Q79" s="449">
        <f t="shared" si="25"/>
        <v>0</v>
      </c>
      <c r="R79" s="449">
        <f t="shared" si="30"/>
        <v>0</v>
      </c>
      <c r="S79" s="449"/>
      <c r="T79" s="449">
        <f t="shared" si="26"/>
        <v>0</v>
      </c>
      <c r="U79" s="449">
        <f t="shared" si="27"/>
        <v>0</v>
      </c>
      <c r="V79" s="470">
        <v>3.5000000000000003E-2</v>
      </c>
      <c r="W79" s="449">
        <f t="shared" si="35"/>
        <v>0</v>
      </c>
      <c r="X79" s="450">
        <f t="shared" si="36"/>
        <v>0</v>
      </c>
      <c r="Y79" s="969"/>
      <c r="Z79" s="969"/>
      <c r="AA79" s="969"/>
      <c r="AB79" s="970">
        <f t="shared" si="37"/>
        <v>0</v>
      </c>
      <c r="AC79" s="970">
        <f t="shared" si="38"/>
        <v>0</v>
      </c>
      <c r="AD79" s="451">
        <f t="shared" si="31"/>
        <v>0</v>
      </c>
    </row>
    <row r="80" spans="1:30" ht="80.099999999999994" hidden="1" customHeight="1" thickBot="1">
      <c r="A80" s="446"/>
      <c r="B80" s="447"/>
      <c r="C80" s="448"/>
      <c r="D80" s="448"/>
      <c r="E80" s="448"/>
      <c r="F80" s="449"/>
      <c r="G80" s="449"/>
      <c r="H80" s="449"/>
      <c r="I80" s="449">
        <f t="shared" si="33"/>
        <v>0</v>
      </c>
      <c r="J80" s="449">
        <f t="shared" si="29"/>
        <v>0</v>
      </c>
      <c r="K80" s="512">
        <f t="shared" si="6"/>
        <v>0</v>
      </c>
      <c r="L80" s="512">
        <f t="shared" si="39"/>
        <v>0</v>
      </c>
      <c r="M80" s="449">
        <f t="shared" si="32"/>
        <v>0</v>
      </c>
      <c r="N80" s="449">
        <f t="shared" si="8"/>
        <v>0</v>
      </c>
      <c r="O80" s="449">
        <f t="shared" si="34"/>
        <v>0</v>
      </c>
      <c r="P80" s="449">
        <f t="shared" si="24"/>
        <v>0</v>
      </c>
      <c r="Q80" s="449">
        <f t="shared" si="25"/>
        <v>0</v>
      </c>
      <c r="R80" s="449">
        <f t="shared" si="30"/>
        <v>0</v>
      </c>
      <c r="S80" s="449"/>
      <c r="T80" s="449">
        <f t="shared" si="26"/>
        <v>0</v>
      </c>
      <c r="U80" s="449">
        <f t="shared" si="27"/>
        <v>0</v>
      </c>
      <c r="V80" s="470">
        <v>3.5000000000000003E-2</v>
      </c>
      <c r="W80" s="449">
        <f t="shared" si="35"/>
        <v>0</v>
      </c>
      <c r="X80" s="450">
        <f t="shared" si="36"/>
        <v>0</v>
      </c>
      <c r="Y80" s="969"/>
      <c r="Z80" s="969"/>
      <c r="AA80" s="969"/>
      <c r="AB80" s="970">
        <f t="shared" si="37"/>
        <v>0</v>
      </c>
      <c r="AC80" s="970">
        <f t="shared" si="38"/>
        <v>0</v>
      </c>
      <c r="AD80" s="451">
        <f t="shared" si="31"/>
        <v>0</v>
      </c>
    </row>
    <row r="81" spans="1:30" ht="80.099999999999994" hidden="1" customHeight="1" thickBot="1">
      <c r="A81" s="446"/>
      <c r="B81" s="447"/>
      <c r="C81" s="448"/>
      <c r="D81" s="448"/>
      <c r="E81" s="448"/>
      <c r="F81" s="449"/>
      <c r="G81" s="449"/>
      <c r="H81" s="449"/>
      <c r="I81" s="449">
        <f t="shared" si="33"/>
        <v>0</v>
      </c>
      <c r="J81" s="449">
        <f t="shared" si="29"/>
        <v>0</v>
      </c>
      <c r="K81" s="512">
        <f t="shared" si="6"/>
        <v>0</v>
      </c>
      <c r="L81" s="512">
        <f t="shared" si="39"/>
        <v>0</v>
      </c>
      <c r="M81" s="449">
        <f t="shared" si="32"/>
        <v>0</v>
      </c>
      <c r="N81" s="449">
        <f t="shared" si="8"/>
        <v>0</v>
      </c>
      <c r="O81" s="449">
        <f t="shared" si="34"/>
        <v>0</v>
      </c>
      <c r="P81" s="449">
        <f t="shared" si="24"/>
        <v>0</v>
      </c>
      <c r="Q81" s="449">
        <f t="shared" si="25"/>
        <v>0</v>
      </c>
      <c r="R81" s="449">
        <f t="shared" si="30"/>
        <v>0</v>
      </c>
      <c r="S81" s="449"/>
      <c r="T81" s="449">
        <f t="shared" si="26"/>
        <v>0</v>
      </c>
      <c r="U81" s="449">
        <f t="shared" si="27"/>
        <v>0</v>
      </c>
      <c r="V81" s="470">
        <v>3.5000000000000003E-2</v>
      </c>
      <c r="W81" s="449">
        <f t="shared" si="35"/>
        <v>0</v>
      </c>
      <c r="X81" s="450">
        <f t="shared" si="36"/>
        <v>0</v>
      </c>
      <c r="Y81" s="969"/>
      <c r="Z81" s="969"/>
      <c r="AA81" s="969"/>
      <c r="AB81" s="970">
        <f t="shared" si="37"/>
        <v>0</v>
      </c>
      <c r="AC81" s="970">
        <f t="shared" si="38"/>
        <v>0</v>
      </c>
      <c r="AD81" s="451">
        <f t="shared" si="31"/>
        <v>0</v>
      </c>
    </row>
    <row r="82" spans="1:30" ht="80.099999999999994" hidden="1" customHeight="1" thickBot="1">
      <c r="A82" s="446"/>
      <c r="B82" s="447"/>
      <c r="C82" s="448"/>
      <c r="D82" s="448"/>
      <c r="E82" s="448"/>
      <c r="F82" s="449"/>
      <c r="G82" s="449"/>
      <c r="H82" s="449"/>
      <c r="I82" s="449">
        <f t="shared" si="33"/>
        <v>0</v>
      </c>
      <c r="J82" s="449">
        <f t="shared" si="29"/>
        <v>0</v>
      </c>
      <c r="K82" s="512">
        <f t="shared" si="6"/>
        <v>0</v>
      </c>
      <c r="L82" s="512">
        <f t="shared" si="39"/>
        <v>0</v>
      </c>
      <c r="M82" s="449">
        <f t="shared" si="32"/>
        <v>0</v>
      </c>
      <c r="N82" s="449">
        <f t="shared" si="8"/>
        <v>0</v>
      </c>
      <c r="O82" s="449">
        <f t="shared" si="34"/>
        <v>0</v>
      </c>
      <c r="P82" s="449">
        <f t="shared" ref="P82:P113" si="40">C82*2</f>
        <v>0</v>
      </c>
      <c r="Q82" s="449">
        <f t="shared" ref="Q82:Q113" si="41">C82*2</f>
        <v>0</v>
      </c>
      <c r="R82" s="449">
        <f t="shared" si="30"/>
        <v>0</v>
      </c>
      <c r="S82" s="449"/>
      <c r="T82" s="449">
        <f t="shared" ref="T82:T113" si="42">C82*(F82-0.43*2)</f>
        <v>0</v>
      </c>
      <c r="U82" s="449">
        <f t="shared" ref="U82:U113" si="43">C82*(F82-0.43*2)</f>
        <v>0</v>
      </c>
      <c r="V82" s="470">
        <v>3.5000000000000003E-2</v>
      </c>
      <c r="W82" s="449">
        <f t="shared" si="35"/>
        <v>0</v>
      </c>
      <c r="X82" s="450">
        <f t="shared" si="36"/>
        <v>0</v>
      </c>
      <c r="Y82" s="969"/>
      <c r="Z82" s="969"/>
      <c r="AA82" s="969"/>
      <c r="AB82" s="970">
        <f t="shared" si="37"/>
        <v>0</v>
      </c>
      <c r="AC82" s="970">
        <f t="shared" si="38"/>
        <v>0</v>
      </c>
      <c r="AD82" s="451">
        <f t="shared" si="31"/>
        <v>0</v>
      </c>
    </row>
    <row r="83" spans="1:30" ht="80.099999999999994" hidden="1" customHeight="1" thickBot="1">
      <c r="A83" s="446"/>
      <c r="B83" s="447"/>
      <c r="C83" s="448"/>
      <c r="D83" s="448"/>
      <c r="E83" s="448"/>
      <c r="F83" s="449"/>
      <c r="G83" s="449"/>
      <c r="H83" s="449"/>
      <c r="I83" s="449">
        <f t="shared" si="33"/>
        <v>0</v>
      </c>
      <c r="J83" s="449">
        <f t="shared" si="29"/>
        <v>0</v>
      </c>
      <c r="K83" s="512">
        <f t="shared" si="6"/>
        <v>0</v>
      </c>
      <c r="L83" s="512">
        <f t="shared" si="39"/>
        <v>0</v>
      </c>
      <c r="M83" s="449">
        <f t="shared" si="32"/>
        <v>0</v>
      </c>
      <c r="N83" s="449">
        <f t="shared" si="8"/>
        <v>0</v>
      </c>
      <c r="O83" s="449">
        <f t="shared" si="34"/>
        <v>0</v>
      </c>
      <c r="P83" s="449">
        <f t="shared" si="40"/>
        <v>0</v>
      </c>
      <c r="Q83" s="449">
        <f t="shared" si="41"/>
        <v>0</v>
      </c>
      <c r="R83" s="449">
        <f t="shared" si="30"/>
        <v>0</v>
      </c>
      <c r="S83" s="449"/>
      <c r="T83" s="449">
        <f t="shared" si="42"/>
        <v>0</v>
      </c>
      <c r="U83" s="449">
        <f t="shared" si="43"/>
        <v>0</v>
      </c>
      <c r="V83" s="470">
        <v>3.5000000000000003E-2</v>
      </c>
      <c r="W83" s="449">
        <f t="shared" si="35"/>
        <v>0</v>
      </c>
      <c r="X83" s="450">
        <f t="shared" si="36"/>
        <v>0</v>
      </c>
      <c r="Y83" s="969"/>
      <c r="Z83" s="969"/>
      <c r="AA83" s="969"/>
      <c r="AB83" s="970">
        <f t="shared" si="37"/>
        <v>0</v>
      </c>
      <c r="AC83" s="970">
        <f t="shared" si="38"/>
        <v>0</v>
      </c>
      <c r="AD83" s="451">
        <f t="shared" si="31"/>
        <v>0</v>
      </c>
    </row>
    <row r="84" spans="1:30" ht="80.099999999999994" hidden="1" customHeight="1" thickBot="1">
      <c r="A84" s="446"/>
      <c r="B84" s="447"/>
      <c r="C84" s="448"/>
      <c r="D84" s="448"/>
      <c r="E84" s="448"/>
      <c r="F84" s="449"/>
      <c r="G84" s="449"/>
      <c r="H84" s="449"/>
      <c r="I84" s="449">
        <f t="shared" si="33"/>
        <v>0</v>
      </c>
      <c r="J84" s="449">
        <f t="shared" ref="J84:J115" si="44">I84*70%</f>
        <v>0</v>
      </c>
      <c r="K84" s="512">
        <f t="shared" si="6"/>
        <v>0</v>
      </c>
      <c r="L84" s="512">
        <f t="shared" si="39"/>
        <v>0</v>
      </c>
      <c r="M84" s="449">
        <f t="shared" si="32"/>
        <v>0</v>
      </c>
      <c r="N84" s="449">
        <f t="shared" si="8"/>
        <v>0</v>
      </c>
      <c r="O84" s="449">
        <f t="shared" si="34"/>
        <v>0</v>
      </c>
      <c r="P84" s="449">
        <f t="shared" si="40"/>
        <v>0</v>
      </c>
      <c r="Q84" s="449">
        <f t="shared" si="41"/>
        <v>0</v>
      </c>
      <c r="R84" s="449">
        <f t="shared" ref="R84:R115" si="45">I84+O84</f>
        <v>0</v>
      </c>
      <c r="S84" s="449"/>
      <c r="T84" s="449">
        <f t="shared" si="42"/>
        <v>0</v>
      </c>
      <c r="U84" s="449">
        <f t="shared" si="43"/>
        <v>0</v>
      </c>
      <c r="V84" s="470">
        <v>3.5000000000000003E-2</v>
      </c>
      <c r="W84" s="449">
        <f t="shared" si="35"/>
        <v>0</v>
      </c>
      <c r="X84" s="450">
        <f t="shared" si="36"/>
        <v>0</v>
      </c>
      <c r="Y84" s="969"/>
      <c r="Z84" s="969"/>
      <c r="AA84" s="969"/>
      <c r="AB84" s="970">
        <f t="shared" si="37"/>
        <v>0</v>
      </c>
      <c r="AC84" s="970">
        <f t="shared" si="38"/>
        <v>0</v>
      </c>
      <c r="AD84" s="451">
        <f t="shared" ref="AD84:AD115" si="46">C84*F84*15%</f>
        <v>0</v>
      </c>
    </row>
    <row r="85" spans="1:30" ht="80.099999999999994" hidden="1" customHeight="1" thickBot="1">
      <c r="A85" s="446"/>
      <c r="B85" s="447"/>
      <c r="C85" s="448"/>
      <c r="D85" s="448"/>
      <c r="E85" s="448"/>
      <c r="F85" s="449"/>
      <c r="G85" s="449"/>
      <c r="H85" s="449"/>
      <c r="I85" s="449">
        <f t="shared" si="33"/>
        <v>0</v>
      </c>
      <c r="J85" s="449">
        <f t="shared" si="44"/>
        <v>0</v>
      </c>
      <c r="K85" s="512">
        <f t="shared" si="6"/>
        <v>0</v>
      </c>
      <c r="L85" s="512">
        <f t="shared" si="39"/>
        <v>0</v>
      </c>
      <c r="M85" s="449">
        <f t="shared" si="32"/>
        <v>0</v>
      </c>
      <c r="N85" s="449">
        <f t="shared" ref="N85:N125" si="47">$N$17*D85</f>
        <v>0</v>
      </c>
      <c r="O85" s="449">
        <f t="shared" si="34"/>
        <v>0</v>
      </c>
      <c r="P85" s="449">
        <f t="shared" si="40"/>
        <v>0</v>
      </c>
      <c r="Q85" s="449">
        <f t="shared" si="41"/>
        <v>0</v>
      </c>
      <c r="R85" s="449">
        <f t="shared" si="45"/>
        <v>0</v>
      </c>
      <c r="S85" s="449"/>
      <c r="T85" s="449">
        <f t="shared" si="42"/>
        <v>0</v>
      </c>
      <c r="U85" s="449">
        <f t="shared" si="43"/>
        <v>0</v>
      </c>
      <c r="V85" s="470">
        <v>3.5000000000000003E-2</v>
      </c>
      <c r="W85" s="449">
        <f t="shared" si="35"/>
        <v>0</v>
      </c>
      <c r="X85" s="450">
        <f t="shared" si="36"/>
        <v>0</v>
      </c>
      <c r="Y85" s="969"/>
      <c r="Z85" s="969"/>
      <c r="AA85" s="969"/>
      <c r="AB85" s="970">
        <f t="shared" si="37"/>
        <v>0</v>
      </c>
      <c r="AC85" s="970">
        <f t="shared" si="38"/>
        <v>0</v>
      </c>
      <c r="AD85" s="451">
        <f t="shared" si="46"/>
        <v>0</v>
      </c>
    </row>
    <row r="86" spans="1:30" ht="80.099999999999994" hidden="1" customHeight="1" thickBot="1">
      <c r="A86" s="446"/>
      <c r="B86" s="447"/>
      <c r="C86" s="448"/>
      <c r="D86" s="448"/>
      <c r="E86" s="448"/>
      <c r="F86" s="449"/>
      <c r="G86" s="449"/>
      <c r="H86" s="449"/>
      <c r="I86" s="449">
        <f t="shared" si="33"/>
        <v>0</v>
      </c>
      <c r="J86" s="449">
        <f t="shared" si="44"/>
        <v>0</v>
      </c>
      <c r="K86" s="512">
        <f t="shared" si="6"/>
        <v>0</v>
      </c>
      <c r="L86" s="512">
        <f t="shared" si="39"/>
        <v>0</v>
      </c>
      <c r="M86" s="449">
        <f t="shared" si="32"/>
        <v>0</v>
      </c>
      <c r="N86" s="449">
        <f t="shared" si="47"/>
        <v>0</v>
      </c>
      <c r="O86" s="449">
        <f t="shared" si="34"/>
        <v>0</v>
      </c>
      <c r="P86" s="449">
        <f t="shared" si="40"/>
        <v>0</v>
      </c>
      <c r="Q86" s="449">
        <f t="shared" si="41"/>
        <v>0</v>
      </c>
      <c r="R86" s="449">
        <f t="shared" si="45"/>
        <v>0</v>
      </c>
      <c r="S86" s="449"/>
      <c r="T86" s="449">
        <f t="shared" si="42"/>
        <v>0</v>
      </c>
      <c r="U86" s="449">
        <f t="shared" si="43"/>
        <v>0</v>
      </c>
      <c r="V86" s="470">
        <v>3.5000000000000003E-2</v>
      </c>
      <c r="W86" s="449">
        <f t="shared" si="35"/>
        <v>0</v>
      </c>
      <c r="X86" s="450">
        <f t="shared" si="36"/>
        <v>0</v>
      </c>
      <c r="Y86" s="969"/>
      <c r="Z86" s="969"/>
      <c r="AA86" s="969"/>
      <c r="AB86" s="970">
        <f t="shared" si="37"/>
        <v>0</v>
      </c>
      <c r="AC86" s="970">
        <f t="shared" si="38"/>
        <v>0</v>
      </c>
      <c r="AD86" s="451">
        <f t="shared" si="46"/>
        <v>0</v>
      </c>
    </row>
    <row r="87" spans="1:30" ht="80.099999999999994" hidden="1" customHeight="1" thickBot="1">
      <c r="A87" s="446"/>
      <c r="B87" s="447"/>
      <c r="C87" s="448"/>
      <c r="D87" s="448"/>
      <c r="E87" s="448"/>
      <c r="F87" s="449"/>
      <c r="G87" s="449"/>
      <c r="H87" s="449"/>
      <c r="I87" s="449">
        <f t="shared" si="33"/>
        <v>0</v>
      </c>
      <c r="J87" s="449">
        <f t="shared" si="44"/>
        <v>0</v>
      </c>
      <c r="K87" s="512">
        <f t="shared" si="6"/>
        <v>0</v>
      </c>
      <c r="L87" s="512">
        <f t="shared" si="39"/>
        <v>0</v>
      </c>
      <c r="M87" s="449">
        <f t="shared" si="32"/>
        <v>0</v>
      </c>
      <c r="N87" s="449">
        <f t="shared" si="47"/>
        <v>0</v>
      </c>
      <c r="O87" s="449">
        <f t="shared" si="34"/>
        <v>0</v>
      </c>
      <c r="P87" s="449">
        <f t="shared" si="40"/>
        <v>0</v>
      </c>
      <c r="Q87" s="449">
        <f t="shared" si="41"/>
        <v>0</v>
      </c>
      <c r="R87" s="449">
        <f t="shared" si="45"/>
        <v>0</v>
      </c>
      <c r="S87" s="449"/>
      <c r="T87" s="449">
        <f t="shared" si="42"/>
        <v>0</v>
      </c>
      <c r="U87" s="449">
        <f t="shared" si="43"/>
        <v>0</v>
      </c>
      <c r="V87" s="470">
        <v>3.5000000000000003E-2</v>
      </c>
      <c r="W87" s="449">
        <f t="shared" si="35"/>
        <v>0</v>
      </c>
      <c r="X87" s="450">
        <f t="shared" si="36"/>
        <v>0</v>
      </c>
      <c r="Y87" s="969"/>
      <c r="Z87" s="969"/>
      <c r="AA87" s="969"/>
      <c r="AB87" s="970">
        <f t="shared" si="37"/>
        <v>0</v>
      </c>
      <c r="AC87" s="970">
        <f t="shared" si="38"/>
        <v>0</v>
      </c>
      <c r="AD87" s="451">
        <f t="shared" si="46"/>
        <v>0</v>
      </c>
    </row>
    <row r="88" spans="1:30" ht="80.099999999999994" hidden="1" customHeight="1" thickBot="1">
      <c r="A88" s="446"/>
      <c r="B88" s="447"/>
      <c r="C88" s="448"/>
      <c r="D88" s="448"/>
      <c r="E88" s="448"/>
      <c r="F88" s="449"/>
      <c r="G88" s="449"/>
      <c r="H88" s="449"/>
      <c r="I88" s="449">
        <f t="shared" si="33"/>
        <v>0</v>
      </c>
      <c r="J88" s="449">
        <f t="shared" si="44"/>
        <v>0</v>
      </c>
      <c r="K88" s="512">
        <f t="shared" ref="K88:K125" si="48">J88*1.3*$K$17</f>
        <v>0</v>
      </c>
      <c r="L88" s="512">
        <f t="shared" si="39"/>
        <v>0</v>
      </c>
      <c r="M88" s="449">
        <f t="shared" si="32"/>
        <v>0</v>
      </c>
      <c r="N88" s="449">
        <f t="shared" si="47"/>
        <v>0</v>
      </c>
      <c r="O88" s="449">
        <f t="shared" si="34"/>
        <v>0</v>
      </c>
      <c r="P88" s="449">
        <f t="shared" si="40"/>
        <v>0</v>
      </c>
      <c r="Q88" s="449">
        <f t="shared" si="41"/>
        <v>0</v>
      </c>
      <c r="R88" s="449">
        <f t="shared" si="45"/>
        <v>0</v>
      </c>
      <c r="S88" s="449"/>
      <c r="T88" s="449">
        <f t="shared" si="42"/>
        <v>0</v>
      </c>
      <c r="U88" s="449">
        <f t="shared" si="43"/>
        <v>0</v>
      </c>
      <c r="V88" s="470">
        <v>3.5000000000000003E-2</v>
      </c>
      <c r="W88" s="449">
        <f t="shared" si="35"/>
        <v>0</v>
      </c>
      <c r="X88" s="450">
        <f t="shared" si="36"/>
        <v>0</v>
      </c>
      <c r="Y88" s="969"/>
      <c r="Z88" s="969"/>
      <c r="AA88" s="969"/>
      <c r="AB88" s="970">
        <f t="shared" si="37"/>
        <v>0</v>
      </c>
      <c r="AC88" s="970">
        <f t="shared" si="38"/>
        <v>0</v>
      </c>
      <c r="AD88" s="451">
        <f t="shared" si="46"/>
        <v>0</v>
      </c>
    </row>
    <row r="89" spans="1:30" ht="80.099999999999994" hidden="1" customHeight="1" thickBot="1">
      <c r="A89" s="446"/>
      <c r="B89" s="447"/>
      <c r="C89" s="448"/>
      <c r="D89" s="448"/>
      <c r="E89" s="448"/>
      <c r="F89" s="449"/>
      <c r="G89" s="449"/>
      <c r="H89" s="449"/>
      <c r="I89" s="449">
        <f t="shared" si="33"/>
        <v>0</v>
      </c>
      <c r="J89" s="449">
        <f t="shared" si="44"/>
        <v>0</v>
      </c>
      <c r="K89" s="512">
        <f t="shared" si="48"/>
        <v>0</v>
      </c>
      <c r="L89" s="512">
        <f t="shared" si="39"/>
        <v>0</v>
      </c>
      <c r="M89" s="449">
        <f t="shared" ref="M89:M125" si="49">C89*H89*2*70%</f>
        <v>0</v>
      </c>
      <c r="N89" s="449">
        <f t="shared" si="47"/>
        <v>0</v>
      </c>
      <c r="O89" s="449">
        <f t="shared" si="34"/>
        <v>0</v>
      </c>
      <c r="P89" s="449">
        <f t="shared" si="40"/>
        <v>0</v>
      </c>
      <c r="Q89" s="449">
        <f t="shared" si="41"/>
        <v>0</v>
      </c>
      <c r="R89" s="449">
        <f t="shared" si="45"/>
        <v>0</v>
      </c>
      <c r="S89" s="449"/>
      <c r="T89" s="449">
        <f t="shared" si="42"/>
        <v>0</v>
      </c>
      <c r="U89" s="449">
        <f t="shared" si="43"/>
        <v>0</v>
      </c>
      <c r="V89" s="470">
        <v>3.5000000000000003E-2</v>
      </c>
      <c r="W89" s="449">
        <f t="shared" si="35"/>
        <v>0</v>
      </c>
      <c r="X89" s="450">
        <f t="shared" si="36"/>
        <v>0</v>
      </c>
      <c r="Y89" s="969"/>
      <c r="Z89" s="969"/>
      <c r="AA89" s="969"/>
      <c r="AB89" s="970">
        <f t="shared" si="37"/>
        <v>0</v>
      </c>
      <c r="AC89" s="970">
        <f t="shared" si="38"/>
        <v>0</v>
      </c>
      <c r="AD89" s="451">
        <f t="shared" si="46"/>
        <v>0</v>
      </c>
    </row>
    <row r="90" spans="1:30" ht="80.099999999999994" hidden="1" customHeight="1" thickBot="1">
      <c r="A90" s="446"/>
      <c r="B90" s="447"/>
      <c r="C90" s="448"/>
      <c r="D90" s="448"/>
      <c r="E90" s="448"/>
      <c r="F90" s="449"/>
      <c r="G90" s="449"/>
      <c r="H90" s="449"/>
      <c r="I90" s="449">
        <f t="shared" si="33"/>
        <v>0</v>
      </c>
      <c r="J90" s="449">
        <f t="shared" si="44"/>
        <v>0</v>
      </c>
      <c r="K90" s="512">
        <f t="shared" si="48"/>
        <v>0</v>
      </c>
      <c r="L90" s="512">
        <f t="shared" si="39"/>
        <v>0</v>
      </c>
      <c r="M90" s="449">
        <f t="shared" si="49"/>
        <v>0</v>
      </c>
      <c r="N90" s="449">
        <f t="shared" si="47"/>
        <v>0</v>
      </c>
      <c r="O90" s="449">
        <f t="shared" si="34"/>
        <v>0</v>
      </c>
      <c r="P90" s="449">
        <f t="shared" si="40"/>
        <v>0</v>
      </c>
      <c r="Q90" s="449">
        <f t="shared" si="41"/>
        <v>0</v>
      </c>
      <c r="R90" s="449">
        <f t="shared" si="45"/>
        <v>0</v>
      </c>
      <c r="S90" s="449"/>
      <c r="T90" s="449">
        <f t="shared" si="42"/>
        <v>0</v>
      </c>
      <c r="U90" s="449">
        <f t="shared" si="43"/>
        <v>0</v>
      </c>
      <c r="V90" s="470">
        <v>3.5000000000000003E-2</v>
      </c>
      <c r="W90" s="449">
        <f t="shared" si="35"/>
        <v>0</v>
      </c>
      <c r="X90" s="450">
        <f t="shared" si="36"/>
        <v>0</v>
      </c>
      <c r="Y90" s="969"/>
      <c r="Z90" s="969"/>
      <c r="AA90" s="969"/>
      <c r="AB90" s="970">
        <f t="shared" si="37"/>
        <v>0</v>
      </c>
      <c r="AC90" s="970">
        <f t="shared" si="38"/>
        <v>0</v>
      </c>
      <c r="AD90" s="451">
        <f t="shared" si="46"/>
        <v>0</v>
      </c>
    </row>
    <row r="91" spans="1:30" ht="80.099999999999994" hidden="1" customHeight="1" thickBot="1">
      <c r="A91" s="446"/>
      <c r="B91" s="447"/>
      <c r="C91" s="448"/>
      <c r="D91" s="448"/>
      <c r="E91" s="448"/>
      <c r="F91" s="449"/>
      <c r="G91" s="449"/>
      <c r="H91" s="449"/>
      <c r="I91" s="449">
        <f t="shared" si="33"/>
        <v>0</v>
      </c>
      <c r="J91" s="449">
        <f t="shared" si="44"/>
        <v>0</v>
      </c>
      <c r="K91" s="512">
        <f t="shared" si="48"/>
        <v>0</v>
      </c>
      <c r="L91" s="512">
        <f t="shared" si="39"/>
        <v>0</v>
      </c>
      <c r="M91" s="449">
        <f t="shared" si="49"/>
        <v>0</v>
      </c>
      <c r="N91" s="449">
        <f t="shared" si="47"/>
        <v>0</v>
      </c>
      <c r="O91" s="449">
        <f t="shared" si="34"/>
        <v>0</v>
      </c>
      <c r="P91" s="449">
        <f t="shared" si="40"/>
        <v>0</v>
      </c>
      <c r="Q91" s="449">
        <f t="shared" si="41"/>
        <v>0</v>
      </c>
      <c r="R91" s="449">
        <f t="shared" si="45"/>
        <v>0</v>
      </c>
      <c r="S91" s="449"/>
      <c r="T91" s="449">
        <f t="shared" si="42"/>
        <v>0</v>
      </c>
      <c r="U91" s="449">
        <f t="shared" si="43"/>
        <v>0</v>
      </c>
      <c r="V91" s="470">
        <v>3.5000000000000003E-2</v>
      </c>
      <c r="W91" s="449">
        <f t="shared" si="35"/>
        <v>0</v>
      </c>
      <c r="X91" s="450">
        <f t="shared" si="36"/>
        <v>0</v>
      </c>
      <c r="Y91" s="969"/>
      <c r="Z91" s="969"/>
      <c r="AA91" s="969"/>
      <c r="AB91" s="970">
        <f t="shared" si="37"/>
        <v>0</v>
      </c>
      <c r="AC91" s="970">
        <f t="shared" si="38"/>
        <v>0</v>
      </c>
      <c r="AD91" s="451">
        <f t="shared" si="46"/>
        <v>0</v>
      </c>
    </row>
    <row r="92" spans="1:30" ht="80.099999999999994" hidden="1" customHeight="1" thickBot="1">
      <c r="A92" s="446"/>
      <c r="B92" s="447"/>
      <c r="C92" s="448"/>
      <c r="D92" s="448"/>
      <c r="E92" s="448"/>
      <c r="F92" s="449"/>
      <c r="G92" s="449"/>
      <c r="H92" s="449"/>
      <c r="I92" s="449">
        <f t="shared" si="33"/>
        <v>0</v>
      </c>
      <c r="J92" s="449">
        <f t="shared" si="44"/>
        <v>0</v>
      </c>
      <c r="K92" s="512">
        <f t="shared" si="48"/>
        <v>0</v>
      </c>
      <c r="L92" s="512">
        <f t="shared" si="39"/>
        <v>0</v>
      </c>
      <c r="M92" s="449">
        <f t="shared" si="49"/>
        <v>0</v>
      </c>
      <c r="N92" s="449">
        <f t="shared" si="47"/>
        <v>0</v>
      </c>
      <c r="O92" s="449">
        <f t="shared" si="34"/>
        <v>0</v>
      </c>
      <c r="P92" s="449">
        <f t="shared" si="40"/>
        <v>0</v>
      </c>
      <c r="Q92" s="449">
        <f t="shared" si="41"/>
        <v>0</v>
      </c>
      <c r="R92" s="449">
        <f t="shared" si="45"/>
        <v>0</v>
      </c>
      <c r="S92" s="449"/>
      <c r="T92" s="449">
        <f t="shared" si="42"/>
        <v>0</v>
      </c>
      <c r="U92" s="449">
        <f t="shared" si="43"/>
        <v>0</v>
      </c>
      <c r="V92" s="470">
        <v>3.5000000000000003E-2</v>
      </c>
      <c r="W92" s="449">
        <f t="shared" si="35"/>
        <v>0</v>
      </c>
      <c r="X92" s="450">
        <f t="shared" si="36"/>
        <v>0</v>
      </c>
      <c r="Y92" s="969"/>
      <c r="Z92" s="969"/>
      <c r="AA92" s="969"/>
      <c r="AB92" s="970">
        <f t="shared" si="37"/>
        <v>0</v>
      </c>
      <c r="AC92" s="970">
        <f t="shared" si="38"/>
        <v>0</v>
      </c>
      <c r="AD92" s="451">
        <f t="shared" si="46"/>
        <v>0</v>
      </c>
    </row>
    <row r="93" spans="1:30" ht="80.099999999999994" hidden="1" customHeight="1" thickBot="1">
      <c r="A93" s="446"/>
      <c r="B93" s="447"/>
      <c r="C93" s="448"/>
      <c r="D93" s="448"/>
      <c r="E93" s="448"/>
      <c r="F93" s="449"/>
      <c r="G93" s="449"/>
      <c r="H93" s="449"/>
      <c r="I93" s="449">
        <f t="shared" si="33"/>
        <v>0</v>
      </c>
      <c r="J93" s="449">
        <f t="shared" si="44"/>
        <v>0</v>
      </c>
      <c r="K93" s="512">
        <f t="shared" si="48"/>
        <v>0</v>
      </c>
      <c r="L93" s="512">
        <f t="shared" si="39"/>
        <v>0</v>
      </c>
      <c r="M93" s="449">
        <f t="shared" si="49"/>
        <v>0</v>
      </c>
      <c r="N93" s="449">
        <f t="shared" si="47"/>
        <v>0</v>
      </c>
      <c r="O93" s="449">
        <f t="shared" si="34"/>
        <v>0</v>
      </c>
      <c r="P93" s="449">
        <f t="shared" si="40"/>
        <v>0</v>
      </c>
      <c r="Q93" s="449">
        <f t="shared" si="41"/>
        <v>0</v>
      </c>
      <c r="R93" s="449">
        <f t="shared" si="45"/>
        <v>0</v>
      </c>
      <c r="S93" s="449"/>
      <c r="T93" s="449">
        <f t="shared" si="42"/>
        <v>0</v>
      </c>
      <c r="U93" s="449">
        <f t="shared" si="43"/>
        <v>0</v>
      </c>
      <c r="V93" s="470">
        <v>3.5000000000000003E-2</v>
      </c>
      <c r="W93" s="449">
        <f t="shared" si="35"/>
        <v>0</v>
      </c>
      <c r="X93" s="450">
        <f t="shared" si="36"/>
        <v>0</v>
      </c>
      <c r="Y93" s="969"/>
      <c r="Z93" s="969"/>
      <c r="AA93" s="969"/>
      <c r="AB93" s="970">
        <f t="shared" si="37"/>
        <v>0</v>
      </c>
      <c r="AC93" s="970">
        <f t="shared" si="38"/>
        <v>0</v>
      </c>
      <c r="AD93" s="451">
        <f t="shared" si="46"/>
        <v>0</v>
      </c>
    </row>
    <row r="94" spans="1:30" ht="80.099999999999994" hidden="1" customHeight="1" thickBot="1">
      <c r="A94" s="446"/>
      <c r="B94" s="447"/>
      <c r="C94" s="448"/>
      <c r="D94" s="448"/>
      <c r="E94" s="448"/>
      <c r="F94" s="449"/>
      <c r="G94" s="449"/>
      <c r="H94" s="449"/>
      <c r="I94" s="449">
        <f t="shared" si="33"/>
        <v>0</v>
      </c>
      <c r="J94" s="449">
        <f t="shared" si="44"/>
        <v>0</v>
      </c>
      <c r="K94" s="512">
        <f t="shared" si="48"/>
        <v>0</v>
      </c>
      <c r="L94" s="512">
        <f t="shared" si="39"/>
        <v>0</v>
      </c>
      <c r="M94" s="449">
        <f t="shared" si="49"/>
        <v>0</v>
      </c>
      <c r="N94" s="449">
        <f t="shared" si="47"/>
        <v>0</v>
      </c>
      <c r="O94" s="449">
        <f t="shared" si="34"/>
        <v>0</v>
      </c>
      <c r="P94" s="449">
        <f t="shared" si="40"/>
        <v>0</v>
      </c>
      <c r="Q94" s="449">
        <f t="shared" si="41"/>
        <v>0</v>
      </c>
      <c r="R94" s="449">
        <f t="shared" si="45"/>
        <v>0</v>
      </c>
      <c r="S94" s="449"/>
      <c r="T94" s="449">
        <f t="shared" si="42"/>
        <v>0</v>
      </c>
      <c r="U94" s="449">
        <f t="shared" si="43"/>
        <v>0</v>
      </c>
      <c r="V94" s="470">
        <v>3.5000000000000003E-2</v>
      </c>
      <c r="W94" s="449">
        <f t="shared" si="35"/>
        <v>0</v>
      </c>
      <c r="X94" s="450">
        <f t="shared" si="36"/>
        <v>0</v>
      </c>
      <c r="Y94" s="969"/>
      <c r="Z94" s="969"/>
      <c r="AA94" s="969"/>
      <c r="AB94" s="970">
        <f t="shared" si="37"/>
        <v>0</v>
      </c>
      <c r="AC94" s="970">
        <f t="shared" si="38"/>
        <v>0</v>
      </c>
      <c r="AD94" s="451">
        <f t="shared" si="46"/>
        <v>0</v>
      </c>
    </row>
    <row r="95" spans="1:30" ht="80.099999999999994" hidden="1" customHeight="1" thickBot="1">
      <c r="A95" s="446"/>
      <c r="B95" s="447"/>
      <c r="C95" s="448"/>
      <c r="D95" s="448"/>
      <c r="E95" s="448"/>
      <c r="F95" s="449"/>
      <c r="G95" s="449"/>
      <c r="H95" s="449"/>
      <c r="I95" s="449">
        <f t="shared" si="33"/>
        <v>0</v>
      </c>
      <c r="J95" s="449">
        <f t="shared" si="44"/>
        <v>0</v>
      </c>
      <c r="K95" s="512">
        <f t="shared" si="48"/>
        <v>0</v>
      </c>
      <c r="L95" s="512">
        <f t="shared" si="39"/>
        <v>0</v>
      </c>
      <c r="M95" s="449">
        <f t="shared" si="49"/>
        <v>0</v>
      </c>
      <c r="N95" s="449">
        <f t="shared" si="47"/>
        <v>0</v>
      </c>
      <c r="O95" s="449">
        <f t="shared" si="34"/>
        <v>0</v>
      </c>
      <c r="P95" s="449">
        <f t="shared" si="40"/>
        <v>0</v>
      </c>
      <c r="Q95" s="449">
        <f t="shared" si="41"/>
        <v>0</v>
      </c>
      <c r="R95" s="449">
        <f t="shared" si="45"/>
        <v>0</v>
      </c>
      <c r="S95" s="449"/>
      <c r="T95" s="449">
        <f t="shared" si="42"/>
        <v>0</v>
      </c>
      <c r="U95" s="449">
        <f t="shared" si="43"/>
        <v>0</v>
      </c>
      <c r="V95" s="470">
        <v>3.5000000000000003E-2</v>
      </c>
      <c r="W95" s="449">
        <f t="shared" si="35"/>
        <v>0</v>
      </c>
      <c r="X95" s="450">
        <f t="shared" si="36"/>
        <v>0</v>
      </c>
      <c r="Y95" s="969"/>
      <c r="Z95" s="969"/>
      <c r="AA95" s="969"/>
      <c r="AB95" s="970">
        <f t="shared" si="37"/>
        <v>0</v>
      </c>
      <c r="AC95" s="970">
        <f t="shared" si="38"/>
        <v>0</v>
      </c>
      <c r="AD95" s="451">
        <f t="shared" si="46"/>
        <v>0</v>
      </c>
    </row>
    <row r="96" spans="1:30" ht="80.099999999999994" hidden="1" customHeight="1" thickBot="1">
      <c r="A96" s="446"/>
      <c r="B96" s="447"/>
      <c r="C96" s="448"/>
      <c r="D96" s="448"/>
      <c r="E96" s="448"/>
      <c r="F96" s="449"/>
      <c r="G96" s="449"/>
      <c r="H96" s="449"/>
      <c r="I96" s="449">
        <f t="shared" si="33"/>
        <v>0</v>
      </c>
      <c r="J96" s="449">
        <f t="shared" si="44"/>
        <v>0</v>
      </c>
      <c r="K96" s="512">
        <f t="shared" si="48"/>
        <v>0</v>
      </c>
      <c r="L96" s="512">
        <f t="shared" si="39"/>
        <v>0</v>
      </c>
      <c r="M96" s="449">
        <f t="shared" si="49"/>
        <v>0</v>
      </c>
      <c r="N96" s="449">
        <f t="shared" si="47"/>
        <v>0</v>
      </c>
      <c r="O96" s="449">
        <f t="shared" si="34"/>
        <v>0</v>
      </c>
      <c r="P96" s="449">
        <f t="shared" si="40"/>
        <v>0</v>
      </c>
      <c r="Q96" s="449">
        <f t="shared" si="41"/>
        <v>0</v>
      </c>
      <c r="R96" s="449">
        <f t="shared" si="45"/>
        <v>0</v>
      </c>
      <c r="S96" s="449"/>
      <c r="T96" s="449">
        <f t="shared" si="42"/>
        <v>0</v>
      </c>
      <c r="U96" s="449">
        <f t="shared" si="43"/>
        <v>0</v>
      </c>
      <c r="V96" s="470">
        <v>3.5000000000000003E-2</v>
      </c>
      <c r="W96" s="449">
        <f t="shared" si="35"/>
        <v>0</v>
      </c>
      <c r="X96" s="450">
        <f t="shared" si="36"/>
        <v>0</v>
      </c>
      <c r="Y96" s="969"/>
      <c r="Z96" s="969"/>
      <c r="AA96" s="969"/>
      <c r="AB96" s="970">
        <f t="shared" si="37"/>
        <v>0</v>
      </c>
      <c r="AC96" s="970">
        <f t="shared" si="38"/>
        <v>0</v>
      </c>
      <c r="AD96" s="451">
        <f t="shared" si="46"/>
        <v>0</v>
      </c>
    </row>
    <row r="97" spans="1:30" ht="80.099999999999994" hidden="1" customHeight="1" thickBot="1">
      <c r="A97" s="446"/>
      <c r="B97" s="447"/>
      <c r="C97" s="448"/>
      <c r="D97" s="448"/>
      <c r="E97" s="448"/>
      <c r="F97" s="449"/>
      <c r="G97" s="449"/>
      <c r="H97" s="449"/>
      <c r="I97" s="449">
        <f t="shared" si="33"/>
        <v>0</v>
      </c>
      <c r="J97" s="449">
        <f t="shared" si="44"/>
        <v>0</v>
      </c>
      <c r="K97" s="512">
        <f t="shared" si="48"/>
        <v>0</v>
      </c>
      <c r="L97" s="512">
        <f t="shared" si="39"/>
        <v>0</v>
      </c>
      <c r="M97" s="449">
        <f t="shared" si="49"/>
        <v>0</v>
      </c>
      <c r="N97" s="449">
        <f t="shared" si="47"/>
        <v>0</v>
      </c>
      <c r="O97" s="449">
        <f t="shared" si="34"/>
        <v>0</v>
      </c>
      <c r="P97" s="449">
        <f t="shared" si="40"/>
        <v>0</v>
      </c>
      <c r="Q97" s="449">
        <f t="shared" si="41"/>
        <v>0</v>
      </c>
      <c r="R97" s="449">
        <f t="shared" si="45"/>
        <v>0</v>
      </c>
      <c r="S97" s="449"/>
      <c r="T97" s="449">
        <f t="shared" si="42"/>
        <v>0</v>
      </c>
      <c r="U97" s="449">
        <f t="shared" si="43"/>
        <v>0</v>
      </c>
      <c r="V97" s="470">
        <v>3.5000000000000003E-2</v>
      </c>
      <c r="W97" s="449">
        <f t="shared" si="35"/>
        <v>0</v>
      </c>
      <c r="X97" s="450">
        <f t="shared" si="36"/>
        <v>0</v>
      </c>
      <c r="Y97" s="969"/>
      <c r="Z97" s="969"/>
      <c r="AA97" s="969"/>
      <c r="AB97" s="970">
        <f t="shared" si="37"/>
        <v>0</v>
      </c>
      <c r="AC97" s="970">
        <f t="shared" si="38"/>
        <v>0</v>
      </c>
      <c r="AD97" s="451">
        <f t="shared" si="46"/>
        <v>0</v>
      </c>
    </row>
    <row r="98" spans="1:30" ht="80.099999999999994" hidden="1" customHeight="1" thickBot="1">
      <c r="A98" s="446"/>
      <c r="B98" s="447"/>
      <c r="C98" s="448"/>
      <c r="D98" s="448"/>
      <c r="E98" s="448"/>
      <c r="F98" s="449"/>
      <c r="G98" s="449"/>
      <c r="H98" s="449"/>
      <c r="I98" s="449">
        <f t="shared" si="33"/>
        <v>0</v>
      </c>
      <c r="J98" s="449">
        <f t="shared" si="44"/>
        <v>0</v>
      </c>
      <c r="K98" s="512">
        <f t="shared" si="48"/>
        <v>0</v>
      </c>
      <c r="L98" s="512">
        <f t="shared" si="39"/>
        <v>0</v>
      </c>
      <c r="M98" s="449">
        <f t="shared" si="49"/>
        <v>0</v>
      </c>
      <c r="N98" s="449">
        <f t="shared" si="47"/>
        <v>0</v>
      </c>
      <c r="O98" s="449">
        <f t="shared" si="34"/>
        <v>0</v>
      </c>
      <c r="P98" s="449">
        <f t="shared" si="40"/>
        <v>0</v>
      </c>
      <c r="Q98" s="449">
        <f t="shared" si="41"/>
        <v>0</v>
      </c>
      <c r="R98" s="449">
        <f t="shared" si="45"/>
        <v>0</v>
      </c>
      <c r="S98" s="449"/>
      <c r="T98" s="449">
        <f t="shared" si="42"/>
        <v>0</v>
      </c>
      <c r="U98" s="449">
        <f t="shared" si="43"/>
        <v>0</v>
      </c>
      <c r="V98" s="470">
        <v>3.5000000000000003E-2</v>
      </c>
      <c r="W98" s="449">
        <f t="shared" si="35"/>
        <v>0</v>
      </c>
      <c r="X98" s="450">
        <f t="shared" si="36"/>
        <v>0</v>
      </c>
      <c r="Y98" s="969"/>
      <c r="Z98" s="969"/>
      <c r="AA98" s="969"/>
      <c r="AB98" s="970">
        <f t="shared" si="37"/>
        <v>0</v>
      </c>
      <c r="AC98" s="970">
        <f t="shared" si="38"/>
        <v>0</v>
      </c>
      <c r="AD98" s="451">
        <f t="shared" si="46"/>
        <v>0</v>
      </c>
    </row>
    <row r="99" spans="1:30" ht="80.099999999999994" hidden="1" customHeight="1" thickBot="1">
      <c r="A99" s="446"/>
      <c r="B99" s="447"/>
      <c r="C99" s="448"/>
      <c r="D99" s="448"/>
      <c r="E99" s="448"/>
      <c r="F99" s="449"/>
      <c r="G99" s="449"/>
      <c r="H99" s="449"/>
      <c r="I99" s="449">
        <f t="shared" si="33"/>
        <v>0</v>
      </c>
      <c r="J99" s="449">
        <f t="shared" si="44"/>
        <v>0</v>
      </c>
      <c r="K99" s="512">
        <f t="shared" si="48"/>
        <v>0</v>
      </c>
      <c r="L99" s="512">
        <f t="shared" si="39"/>
        <v>0</v>
      </c>
      <c r="M99" s="449">
        <f t="shared" si="49"/>
        <v>0</v>
      </c>
      <c r="N99" s="449">
        <f t="shared" si="47"/>
        <v>0</v>
      </c>
      <c r="O99" s="449">
        <f t="shared" si="34"/>
        <v>0</v>
      </c>
      <c r="P99" s="449">
        <f t="shared" si="40"/>
        <v>0</v>
      </c>
      <c r="Q99" s="449">
        <f t="shared" si="41"/>
        <v>0</v>
      </c>
      <c r="R99" s="449">
        <f t="shared" si="45"/>
        <v>0</v>
      </c>
      <c r="S99" s="449"/>
      <c r="T99" s="449">
        <f t="shared" si="42"/>
        <v>0</v>
      </c>
      <c r="U99" s="449">
        <f t="shared" si="43"/>
        <v>0</v>
      </c>
      <c r="V99" s="470">
        <v>3.5000000000000003E-2</v>
      </c>
      <c r="W99" s="449">
        <f t="shared" si="35"/>
        <v>0</v>
      </c>
      <c r="X99" s="450">
        <f t="shared" si="36"/>
        <v>0</v>
      </c>
      <c r="Y99" s="969"/>
      <c r="Z99" s="969"/>
      <c r="AA99" s="969"/>
      <c r="AB99" s="970">
        <f t="shared" si="37"/>
        <v>0</v>
      </c>
      <c r="AC99" s="970">
        <f t="shared" si="38"/>
        <v>0</v>
      </c>
      <c r="AD99" s="451">
        <f t="shared" si="46"/>
        <v>0</v>
      </c>
    </row>
    <row r="100" spans="1:30" ht="80.099999999999994" hidden="1" customHeight="1" thickBot="1">
      <c r="A100" s="446"/>
      <c r="B100" s="447"/>
      <c r="C100" s="448"/>
      <c r="D100" s="448"/>
      <c r="E100" s="448"/>
      <c r="F100" s="449"/>
      <c r="G100" s="449"/>
      <c r="H100" s="449"/>
      <c r="I100" s="449">
        <f t="shared" si="33"/>
        <v>0</v>
      </c>
      <c r="J100" s="449">
        <f t="shared" si="44"/>
        <v>0</v>
      </c>
      <c r="K100" s="512">
        <f t="shared" si="48"/>
        <v>0</v>
      </c>
      <c r="L100" s="512">
        <f t="shared" si="39"/>
        <v>0</v>
      </c>
      <c r="M100" s="449">
        <f t="shared" si="49"/>
        <v>0</v>
      </c>
      <c r="N100" s="449">
        <f t="shared" si="47"/>
        <v>0</v>
      </c>
      <c r="O100" s="449">
        <f t="shared" si="34"/>
        <v>0</v>
      </c>
      <c r="P100" s="449">
        <f t="shared" si="40"/>
        <v>0</v>
      </c>
      <c r="Q100" s="449">
        <f t="shared" si="41"/>
        <v>0</v>
      </c>
      <c r="R100" s="449">
        <f t="shared" si="45"/>
        <v>0</v>
      </c>
      <c r="S100" s="449"/>
      <c r="T100" s="449">
        <f t="shared" si="42"/>
        <v>0</v>
      </c>
      <c r="U100" s="449">
        <f t="shared" si="43"/>
        <v>0</v>
      </c>
      <c r="V100" s="470">
        <v>3.5000000000000003E-2</v>
      </c>
      <c r="W100" s="449">
        <f t="shared" si="35"/>
        <v>0</v>
      </c>
      <c r="X100" s="450">
        <f t="shared" si="36"/>
        <v>0</v>
      </c>
      <c r="Y100" s="969"/>
      <c r="Z100" s="969"/>
      <c r="AA100" s="969"/>
      <c r="AB100" s="970">
        <f t="shared" si="37"/>
        <v>0</v>
      </c>
      <c r="AC100" s="970">
        <f t="shared" si="38"/>
        <v>0</v>
      </c>
      <c r="AD100" s="451">
        <f t="shared" si="46"/>
        <v>0</v>
      </c>
    </row>
    <row r="101" spans="1:30" ht="80.099999999999994" hidden="1" customHeight="1" thickBot="1">
      <c r="A101" s="446"/>
      <c r="B101" s="447"/>
      <c r="C101" s="448"/>
      <c r="D101" s="448"/>
      <c r="E101" s="448"/>
      <c r="F101" s="449"/>
      <c r="G101" s="449"/>
      <c r="H101" s="449"/>
      <c r="I101" s="449">
        <f t="shared" si="33"/>
        <v>0</v>
      </c>
      <c r="J101" s="449">
        <f t="shared" si="44"/>
        <v>0</v>
      </c>
      <c r="K101" s="512">
        <f t="shared" si="48"/>
        <v>0</v>
      </c>
      <c r="L101" s="512">
        <f t="shared" si="39"/>
        <v>0</v>
      </c>
      <c r="M101" s="449">
        <f t="shared" si="49"/>
        <v>0</v>
      </c>
      <c r="N101" s="449">
        <f t="shared" si="47"/>
        <v>0</v>
      </c>
      <c r="O101" s="449">
        <f t="shared" si="34"/>
        <v>0</v>
      </c>
      <c r="P101" s="449">
        <f t="shared" si="40"/>
        <v>0</v>
      </c>
      <c r="Q101" s="449">
        <f t="shared" si="41"/>
        <v>0</v>
      </c>
      <c r="R101" s="449">
        <f t="shared" si="45"/>
        <v>0</v>
      </c>
      <c r="S101" s="449"/>
      <c r="T101" s="449">
        <f t="shared" si="42"/>
        <v>0</v>
      </c>
      <c r="U101" s="449">
        <f t="shared" si="43"/>
        <v>0</v>
      </c>
      <c r="V101" s="470">
        <v>3.5000000000000003E-2</v>
      </c>
      <c r="W101" s="449">
        <f t="shared" si="35"/>
        <v>0</v>
      </c>
      <c r="X101" s="450">
        <f t="shared" si="36"/>
        <v>0</v>
      </c>
      <c r="Y101" s="969"/>
      <c r="Z101" s="969"/>
      <c r="AA101" s="969"/>
      <c r="AB101" s="970">
        <f t="shared" si="37"/>
        <v>0</v>
      </c>
      <c r="AC101" s="970">
        <f t="shared" si="38"/>
        <v>0</v>
      </c>
      <c r="AD101" s="451">
        <f t="shared" si="46"/>
        <v>0</v>
      </c>
    </row>
    <row r="102" spans="1:30" ht="80.099999999999994" hidden="1" customHeight="1" thickBot="1">
      <c r="A102" s="446"/>
      <c r="B102" s="447"/>
      <c r="C102" s="448"/>
      <c r="D102" s="448"/>
      <c r="E102" s="448"/>
      <c r="F102" s="449"/>
      <c r="G102" s="449"/>
      <c r="H102" s="449"/>
      <c r="I102" s="449">
        <f t="shared" si="33"/>
        <v>0</v>
      </c>
      <c r="J102" s="449">
        <f t="shared" si="44"/>
        <v>0</v>
      </c>
      <c r="K102" s="512">
        <f t="shared" si="48"/>
        <v>0</v>
      </c>
      <c r="L102" s="512">
        <f t="shared" si="39"/>
        <v>0</v>
      </c>
      <c r="M102" s="449">
        <f t="shared" si="49"/>
        <v>0</v>
      </c>
      <c r="N102" s="449">
        <f t="shared" si="47"/>
        <v>0</v>
      </c>
      <c r="O102" s="449">
        <f t="shared" si="34"/>
        <v>0</v>
      </c>
      <c r="P102" s="449">
        <f t="shared" si="40"/>
        <v>0</v>
      </c>
      <c r="Q102" s="449">
        <f t="shared" si="41"/>
        <v>0</v>
      </c>
      <c r="R102" s="449">
        <f t="shared" si="45"/>
        <v>0</v>
      </c>
      <c r="S102" s="449"/>
      <c r="T102" s="449">
        <f t="shared" si="42"/>
        <v>0</v>
      </c>
      <c r="U102" s="449">
        <f t="shared" si="43"/>
        <v>0</v>
      </c>
      <c r="V102" s="470">
        <v>3.5000000000000003E-2</v>
      </c>
      <c r="W102" s="449">
        <f t="shared" si="35"/>
        <v>0</v>
      </c>
      <c r="X102" s="450">
        <f t="shared" si="36"/>
        <v>0</v>
      </c>
      <c r="Y102" s="969"/>
      <c r="Z102" s="969"/>
      <c r="AA102" s="969"/>
      <c r="AB102" s="970">
        <f t="shared" si="37"/>
        <v>0</v>
      </c>
      <c r="AC102" s="970">
        <f t="shared" si="38"/>
        <v>0</v>
      </c>
      <c r="AD102" s="451">
        <f t="shared" si="46"/>
        <v>0</v>
      </c>
    </row>
    <row r="103" spans="1:30" ht="80.099999999999994" hidden="1" customHeight="1" thickBot="1">
      <c r="A103" s="446"/>
      <c r="B103" s="447"/>
      <c r="C103" s="448"/>
      <c r="D103" s="448"/>
      <c r="E103" s="448"/>
      <c r="F103" s="449"/>
      <c r="G103" s="449"/>
      <c r="H103" s="449"/>
      <c r="I103" s="449">
        <f t="shared" si="33"/>
        <v>0</v>
      </c>
      <c r="J103" s="449">
        <f t="shared" si="44"/>
        <v>0</v>
      </c>
      <c r="K103" s="512">
        <f t="shared" si="48"/>
        <v>0</v>
      </c>
      <c r="L103" s="512">
        <f t="shared" si="39"/>
        <v>0</v>
      </c>
      <c r="M103" s="449">
        <f t="shared" si="49"/>
        <v>0</v>
      </c>
      <c r="N103" s="449">
        <f t="shared" si="47"/>
        <v>0</v>
      </c>
      <c r="O103" s="449">
        <f t="shared" si="34"/>
        <v>0</v>
      </c>
      <c r="P103" s="449">
        <f t="shared" si="40"/>
        <v>0</v>
      </c>
      <c r="Q103" s="449">
        <f t="shared" si="41"/>
        <v>0</v>
      </c>
      <c r="R103" s="449">
        <f t="shared" si="45"/>
        <v>0</v>
      </c>
      <c r="S103" s="449"/>
      <c r="T103" s="449">
        <f t="shared" si="42"/>
        <v>0</v>
      </c>
      <c r="U103" s="449">
        <f t="shared" si="43"/>
        <v>0</v>
      </c>
      <c r="V103" s="470">
        <v>3.5000000000000003E-2</v>
      </c>
      <c r="W103" s="449">
        <f t="shared" si="35"/>
        <v>0</v>
      </c>
      <c r="X103" s="450">
        <f t="shared" si="36"/>
        <v>0</v>
      </c>
      <c r="Y103" s="969"/>
      <c r="Z103" s="969"/>
      <c r="AA103" s="969"/>
      <c r="AB103" s="970">
        <f t="shared" si="37"/>
        <v>0</v>
      </c>
      <c r="AC103" s="970">
        <f t="shared" si="38"/>
        <v>0</v>
      </c>
      <c r="AD103" s="451">
        <f t="shared" si="46"/>
        <v>0</v>
      </c>
    </row>
    <row r="104" spans="1:30" ht="80.099999999999994" hidden="1" customHeight="1" thickBot="1">
      <c r="A104" s="446"/>
      <c r="B104" s="447"/>
      <c r="C104" s="448"/>
      <c r="D104" s="448"/>
      <c r="E104" s="448"/>
      <c r="F104" s="449"/>
      <c r="G104" s="449"/>
      <c r="H104" s="449"/>
      <c r="I104" s="449">
        <f t="shared" si="33"/>
        <v>0</v>
      </c>
      <c r="J104" s="449">
        <f t="shared" si="44"/>
        <v>0</v>
      </c>
      <c r="K104" s="512">
        <f t="shared" si="48"/>
        <v>0</v>
      </c>
      <c r="L104" s="512">
        <f t="shared" si="39"/>
        <v>0</v>
      </c>
      <c r="M104" s="449">
        <f t="shared" si="49"/>
        <v>0</v>
      </c>
      <c r="N104" s="449">
        <f t="shared" si="47"/>
        <v>0</v>
      </c>
      <c r="O104" s="449">
        <f t="shared" si="34"/>
        <v>0</v>
      </c>
      <c r="P104" s="449">
        <f t="shared" si="40"/>
        <v>0</v>
      </c>
      <c r="Q104" s="449">
        <f t="shared" si="41"/>
        <v>0</v>
      </c>
      <c r="R104" s="449">
        <f t="shared" si="45"/>
        <v>0</v>
      </c>
      <c r="S104" s="449"/>
      <c r="T104" s="449">
        <f t="shared" si="42"/>
        <v>0</v>
      </c>
      <c r="U104" s="449">
        <f t="shared" si="43"/>
        <v>0</v>
      </c>
      <c r="V104" s="470">
        <v>3.5000000000000003E-2</v>
      </c>
      <c r="W104" s="449">
        <f t="shared" si="35"/>
        <v>0</v>
      </c>
      <c r="X104" s="450">
        <f t="shared" si="36"/>
        <v>0</v>
      </c>
      <c r="Y104" s="969"/>
      <c r="Z104" s="969"/>
      <c r="AA104" s="969"/>
      <c r="AB104" s="970">
        <f t="shared" si="37"/>
        <v>0</v>
      </c>
      <c r="AC104" s="970">
        <f t="shared" si="38"/>
        <v>0</v>
      </c>
      <c r="AD104" s="451">
        <f t="shared" si="46"/>
        <v>0</v>
      </c>
    </row>
    <row r="105" spans="1:30" ht="80.099999999999994" hidden="1" customHeight="1" thickBot="1">
      <c r="A105" s="446"/>
      <c r="B105" s="447"/>
      <c r="C105" s="448"/>
      <c r="D105" s="448"/>
      <c r="E105" s="448"/>
      <c r="F105" s="449"/>
      <c r="G105" s="449"/>
      <c r="H105" s="449"/>
      <c r="I105" s="449">
        <f t="shared" si="33"/>
        <v>0</v>
      </c>
      <c r="J105" s="449">
        <f t="shared" si="44"/>
        <v>0</v>
      </c>
      <c r="K105" s="512">
        <f t="shared" si="48"/>
        <v>0</v>
      </c>
      <c r="L105" s="512">
        <f t="shared" si="39"/>
        <v>0</v>
      </c>
      <c r="M105" s="449">
        <f t="shared" si="49"/>
        <v>0</v>
      </c>
      <c r="N105" s="449">
        <f t="shared" si="47"/>
        <v>0</v>
      </c>
      <c r="O105" s="449">
        <f t="shared" si="34"/>
        <v>0</v>
      </c>
      <c r="P105" s="449">
        <f t="shared" si="40"/>
        <v>0</v>
      </c>
      <c r="Q105" s="449">
        <f t="shared" si="41"/>
        <v>0</v>
      </c>
      <c r="R105" s="449">
        <f t="shared" si="45"/>
        <v>0</v>
      </c>
      <c r="S105" s="449"/>
      <c r="T105" s="449">
        <f t="shared" si="42"/>
        <v>0</v>
      </c>
      <c r="U105" s="449">
        <f t="shared" si="43"/>
        <v>0</v>
      </c>
      <c r="V105" s="470">
        <v>3.5000000000000003E-2</v>
      </c>
      <c r="W105" s="449">
        <f t="shared" si="35"/>
        <v>0</v>
      </c>
      <c r="X105" s="450">
        <f t="shared" si="36"/>
        <v>0</v>
      </c>
      <c r="Y105" s="969"/>
      <c r="Z105" s="969"/>
      <c r="AA105" s="969"/>
      <c r="AB105" s="970">
        <f t="shared" si="37"/>
        <v>0</v>
      </c>
      <c r="AC105" s="970">
        <f t="shared" si="38"/>
        <v>0</v>
      </c>
      <c r="AD105" s="451">
        <f t="shared" si="46"/>
        <v>0</v>
      </c>
    </row>
    <row r="106" spans="1:30" ht="80.099999999999994" hidden="1" customHeight="1" thickBot="1">
      <c r="A106" s="446"/>
      <c r="B106" s="447"/>
      <c r="C106" s="448"/>
      <c r="D106" s="448"/>
      <c r="E106" s="448"/>
      <c r="F106" s="449"/>
      <c r="G106" s="449"/>
      <c r="H106" s="449"/>
      <c r="I106" s="449">
        <f t="shared" si="33"/>
        <v>0</v>
      </c>
      <c r="J106" s="449">
        <f t="shared" si="44"/>
        <v>0</v>
      </c>
      <c r="K106" s="512">
        <f t="shared" si="48"/>
        <v>0</v>
      </c>
      <c r="L106" s="512">
        <f t="shared" si="39"/>
        <v>0</v>
      </c>
      <c r="M106" s="449">
        <f t="shared" si="49"/>
        <v>0</v>
      </c>
      <c r="N106" s="449">
        <f t="shared" si="47"/>
        <v>0</v>
      </c>
      <c r="O106" s="449">
        <f t="shared" si="34"/>
        <v>0</v>
      </c>
      <c r="P106" s="449">
        <f t="shared" si="40"/>
        <v>0</v>
      </c>
      <c r="Q106" s="449">
        <f t="shared" si="41"/>
        <v>0</v>
      </c>
      <c r="R106" s="449">
        <f t="shared" si="45"/>
        <v>0</v>
      </c>
      <c r="S106" s="449"/>
      <c r="T106" s="449">
        <f t="shared" si="42"/>
        <v>0</v>
      </c>
      <c r="U106" s="449">
        <f t="shared" si="43"/>
        <v>0</v>
      </c>
      <c r="V106" s="470">
        <v>3.5000000000000003E-2</v>
      </c>
      <c r="W106" s="449">
        <f t="shared" si="35"/>
        <v>0</v>
      </c>
      <c r="X106" s="450">
        <f t="shared" si="36"/>
        <v>0</v>
      </c>
      <c r="Y106" s="969"/>
      <c r="Z106" s="969"/>
      <c r="AA106" s="969"/>
      <c r="AB106" s="970">
        <f t="shared" si="37"/>
        <v>0</v>
      </c>
      <c r="AC106" s="970">
        <f t="shared" si="38"/>
        <v>0</v>
      </c>
      <c r="AD106" s="451">
        <f t="shared" si="46"/>
        <v>0</v>
      </c>
    </row>
    <row r="107" spans="1:30" ht="80.099999999999994" hidden="1" customHeight="1" thickBot="1">
      <c r="A107" s="446"/>
      <c r="B107" s="447"/>
      <c r="C107" s="448"/>
      <c r="D107" s="448"/>
      <c r="E107" s="448"/>
      <c r="F107" s="449"/>
      <c r="G107" s="449"/>
      <c r="H107" s="449"/>
      <c r="I107" s="449">
        <f t="shared" si="33"/>
        <v>0</v>
      </c>
      <c r="J107" s="449">
        <f t="shared" si="44"/>
        <v>0</v>
      </c>
      <c r="K107" s="512">
        <f t="shared" si="48"/>
        <v>0</v>
      </c>
      <c r="L107" s="512">
        <f t="shared" si="39"/>
        <v>0</v>
      </c>
      <c r="M107" s="449">
        <f t="shared" si="49"/>
        <v>0</v>
      </c>
      <c r="N107" s="449">
        <f t="shared" si="47"/>
        <v>0</v>
      </c>
      <c r="O107" s="449">
        <f t="shared" si="34"/>
        <v>0</v>
      </c>
      <c r="P107" s="449">
        <f t="shared" si="40"/>
        <v>0</v>
      </c>
      <c r="Q107" s="449">
        <f t="shared" si="41"/>
        <v>0</v>
      </c>
      <c r="R107" s="449">
        <f t="shared" si="45"/>
        <v>0</v>
      </c>
      <c r="S107" s="449"/>
      <c r="T107" s="449">
        <f t="shared" si="42"/>
        <v>0</v>
      </c>
      <c r="U107" s="449">
        <f t="shared" si="43"/>
        <v>0</v>
      </c>
      <c r="V107" s="470">
        <v>3.5000000000000003E-2</v>
      </c>
      <c r="W107" s="449">
        <f t="shared" si="35"/>
        <v>0</v>
      </c>
      <c r="X107" s="450">
        <f t="shared" si="36"/>
        <v>0</v>
      </c>
      <c r="Y107" s="969"/>
      <c r="Z107" s="969"/>
      <c r="AA107" s="969"/>
      <c r="AB107" s="970">
        <f t="shared" si="37"/>
        <v>0</v>
      </c>
      <c r="AC107" s="970">
        <f t="shared" si="38"/>
        <v>0</v>
      </c>
      <c r="AD107" s="451">
        <f t="shared" si="46"/>
        <v>0</v>
      </c>
    </row>
    <row r="108" spans="1:30" ht="80.099999999999994" hidden="1" customHeight="1" thickBot="1">
      <c r="A108" s="446"/>
      <c r="B108" s="447"/>
      <c r="C108" s="448"/>
      <c r="D108" s="448"/>
      <c r="E108" s="448"/>
      <c r="F108" s="449"/>
      <c r="G108" s="449"/>
      <c r="H108" s="449"/>
      <c r="I108" s="449">
        <f t="shared" si="33"/>
        <v>0</v>
      </c>
      <c r="J108" s="449">
        <f t="shared" si="44"/>
        <v>0</v>
      </c>
      <c r="K108" s="512">
        <f t="shared" si="48"/>
        <v>0</v>
      </c>
      <c r="L108" s="512">
        <f t="shared" si="39"/>
        <v>0</v>
      </c>
      <c r="M108" s="449">
        <f t="shared" si="49"/>
        <v>0</v>
      </c>
      <c r="N108" s="449">
        <f t="shared" si="47"/>
        <v>0</v>
      </c>
      <c r="O108" s="449">
        <f t="shared" si="34"/>
        <v>0</v>
      </c>
      <c r="P108" s="449">
        <f t="shared" si="40"/>
        <v>0</v>
      </c>
      <c r="Q108" s="449">
        <f t="shared" si="41"/>
        <v>0</v>
      </c>
      <c r="R108" s="449">
        <f t="shared" si="45"/>
        <v>0</v>
      </c>
      <c r="S108" s="449"/>
      <c r="T108" s="449">
        <f t="shared" si="42"/>
        <v>0</v>
      </c>
      <c r="U108" s="449">
        <f t="shared" si="43"/>
        <v>0</v>
      </c>
      <c r="V108" s="470">
        <v>3.5000000000000003E-2</v>
      </c>
      <c r="W108" s="449">
        <f t="shared" si="35"/>
        <v>0</v>
      </c>
      <c r="X108" s="450">
        <f t="shared" si="36"/>
        <v>0</v>
      </c>
      <c r="Y108" s="969"/>
      <c r="Z108" s="969"/>
      <c r="AA108" s="969"/>
      <c r="AB108" s="970">
        <f t="shared" si="37"/>
        <v>0</v>
      </c>
      <c r="AC108" s="970">
        <f t="shared" si="38"/>
        <v>0</v>
      </c>
      <c r="AD108" s="451">
        <f t="shared" si="46"/>
        <v>0</v>
      </c>
    </row>
    <row r="109" spans="1:30" ht="80.099999999999994" hidden="1" customHeight="1" thickBot="1">
      <c r="A109" s="446"/>
      <c r="B109" s="447"/>
      <c r="C109" s="448"/>
      <c r="D109" s="448"/>
      <c r="E109" s="448"/>
      <c r="F109" s="449"/>
      <c r="G109" s="449"/>
      <c r="H109" s="449"/>
      <c r="I109" s="449">
        <f t="shared" si="33"/>
        <v>0</v>
      </c>
      <c r="J109" s="449">
        <f t="shared" si="44"/>
        <v>0</v>
      </c>
      <c r="K109" s="512">
        <f t="shared" si="48"/>
        <v>0</v>
      </c>
      <c r="L109" s="512">
        <f t="shared" si="39"/>
        <v>0</v>
      </c>
      <c r="M109" s="449">
        <f t="shared" si="49"/>
        <v>0</v>
      </c>
      <c r="N109" s="449">
        <f t="shared" si="47"/>
        <v>0</v>
      </c>
      <c r="O109" s="449">
        <f t="shared" si="34"/>
        <v>0</v>
      </c>
      <c r="P109" s="449">
        <f t="shared" si="40"/>
        <v>0</v>
      </c>
      <c r="Q109" s="449">
        <f t="shared" si="41"/>
        <v>0</v>
      </c>
      <c r="R109" s="449">
        <f t="shared" si="45"/>
        <v>0</v>
      </c>
      <c r="S109" s="449"/>
      <c r="T109" s="449">
        <f t="shared" si="42"/>
        <v>0</v>
      </c>
      <c r="U109" s="449">
        <f t="shared" si="43"/>
        <v>0</v>
      </c>
      <c r="V109" s="470">
        <v>3.5000000000000003E-2</v>
      </c>
      <c r="W109" s="449">
        <f t="shared" si="35"/>
        <v>0</v>
      </c>
      <c r="X109" s="450">
        <f t="shared" si="36"/>
        <v>0</v>
      </c>
      <c r="Y109" s="969"/>
      <c r="Z109" s="969"/>
      <c r="AA109" s="969"/>
      <c r="AB109" s="970">
        <f t="shared" si="37"/>
        <v>0</v>
      </c>
      <c r="AC109" s="970">
        <f t="shared" si="38"/>
        <v>0</v>
      </c>
      <c r="AD109" s="451">
        <f t="shared" si="46"/>
        <v>0</v>
      </c>
    </row>
    <row r="110" spans="1:30" ht="80.099999999999994" hidden="1" customHeight="1" thickBot="1">
      <c r="A110" s="446"/>
      <c r="B110" s="447"/>
      <c r="C110" s="448"/>
      <c r="D110" s="448"/>
      <c r="E110" s="448"/>
      <c r="F110" s="449"/>
      <c r="G110" s="449"/>
      <c r="H110" s="449"/>
      <c r="I110" s="449">
        <f t="shared" si="33"/>
        <v>0</v>
      </c>
      <c r="J110" s="449">
        <f t="shared" si="44"/>
        <v>0</v>
      </c>
      <c r="K110" s="512">
        <f t="shared" si="48"/>
        <v>0</v>
      </c>
      <c r="L110" s="512">
        <f t="shared" si="39"/>
        <v>0</v>
      </c>
      <c r="M110" s="449">
        <f t="shared" si="49"/>
        <v>0</v>
      </c>
      <c r="N110" s="449">
        <f t="shared" si="47"/>
        <v>0</v>
      </c>
      <c r="O110" s="449">
        <f t="shared" si="34"/>
        <v>0</v>
      </c>
      <c r="P110" s="449">
        <f t="shared" si="40"/>
        <v>0</v>
      </c>
      <c r="Q110" s="449">
        <f t="shared" si="41"/>
        <v>0</v>
      </c>
      <c r="R110" s="449">
        <f t="shared" si="45"/>
        <v>0</v>
      </c>
      <c r="S110" s="449"/>
      <c r="T110" s="449">
        <f t="shared" si="42"/>
        <v>0</v>
      </c>
      <c r="U110" s="449">
        <f t="shared" si="43"/>
        <v>0</v>
      </c>
      <c r="V110" s="470">
        <v>3.5000000000000003E-2</v>
      </c>
      <c r="W110" s="449">
        <f t="shared" si="35"/>
        <v>0</v>
      </c>
      <c r="X110" s="450">
        <f t="shared" si="36"/>
        <v>0</v>
      </c>
      <c r="Y110" s="969"/>
      <c r="Z110" s="969"/>
      <c r="AA110" s="969"/>
      <c r="AB110" s="970">
        <f t="shared" si="37"/>
        <v>0</v>
      </c>
      <c r="AC110" s="970">
        <f t="shared" si="38"/>
        <v>0</v>
      </c>
      <c r="AD110" s="451">
        <f t="shared" si="46"/>
        <v>0</v>
      </c>
    </row>
    <row r="111" spans="1:30" ht="80.099999999999994" hidden="1" customHeight="1" thickBot="1">
      <c r="A111" s="446"/>
      <c r="B111" s="447"/>
      <c r="C111" s="448"/>
      <c r="D111" s="448"/>
      <c r="E111" s="448"/>
      <c r="F111" s="449"/>
      <c r="G111" s="449"/>
      <c r="H111" s="449"/>
      <c r="I111" s="449">
        <f t="shared" si="33"/>
        <v>0</v>
      </c>
      <c r="J111" s="449">
        <f t="shared" si="44"/>
        <v>0</v>
      </c>
      <c r="K111" s="512">
        <f t="shared" si="48"/>
        <v>0</v>
      </c>
      <c r="L111" s="512">
        <f t="shared" si="39"/>
        <v>0</v>
      </c>
      <c r="M111" s="449">
        <f t="shared" si="49"/>
        <v>0</v>
      </c>
      <c r="N111" s="449">
        <f t="shared" si="47"/>
        <v>0</v>
      </c>
      <c r="O111" s="449">
        <f t="shared" si="34"/>
        <v>0</v>
      </c>
      <c r="P111" s="449">
        <f t="shared" si="40"/>
        <v>0</v>
      </c>
      <c r="Q111" s="449">
        <f t="shared" si="41"/>
        <v>0</v>
      </c>
      <c r="R111" s="449">
        <f t="shared" si="45"/>
        <v>0</v>
      </c>
      <c r="S111" s="449"/>
      <c r="T111" s="449">
        <f t="shared" si="42"/>
        <v>0</v>
      </c>
      <c r="U111" s="449">
        <f t="shared" si="43"/>
        <v>0</v>
      </c>
      <c r="V111" s="470">
        <v>3.5000000000000003E-2</v>
      </c>
      <c r="W111" s="449">
        <f t="shared" si="35"/>
        <v>0</v>
      </c>
      <c r="X111" s="450">
        <f t="shared" si="36"/>
        <v>0</v>
      </c>
      <c r="Y111" s="969"/>
      <c r="Z111" s="969"/>
      <c r="AA111" s="969"/>
      <c r="AB111" s="970">
        <f t="shared" si="37"/>
        <v>0</v>
      </c>
      <c r="AC111" s="970">
        <f t="shared" si="38"/>
        <v>0</v>
      </c>
      <c r="AD111" s="451">
        <f t="shared" si="46"/>
        <v>0</v>
      </c>
    </row>
    <row r="112" spans="1:30" ht="80.099999999999994" hidden="1" customHeight="1" thickBot="1">
      <c r="A112" s="446"/>
      <c r="B112" s="447"/>
      <c r="C112" s="448"/>
      <c r="D112" s="448"/>
      <c r="E112" s="448"/>
      <c r="F112" s="449"/>
      <c r="G112" s="449"/>
      <c r="H112" s="449"/>
      <c r="I112" s="449">
        <f t="shared" si="33"/>
        <v>0</v>
      </c>
      <c r="J112" s="449">
        <f t="shared" si="44"/>
        <v>0</v>
      </c>
      <c r="K112" s="512">
        <f t="shared" si="48"/>
        <v>0</v>
      </c>
      <c r="L112" s="512">
        <f t="shared" si="39"/>
        <v>0</v>
      </c>
      <c r="M112" s="449">
        <f t="shared" si="49"/>
        <v>0</v>
      </c>
      <c r="N112" s="449">
        <f t="shared" si="47"/>
        <v>0</v>
      </c>
      <c r="O112" s="449">
        <f t="shared" si="34"/>
        <v>0</v>
      </c>
      <c r="P112" s="449">
        <f t="shared" si="40"/>
        <v>0</v>
      </c>
      <c r="Q112" s="449">
        <f t="shared" si="41"/>
        <v>0</v>
      </c>
      <c r="R112" s="449">
        <f t="shared" si="45"/>
        <v>0</v>
      </c>
      <c r="S112" s="449"/>
      <c r="T112" s="449">
        <f t="shared" si="42"/>
        <v>0</v>
      </c>
      <c r="U112" s="449">
        <f t="shared" si="43"/>
        <v>0</v>
      </c>
      <c r="V112" s="470">
        <v>3.5000000000000003E-2</v>
      </c>
      <c r="W112" s="449">
        <f t="shared" si="35"/>
        <v>0</v>
      </c>
      <c r="X112" s="450">
        <f t="shared" si="36"/>
        <v>0</v>
      </c>
      <c r="Y112" s="969"/>
      <c r="Z112" s="969"/>
      <c r="AA112" s="969"/>
      <c r="AB112" s="970">
        <f t="shared" si="37"/>
        <v>0</v>
      </c>
      <c r="AC112" s="970">
        <f t="shared" si="38"/>
        <v>0</v>
      </c>
      <c r="AD112" s="451">
        <f t="shared" si="46"/>
        <v>0</v>
      </c>
    </row>
    <row r="113" spans="1:30" ht="80.099999999999994" hidden="1" customHeight="1" thickBot="1">
      <c r="A113" s="446"/>
      <c r="B113" s="447"/>
      <c r="C113" s="448"/>
      <c r="D113" s="448"/>
      <c r="E113" s="448"/>
      <c r="F113" s="449"/>
      <c r="G113" s="449"/>
      <c r="H113" s="449"/>
      <c r="I113" s="449">
        <f t="shared" si="33"/>
        <v>0</v>
      </c>
      <c r="J113" s="449">
        <f t="shared" si="44"/>
        <v>0</v>
      </c>
      <c r="K113" s="512">
        <f t="shared" si="48"/>
        <v>0</v>
      </c>
      <c r="L113" s="512">
        <f t="shared" si="39"/>
        <v>0</v>
      </c>
      <c r="M113" s="449">
        <f t="shared" si="49"/>
        <v>0</v>
      </c>
      <c r="N113" s="449">
        <f t="shared" si="47"/>
        <v>0</v>
      </c>
      <c r="O113" s="449">
        <f t="shared" si="34"/>
        <v>0</v>
      </c>
      <c r="P113" s="449">
        <f t="shared" si="40"/>
        <v>0</v>
      </c>
      <c r="Q113" s="449">
        <f t="shared" si="41"/>
        <v>0</v>
      </c>
      <c r="R113" s="449">
        <f t="shared" si="45"/>
        <v>0</v>
      </c>
      <c r="S113" s="449"/>
      <c r="T113" s="449">
        <f t="shared" si="42"/>
        <v>0</v>
      </c>
      <c r="U113" s="449">
        <f t="shared" si="43"/>
        <v>0</v>
      </c>
      <c r="V113" s="470">
        <v>3.5000000000000003E-2</v>
      </c>
      <c r="W113" s="449">
        <f t="shared" si="35"/>
        <v>0</v>
      </c>
      <c r="X113" s="450">
        <f t="shared" si="36"/>
        <v>0</v>
      </c>
      <c r="Y113" s="969"/>
      <c r="Z113" s="969"/>
      <c r="AA113" s="969"/>
      <c r="AB113" s="970">
        <f t="shared" si="37"/>
        <v>0</v>
      </c>
      <c r="AC113" s="970">
        <f t="shared" si="38"/>
        <v>0</v>
      </c>
      <c r="AD113" s="451">
        <f t="shared" si="46"/>
        <v>0</v>
      </c>
    </row>
    <row r="114" spans="1:30" ht="80.099999999999994" hidden="1" customHeight="1" thickBot="1">
      <c r="A114" s="446"/>
      <c r="B114" s="447"/>
      <c r="C114" s="448"/>
      <c r="D114" s="448"/>
      <c r="E114" s="448"/>
      <c r="F114" s="449"/>
      <c r="G114" s="449"/>
      <c r="H114" s="449"/>
      <c r="I114" s="449">
        <f t="shared" si="33"/>
        <v>0</v>
      </c>
      <c r="J114" s="449">
        <f t="shared" si="44"/>
        <v>0</v>
      </c>
      <c r="K114" s="512">
        <f t="shared" si="48"/>
        <v>0</v>
      </c>
      <c r="L114" s="512">
        <f t="shared" si="39"/>
        <v>0</v>
      </c>
      <c r="M114" s="449">
        <f t="shared" si="49"/>
        <v>0</v>
      </c>
      <c r="N114" s="449">
        <f t="shared" si="47"/>
        <v>0</v>
      </c>
      <c r="O114" s="449">
        <f t="shared" si="34"/>
        <v>0</v>
      </c>
      <c r="P114" s="449">
        <f t="shared" ref="P114:P125" si="50">C114*2</f>
        <v>0</v>
      </c>
      <c r="Q114" s="449">
        <f t="shared" ref="Q114:Q125" si="51">C114*2</f>
        <v>0</v>
      </c>
      <c r="R114" s="449">
        <f t="shared" si="45"/>
        <v>0</v>
      </c>
      <c r="S114" s="449"/>
      <c r="T114" s="449">
        <f t="shared" ref="T114:T125" si="52">C114*(F114-0.43*2)</f>
        <v>0</v>
      </c>
      <c r="U114" s="449">
        <f t="shared" ref="U114:U125" si="53">C114*(F114-0.43*2)</f>
        <v>0</v>
      </c>
      <c r="V114" s="470">
        <v>3.5000000000000003E-2</v>
      </c>
      <c r="W114" s="449">
        <f t="shared" si="35"/>
        <v>0</v>
      </c>
      <c r="X114" s="450">
        <f t="shared" si="36"/>
        <v>0</v>
      </c>
      <c r="Y114" s="969"/>
      <c r="Z114" s="969"/>
      <c r="AA114" s="969"/>
      <c r="AB114" s="970">
        <f t="shared" si="37"/>
        <v>0</v>
      </c>
      <c r="AC114" s="970">
        <f t="shared" si="38"/>
        <v>0</v>
      </c>
      <c r="AD114" s="451">
        <f t="shared" si="46"/>
        <v>0</v>
      </c>
    </row>
    <row r="115" spans="1:30" ht="80.099999999999994" hidden="1" customHeight="1" thickBot="1">
      <c r="A115" s="446"/>
      <c r="B115" s="447"/>
      <c r="C115" s="448"/>
      <c r="D115" s="448"/>
      <c r="E115" s="448"/>
      <c r="F115" s="449"/>
      <c r="G115" s="449"/>
      <c r="H115" s="449"/>
      <c r="I115" s="449">
        <f t="shared" si="33"/>
        <v>0</v>
      </c>
      <c r="J115" s="449">
        <f t="shared" si="44"/>
        <v>0</v>
      </c>
      <c r="K115" s="512">
        <f t="shared" si="48"/>
        <v>0</v>
      </c>
      <c r="L115" s="512">
        <f t="shared" si="39"/>
        <v>0</v>
      </c>
      <c r="M115" s="449">
        <f t="shared" si="49"/>
        <v>0</v>
      </c>
      <c r="N115" s="449">
        <f t="shared" si="47"/>
        <v>0</v>
      </c>
      <c r="O115" s="449">
        <f t="shared" si="34"/>
        <v>0</v>
      </c>
      <c r="P115" s="449">
        <f t="shared" si="50"/>
        <v>0</v>
      </c>
      <c r="Q115" s="449">
        <f t="shared" si="51"/>
        <v>0</v>
      </c>
      <c r="R115" s="449">
        <f t="shared" si="45"/>
        <v>0</v>
      </c>
      <c r="S115" s="449"/>
      <c r="T115" s="449">
        <f t="shared" si="52"/>
        <v>0</v>
      </c>
      <c r="U115" s="449">
        <f t="shared" si="53"/>
        <v>0</v>
      </c>
      <c r="V115" s="470">
        <v>3.5000000000000003E-2</v>
      </c>
      <c r="W115" s="449">
        <f t="shared" si="35"/>
        <v>0</v>
      </c>
      <c r="X115" s="450">
        <f t="shared" si="36"/>
        <v>0</v>
      </c>
      <c r="Y115" s="969"/>
      <c r="Z115" s="969"/>
      <c r="AA115" s="969"/>
      <c r="AB115" s="970">
        <f t="shared" si="37"/>
        <v>0</v>
      </c>
      <c r="AC115" s="970">
        <f t="shared" si="38"/>
        <v>0</v>
      </c>
      <c r="AD115" s="451">
        <f t="shared" si="46"/>
        <v>0</v>
      </c>
    </row>
    <row r="116" spans="1:30" ht="80.099999999999994" hidden="1" customHeight="1" thickBot="1">
      <c r="A116" s="446"/>
      <c r="B116" s="447"/>
      <c r="C116" s="448"/>
      <c r="D116" s="448"/>
      <c r="E116" s="448"/>
      <c r="F116" s="449"/>
      <c r="G116" s="449"/>
      <c r="H116" s="449"/>
      <c r="I116" s="449">
        <f t="shared" si="33"/>
        <v>0</v>
      </c>
      <c r="J116" s="449">
        <f t="shared" ref="J116:J125" si="54">I116*70%</f>
        <v>0</v>
      </c>
      <c r="K116" s="512">
        <f t="shared" si="48"/>
        <v>0</v>
      </c>
      <c r="L116" s="512">
        <f t="shared" si="39"/>
        <v>0</v>
      </c>
      <c r="M116" s="449">
        <f t="shared" si="49"/>
        <v>0</v>
      </c>
      <c r="N116" s="449">
        <f t="shared" si="47"/>
        <v>0</v>
      </c>
      <c r="O116" s="449">
        <f t="shared" si="34"/>
        <v>0</v>
      </c>
      <c r="P116" s="449">
        <f t="shared" si="50"/>
        <v>0</v>
      </c>
      <c r="Q116" s="449">
        <f t="shared" si="51"/>
        <v>0</v>
      </c>
      <c r="R116" s="449">
        <f t="shared" ref="R116:R125" si="55">I116+O116</f>
        <v>0</v>
      </c>
      <c r="S116" s="449"/>
      <c r="T116" s="449">
        <f t="shared" si="52"/>
        <v>0</v>
      </c>
      <c r="U116" s="449">
        <f t="shared" si="53"/>
        <v>0</v>
      </c>
      <c r="V116" s="470">
        <v>3.5000000000000003E-2</v>
      </c>
      <c r="W116" s="449">
        <f t="shared" si="35"/>
        <v>0</v>
      </c>
      <c r="X116" s="450">
        <f t="shared" si="36"/>
        <v>0</v>
      </c>
      <c r="Y116" s="969"/>
      <c r="Z116" s="969"/>
      <c r="AA116" s="969"/>
      <c r="AB116" s="970">
        <f t="shared" si="37"/>
        <v>0</v>
      </c>
      <c r="AC116" s="970">
        <f t="shared" si="38"/>
        <v>0</v>
      </c>
      <c r="AD116" s="451">
        <f t="shared" ref="AD116:AD125" si="56">C116*F116*15%</f>
        <v>0</v>
      </c>
    </row>
    <row r="117" spans="1:30" ht="80.099999999999994" hidden="1" customHeight="1" thickBot="1">
      <c r="A117" s="446"/>
      <c r="B117" s="447"/>
      <c r="C117" s="448"/>
      <c r="D117" s="448"/>
      <c r="E117" s="448"/>
      <c r="F117" s="449"/>
      <c r="G117" s="449"/>
      <c r="H117" s="449"/>
      <c r="I117" s="449">
        <f t="shared" si="33"/>
        <v>0</v>
      </c>
      <c r="J117" s="449">
        <f t="shared" si="54"/>
        <v>0</v>
      </c>
      <c r="K117" s="512">
        <f t="shared" si="48"/>
        <v>0</v>
      </c>
      <c r="L117" s="512">
        <f t="shared" si="39"/>
        <v>0</v>
      </c>
      <c r="M117" s="449">
        <f t="shared" si="49"/>
        <v>0</v>
      </c>
      <c r="N117" s="449">
        <f t="shared" si="47"/>
        <v>0</v>
      </c>
      <c r="O117" s="449">
        <f t="shared" si="34"/>
        <v>0</v>
      </c>
      <c r="P117" s="449">
        <f t="shared" si="50"/>
        <v>0</v>
      </c>
      <c r="Q117" s="449">
        <f t="shared" si="51"/>
        <v>0</v>
      </c>
      <c r="R117" s="449">
        <f t="shared" si="55"/>
        <v>0</v>
      </c>
      <c r="S117" s="449"/>
      <c r="T117" s="449">
        <f t="shared" si="52"/>
        <v>0</v>
      </c>
      <c r="U117" s="449">
        <f t="shared" si="53"/>
        <v>0</v>
      </c>
      <c r="V117" s="470">
        <v>3.5000000000000003E-2</v>
      </c>
      <c r="W117" s="449">
        <f t="shared" si="35"/>
        <v>0</v>
      </c>
      <c r="X117" s="450">
        <f t="shared" si="36"/>
        <v>0</v>
      </c>
      <c r="Y117" s="969"/>
      <c r="Z117" s="969"/>
      <c r="AA117" s="969"/>
      <c r="AB117" s="970">
        <f t="shared" si="37"/>
        <v>0</v>
      </c>
      <c r="AC117" s="970">
        <f t="shared" si="38"/>
        <v>0</v>
      </c>
      <c r="AD117" s="451">
        <f t="shared" si="56"/>
        <v>0</v>
      </c>
    </row>
    <row r="118" spans="1:30" ht="80.099999999999994" hidden="1" customHeight="1" thickBot="1">
      <c r="A118" s="446"/>
      <c r="B118" s="447"/>
      <c r="C118" s="448"/>
      <c r="D118" s="448"/>
      <c r="E118" s="448"/>
      <c r="F118" s="449"/>
      <c r="G118" s="449"/>
      <c r="H118" s="449"/>
      <c r="I118" s="449">
        <f t="shared" si="33"/>
        <v>0</v>
      </c>
      <c r="J118" s="449">
        <f t="shared" si="54"/>
        <v>0</v>
      </c>
      <c r="K118" s="512">
        <f t="shared" si="48"/>
        <v>0</v>
      </c>
      <c r="L118" s="512">
        <f t="shared" si="39"/>
        <v>0</v>
      </c>
      <c r="M118" s="449">
        <f t="shared" si="49"/>
        <v>0</v>
      </c>
      <c r="N118" s="449">
        <f t="shared" si="47"/>
        <v>0</v>
      </c>
      <c r="O118" s="449">
        <f t="shared" si="34"/>
        <v>0</v>
      </c>
      <c r="P118" s="449">
        <f t="shared" si="50"/>
        <v>0</v>
      </c>
      <c r="Q118" s="449">
        <f t="shared" si="51"/>
        <v>0</v>
      </c>
      <c r="R118" s="449">
        <f t="shared" si="55"/>
        <v>0</v>
      </c>
      <c r="S118" s="449"/>
      <c r="T118" s="449">
        <f t="shared" si="52"/>
        <v>0</v>
      </c>
      <c r="U118" s="449">
        <f t="shared" si="53"/>
        <v>0</v>
      </c>
      <c r="V118" s="470">
        <v>3.5000000000000003E-2</v>
      </c>
      <c r="W118" s="449">
        <f t="shared" si="35"/>
        <v>0</v>
      </c>
      <c r="X118" s="450">
        <f t="shared" si="36"/>
        <v>0</v>
      </c>
      <c r="Y118" s="969"/>
      <c r="Z118" s="969"/>
      <c r="AA118" s="969"/>
      <c r="AB118" s="970">
        <f t="shared" si="37"/>
        <v>0</v>
      </c>
      <c r="AC118" s="970">
        <f t="shared" si="38"/>
        <v>0</v>
      </c>
      <c r="AD118" s="451">
        <f t="shared" si="56"/>
        <v>0</v>
      </c>
    </row>
    <row r="119" spans="1:30" ht="80.099999999999994" hidden="1" customHeight="1" thickBot="1">
      <c r="A119" s="446"/>
      <c r="B119" s="447"/>
      <c r="C119" s="448"/>
      <c r="D119" s="448"/>
      <c r="E119" s="448"/>
      <c r="F119" s="449"/>
      <c r="G119" s="449"/>
      <c r="H119" s="449"/>
      <c r="I119" s="449">
        <f t="shared" si="33"/>
        <v>0</v>
      </c>
      <c r="J119" s="449">
        <f t="shared" si="54"/>
        <v>0</v>
      </c>
      <c r="K119" s="512">
        <f t="shared" si="48"/>
        <v>0</v>
      </c>
      <c r="L119" s="512">
        <f t="shared" si="39"/>
        <v>0</v>
      </c>
      <c r="M119" s="449">
        <f t="shared" si="49"/>
        <v>0</v>
      </c>
      <c r="N119" s="449">
        <f t="shared" si="47"/>
        <v>0</v>
      </c>
      <c r="O119" s="449">
        <f t="shared" si="34"/>
        <v>0</v>
      </c>
      <c r="P119" s="449">
        <f t="shared" si="50"/>
        <v>0</v>
      </c>
      <c r="Q119" s="449">
        <f t="shared" si="51"/>
        <v>0</v>
      </c>
      <c r="R119" s="449">
        <f t="shared" si="55"/>
        <v>0</v>
      </c>
      <c r="S119" s="449"/>
      <c r="T119" s="449">
        <f t="shared" si="52"/>
        <v>0</v>
      </c>
      <c r="U119" s="449">
        <f t="shared" si="53"/>
        <v>0</v>
      </c>
      <c r="V119" s="470">
        <v>3.5000000000000003E-2</v>
      </c>
      <c r="W119" s="449">
        <f t="shared" si="35"/>
        <v>0</v>
      </c>
      <c r="X119" s="450">
        <f t="shared" si="36"/>
        <v>0</v>
      </c>
      <c r="Y119" s="969"/>
      <c r="Z119" s="969"/>
      <c r="AA119" s="969"/>
      <c r="AB119" s="970">
        <f t="shared" si="37"/>
        <v>0</v>
      </c>
      <c r="AC119" s="970">
        <f t="shared" si="38"/>
        <v>0</v>
      </c>
      <c r="AD119" s="451">
        <f t="shared" si="56"/>
        <v>0</v>
      </c>
    </row>
    <row r="120" spans="1:30" ht="80.099999999999994" hidden="1" customHeight="1" thickBot="1">
      <c r="A120" s="446"/>
      <c r="B120" s="447"/>
      <c r="C120" s="448"/>
      <c r="D120" s="448"/>
      <c r="E120" s="448"/>
      <c r="F120" s="449"/>
      <c r="G120" s="449"/>
      <c r="H120" s="449"/>
      <c r="I120" s="449">
        <f t="shared" si="33"/>
        <v>0</v>
      </c>
      <c r="J120" s="449">
        <f t="shared" si="54"/>
        <v>0</v>
      </c>
      <c r="K120" s="512">
        <f t="shared" si="48"/>
        <v>0</v>
      </c>
      <c r="L120" s="512">
        <f t="shared" si="39"/>
        <v>0</v>
      </c>
      <c r="M120" s="449">
        <f t="shared" si="49"/>
        <v>0</v>
      </c>
      <c r="N120" s="449">
        <f t="shared" si="47"/>
        <v>0</v>
      </c>
      <c r="O120" s="449">
        <f t="shared" si="34"/>
        <v>0</v>
      </c>
      <c r="P120" s="449">
        <f t="shared" si="50"/>
        <v>0</v>
      </c>
      <c r="Q120" s="449">
        <f t="shared" si="51"/>
        <v>0</v>
      </c>
      <c r="R120" s="449">
        <f t="shared" si="55"/>
        <v>0</v>
      </c>
      <c r="S120" s="449"/>
      <c r="T120" s="449">
        <f t="shared" si="52"/>
        <v>0</v>
      </c>
      <c r="U120" s="449">
        <f t="shared" si="53"/>
        <v>0</v>
      </c>
      <c r="V120" s="470">
        <v>3.5000000000000003E-2</v>
      </c>
      <c r="W120" s="449">
        <f t="shared" si="35"/>
        <v>0</v>
      </c>
      <c r="X120" s="450">
        <f t="shared" si="36"/>
        <v>0</v>
      </c>
      <c r="Y120" s="969"/>
      <c r="Z120" s="969"/>
      <c r="AA120" s="969"/>
      <c r="AB120" s="970">
        <f t="shared" si="37"/>
        <v>0</v>
      </c>
      <c r="AC120" s="970">
        <f t="shared" si="38"/>
        <v>0</v>
      </c>
      <c r="AD120" s="451">
        <f t="shared" si="56"/>
        <v>0</v>
      </c>
    </row>
    <row r="121" spans="1:30" ht="80.099999999999994" hidden="1" customHeight="1" thickBot="1">
      <c r="A121" s="446"/>
      <c r="B121" s="447"/>
      <c r="C121" s="448"/>
      <c r="D121" s="448"/>
      <c r="E121" s="448"/>
      <c r="F121" s="449"/>
      <c r="G121" s="449"/>
      <c r="H121" s="449"/>
      <c r="I121" s="449">
        <f t="shared" si="33"/>
        <v>0</v>
      </c>
      <c r="J121" s="449">
        <f t="shared" si="54"/>
        <v>0</v>
      </c>
      <c r="K121" s="512">
        <f t="shared" si="48"/>
        <v>0</v>
      </c>
      <c r="L121" s="512">
        <f t="shared" si="39"/>
        <v>0</v>
      </c>
      <c r="M121" s="449">
        <f t="shared" si="49"/>
        <v>0</v>
      </c>
      <c r="N121" s="449">
        <f t="shared" si="47"/>
        <v>0</v>
      </c>
      <c r="O121" s="449">
        <f t="shared" si="34"/>
        <v>0</v>
      </c>
      <c r="P121" s="449">
        <f t="shared" si="50"/>
        <v>0</v>
      </c>
      <c r="Q121" s="449">
        <f t="shared" si="51"/>
        <v>0</v>
      </c>
      <c r="R121" s="449">
        <f t="shared" si="55"/>
        <v>0</v>
      </c>
      <c r="S121" s="449"/>
      <c r="T121" s="449">
        <f t="shared" si="52"/>
        <v>0</v>
      </c>
      <c r="U121" s="449">
        <f t="shared" si="53"/>
        <v>0</v>
      </c>
      <c r="V121" s="470">
        <v>3.5000000000000003E-2</v>
      </c>
      <c r="W121" s="449">
        <f t="shared" si="35"/>
        <v>0</v>
      </c>
      <c r="X121" s="450">
        <f t="shared" si="36"/>
        <v>0</v>
      </c>
      <c r="Y121" s="969"/>
      <c r="Z121" s="969"/>
      <c r="AA121" s="969"/>
      <c r="AB121" s="970">
        <f t="shared" si="37"/>
        <v>0</v>
      </c>
      <c r="AC121" s="970">
        <f t="shared" si="38"/>
        <v>0</v>
      </c>
      <c r="AD121" s="451">
        <f t="shared" si="56"/>
        <v>0</v>
      </c>
    </row>
    <row r="122" spans="1:30" ht="80.099999999999994" hidden="1" customHeight="1" thickBot="1">
      <c r="A122" s="446"/>
      <c r="B122" s="447"/>
      <c r="C122" s="448"/>
      <c r="D122" s="448"/>
      <c r="E122" s="448"/>
      <c r="F122" s="449"/>
      <c r="G122" s="449"/>
      <c r="H122" s="449"/>
      <c r="I122" s="449">
        <f t="shared" si="33"/>
        <v>0</v>
      </c>
      <c r="J122" s="449">
        <f t="shared" si="54"/>
        <v>0</v>
      </c>
      <c r="K122" s="512">
        <f t="shared" si="48"/>
        <v>0</v>
      </c>
      <c r="L122" s="512">
        <f t="shared" si="39"/>
        <v>0</v>
      </c>
      <c r="M122" s="449">
        <f t="shared" si="49"/>
        <v>0</v>
      </c>
      <c r="N122" s="449">
        <f t="shared" si="47"/>
        <v>0</v>
      </c>
      <c r="O122" s="449">
        <f t="shared" si="34"/>
        <v>0</v>
      </c>
      <c r="P122" s="449">
        <f t="shared" si="50"/>
        <v>0</v>
      </c>
      <c r="Q122" s="449">
        <f t="shared" si="51"/>
        <v>0</v>
      </c>
      <c r="R122" s="449">
        <f t="shared" si="55"/>
        <v>0</v>
      </c>
      <c r="S122" s="449"/>
      <c r="T122" s="449">
        <f t="shared" si="52"/>
        <v>0</v>
      </c>
      <c r="U122" s="449">
        <f t="shared" si="53"/>
        <v>0</v>
      </c>
      <c r="V122" s="470">
        <v>3.5000000000000003E-2</v>
      </c>
      <c r="W122" s="449">
        <f t="shared" si="35"/>
        <v>0</v>
      </c>
      <c r="X122" s="450">
        <f t="shared" si="36"/>
        <v>0</v>
      </c>
      <c r="Y122" s="969"/>
      <c r="Z122" s="969"/>
      <c r="AA122" s="969"/>
      <c r="AB122" s="970">
        <f t="shared" si="37"/>
        <v>0</v>
      </c>
      <c r="AC122" s="970">
        <f t="shared" si="38"/>
        <v>0</v>
      </c>
      <c r="AD122" s="451">
        <f t="shared" si="56"/>
        <v>0</v>
      </c>
    </row>
    <row r="123" spans="1:30" ht="80.099999999999994" hidden="1" customHeight="1" thickBot="1">
      <c r="A123" s="446"/>
      <c r="B123" s="447"/>
      <c r="C123" s="448"/>
      <c r="D123" s="448"/>
      <c r="E123" s="448"/>
      <c r="F123" s="449"/>
      <c r="G123" s="449"/>
      <c r="H123" s="449"/>
      <c r="I123" s="449">
        <f t="shared" si="33"/>
        <v>0</v>
      </c>
      <c r="J123" s="449">
        <f t="shared" si="54"/>
        <v>0</v>
      </c>
      <c r="K123" s="512">
        <f t="shared" si="48"/>
        <v>0</v>
      </c>
      <c r="L123" s="512">
        <f t="shared" si="39"/>
        <v>0</v>
      </c>
      <c r="M123" s="449">
        <f t="shared" si="49"/>
        <v>0</v>
      </c>
      <c r="N123" s="449">
        <f t="shared" si="47"/>
        <v>0</v>
      </c>
      <c r="O123" s="449">
        <f t="shared" si="34"/>
        <v>0</v>
      </c>
      <c r="P123" s="449">
        <f t="shared" si="50"/>
        <v>0</v>
      </c>
      <c r="Q123" s="449">
        <f t="shared" si="51"/>
        <v>0</v>
      </c>
      <c r="R123" s="449">
        <f t="shared" si="55"/>
        <v>0</v>
      </c>
      <c r="S123" s="449"/>
      <c r="T123" s="449">
        <f t="shared" si="52"/>
        <v>0</v>
      </c>
      <c r="U123" s="449">
        <f t="shared" si="53"/>
        <v>0</v>
      </c>
      <c r="V123" s="470">
        <v>3.5000000000000003E-2</v>
      </c>
      <c r="W123" s="449">
        <f t="shared" si="35"/>
        <v>0</v>
      </c>
      <c r="X123" s="450">
        <f t="shared" si="36"/>
        <v>0</v>
      </c>
      <c r="Y123" s="969"/>
      <c r="Z123" s="969"/>
      <c r="AA123" s="969"/>
      <c r="AB123" s="970">
        <f t="shared" si="37"/>
        <v>0</v>
      </c>
      <c r="AC123" s="970">
        <f t="shared" si="38"/>
        <v>0</v>
      </c>
      <c r="AD123" s="451">
        <f t="shared" si="56"/>
        <v>0</v>
      </c>
    </row>
    <row r="124" spans="1:30" ht="80.099999999999994" hidden="1" customHeight="1" thickBot="1">
      <c r="A124" s="446"/>
      <c r="B124" s="447"/>
      <c r="C124" s="448"/>
      <c r="D124" s="448"/>
      <c r="E124" s="448"/>
      <c r="F124" s="449"/>
      <c r="G124" s="449"/>
      <c r="H124" s="449"/>
      <c r="I124" s="449">
        <f>M124*$I$17</f>
        <v>0</v>
      </c>
      <c r="J124" s="449">
        <f t="shared" si="54"/>
        <v>0</v>
      </c>
      <c r="K124" s="512">
        <f t="shared" si="48"/>
        <v>0</v>
      </c>
      <c r="L124" s="512">
        <f t="shared" si="39"/>
        <v>0</v>
      </c>
      <c r="M124" s="449">
        <f t="shared" si="49"/>
        <v>0</v>
      </c>
      <c r="N124" s="449">
        <f t="shared" si="47"/>
        <v>0</v>
      </c>
      <c r="O124" s="449">
        <f>Q124*0.43*0.1</f>
        <v>0</v>
      </c>
      <c r="P124" s="449">
        <f t="shared" si="50"/>
        <v>0</v>
      </c>
      <c r="Q124" s="449">
        <f t="shared" si="51"/>
        <v>0</v>
      </c>
      <c r="R124" s="449">
        <f t="shared" si="55"/>
        <v>0</v>
      </c>
      <c r="S124" s="449"/>
      <c r="T124" s="449">
        <f t="shared" si="52"/>
        <v>0</v>
      </c>
      <c r="U124" s="449">
        <f t="shared" si="53"/>
        <v>0</v>
      </c>
      <c r="V124" s="470">
        <v>3.5000000000000003E-2</v>
      </c>
      <c r="W124" s="449">
        <f>U124*V124</f>
        <v>0</v>
      </c>
      <c r="X124" s="450">
        <f>W124*$X$17</f>
        <v>0</v>
      </c>
      <c r="Y124" s="969"/>
      <c r="Z124" s="969"/>
      <c r="AA124" s="969"/>
      <c r="AB124" s="970">
        <f>(Y124+AA124)*0.05+Z124</f>
        <v>0</v>
      </c>
      <c r="AC124" s="970">
        <f>AB124*1.3*$AC$17</f>
        <v>0</v>
      </c>
      <c r="AD124" s="451">
        <f t="shared" si="56"/>
        <v>0</v>
      </c>
    </row>
    <row r="125" spans="1:30" ht="80.099999999999994" hidden="1" customHeight="1" thickBot="1">
      <c r="A125" s="446"/>
      <c r="B125" s="447"/>
      <c r="C125" s="448"/>
      <c r="D125" s="448"/>
      <c r="E125" s="448"/>
      <c r="F125" s="449"/>
      <c r="G125" s="449"/>
      <c r="H125" s="449"/>
      <c r="I125" s="449">
        <f>M125*$I$17</f>
        <v>0</v>
      </c>
      <c r="J125" s="449">
        <f t="shared" si="54"/>
        <v>0</v>
      </c>
      <c r="K125" s="512">
        <f t="shared" si="48"/>
        <v>0</v>
      </c>
      <c r="L125" s="512">
        <f t="shared" si="39"/>
        <v>0</v>
      </c>
      <c r="M125" s="449">
        <f t="shared" si="49"/>
        <v>0</v>
      </c>
      <c r="N125" s="449">
        <f t="shared" si="47"/>
        <v>0</v>
      </c>
      <c r="O125" s="449">
        <f>Q125*0.43*0.1</f>
        <v>0</v>
      </c>
      <c r="P125" s="449">
        <f t="shared" si="50"/>
        <v>0</v>
      </c>
      <c r="Q125" s="449">
        <f t="shared" si="51"/>
        <v>0</v>
      </c>
      <c r="R125" s="449">
        <f t="shared" si="55"/>
        <v>0</v>
      </c>
      <c r="S125" s="449"/>
      <c r="T125" s="449">
        <f t="shared" si="52"/>
        <v>0</v>
      </c>
      <c r="U125" s="449">
        <f t="shared" si="53"/>
        <v>0</v>
      </c>
      <c r="V125" s="470">
        <v>3.5000000000000003E-2</v>
      </c>
      <c r="W125" s="449">
        <f>U125*V125</f>
        <v>0</v>
      </c>
      <c r="X125" s="450">
        <f>W125*$X$17</f>
        <v>0</v>
      </c>
      <c r="Y125" s="969"/>
      <c r="Z125" s="969"/>
      <c r="AA125" s="969"/>
      <c r="AB125" s="970">
        <f>(Y125+AA125)*0.05+Z125</f>
        <v>0</v>
      </c>
      <c r="AC125" s="970">
        <f>AB125*1.3*$AC$17</f>
        <v>0</v>
      </c>
      <c r="AD125" s="451">
        <f t="shared" si="56"/>
        <v>0</v>
      </c>
    </row>
    <row r="126" spans="1:30" s="349" customFormat="1" ht="80.099999999999994" customHeight="1" thickBot="1">
      <c r="A126" s="1745" t="s">
        <v>317</v>
      </c>
      <c r="B126" s="1746"/>
      <c r="C126" s="452">
        <f>SUM(C20:C49)</f>
        <v>6585.35</v>
      </c>
      <c r="D126" s="452"/>
      <c r="E126" s="452"/>
      <c r="F126" s="452"/>
      <c r="G126" s="452"/>
      <c r="H126" s="452"/>
      <c r="I126" s="452">
        <f t="shared" ref="I126:N126" si="57">SUM(I20:I49)</f>
        <v>129.61000000000001</v>
      </c>
      <c r="J126" s="452">
        <f t="shared" si="57"/>
        <v>90.74</v>
      </c>
      <c r="K126" s="452">
        <f t="shared" si="57"/>
        <v>3538.86</v>
      </c>
      <c r="L126" s="452">
        <f t="shared" si="57"/>
        <v>861.12</v>
      </c>
      <c r="M126" s="452">
        <f t="shared" si="57"/>
        <v>10105.280000000001</v>
      </c>
      <c r="N126" s="452">
        <f t="shared" si="57"/>
        <v>1532.75</v>
      </c>
      <c r="O126" s="452">
        <f t="shared" ref="O126:X126" si="58">SUM(O20:O125)</f>
        <v>533.54</v>
      </c>
      <c r="P126" s="452">
        <f t="shared" si="58"/>
        <v>12407.19</v>
      </c>
      <c r="Q126" s="452">
        <f t="shared" si="58"/>
        <v>12407.19</v>
      </c>
      <c r="R126" s="452">
        <f t="shared" si="58"/>
        <v>663.15</v>
      </c>
      <c r="S126" s="452">
        <f t="shared" si="58"/>
        <v>13276.25</v>
      </c>
      <c r="T126" s="452">
        <f t="shared" si="58"/>
        <v>31590.01</v>
      </c>
      <c r="U126" s="452">
        <f t="shared" si="58"/>
        <v>31590.01</v>
      </c>
      <c r="V126" s="452"/>
      <c r="W126" s="452">
        <f t="shared" si="58"/>
        <v>1263.5899999999999</v>
      </c>
      <c r="X126" s="452">
        <f t="shared" si="58"/>
        <v>16932.11</v>
      </c>
      <c r="Y126" s="971">
        <f t="shared" ref="Y126:AD126" si="59">SUM(Y20:Y125)</f>
        <v>0</v>
      </c>
      <c r="Z126" s="971">
        <f t="shared" si="59"/>
        <v>0</v>
      </c>
      <c r="AA126" s="971">
        <f t="shared" si="59"/>
        <v>0</v>
      </c>
      <c r="AB126" s="971">
        <f t="shared" si="59"/>
        <v>0</v>
      </c>
      <c r="AC126" s="971">
        <f t="shared" si="59"/>
        <v>0</v>
      </c>
      <c r="AD126" s="452">
        <f t="shared" si="59"/>
        <v>4738.54</v>
      </c>
    </row>
    <row r="127" spans="1:30" s="349" customFormat="1" ht="20.100000000000001" customHeight="1">
      <c r="B127" s="361"/>
      <c r="C127" s="361"/>
      <c r="D127" s="361"/>
      <c r="E127" s="361"/>
      <c r="F127" s="361"/>
      <c r="G127" s="361"/>
      <c r="H127" s="361"/>
      <c r="I127" s="361"/>
      <c r="J127" s="361"/>
      <c r="K127" s="361"/>
      <c r="L127" s="361"/>
      <c r="M127" s="361"/>
      <c r="N127" s="361"/>
      <c r="O127" s="361"/>
      <c r="P127" s="361"/>
      <c r="Q127" s="361"/>
      <c r="R127" s="361"/>
      <c r="S127" s="361"/>
      <c r="T127" s="361"/>
      <c r="U127" s="361"/>
      <c r="V127" s="361"/>
      <c r="W127" s="361"/>
      <c r="X127" s="361"/>
      <c r="Y127" s="957"/>
      <c r="Z127" s="957"/>
      <c r="AA127" s="957"/>
      <c r="AB127" s="957"/>
      <c r="AC127" s="957"/>
      <c r="AD127" s="361"/>
    </row>
    <row r="128" spans="1:30" s="349" customFormat="1" ht="20.100000000000001" customHeight="1">
      <c r="B128" s="361"/>
      <c r="C128" s="361"/>
      <c r="D128" s="361"/>
      <c r="E128" s="361"/>
      <c r="F128" s="361"/>
      <c r="G128" s="361"/>
      <c r="H128" s="361"/>
      <c r="I128" s="361"/>
      <c r="J128" s="361"/>
      <c r="K128" s="361"/>
      <c r="L128" s="361"/>
      <c r="M128" s="361"/>
      <c r="N128" s="361"/>
      <c r="O128" s="361"/>
      <c r="P128" s="361"/>
      <c r="Q128" s="361"/>
      <c r="R128" s="361"/>
      <c r="S128" s="361"/>
      <c r="T128" s="361"/>
      <c r="U128" s="361"/>
      <c r="V128" s="361"/>
      <c r="W128" s="361"/>
      <c r="X128" s="361"/>
      <c r="Y128" s="957"/>
      <c r="Z128" s="957"/>
      <c r="AA128" s="957"/>
      <c r="AB128" s="957"/>
      <c r="AC128" s="957"/>
      <c r="AD128" s="361"/>
    </row>
    <row r="129" spans="2:30" s="349" customFormat="1" ht="38.25">
      <c r="B129" s="361"/>
      <c r="C129" s="361"/>
      <c r="D129" s="361"/>
      <c r="E129" s="361"/>
      <c r="F129" s="1306"/>
      <c r="G129" s="361"/>
      <c r="H129" s="361"/>
      <c r="I129" s="1307"/>
      <c r="J129" s="361"/>
      <c r="K129" s="361"/>
      <c r="L129" s="361"/>
      <c r="M129" s="361"/>
      <c r="N129" s="361"/>
      <c r="O129" s="361"/>
      <c r="P129" s="361"/>
      <c r="Q129" s="361"/>
      <c r="R129" s="361"/>
      <c r="S129" s="361"/>
      <c r="T129" s="361"/>
      <c r="U129" s="361"/>
      <c r="V129" s="361"/>
      <c r="W129" s="361"/>
      <c r="X129" s="361"/>
      <c r="Y129" s="957"/>
      <c r="Z129" s="957"/>
      <c r="AA129" s="957"/>
      <c r="AB129" s="957"/>
      <c r="AC129" s="957"/>
      <c r="AD129" s="361"/>
    </row>
    <row r="130" spans="2:30" s="349" customFormat="1" ht="19.899999999999999" customHeight="1">
      <c r="B130" s="361"/>
      <c r="C130" s="361"/>
      <c r="D130" s="361"/>
      <c r="E130" s="361"/>
      <c r="F130" s="361"/>
      <c r="G130" s="361"/>
      <c r="H130" s="361"/>
      <c r="I130" s="361"/>
      <c r="J130" s="361"/>
      <c r="K130" s="361"/>
      <c r="L130" s="361"/>
      <c r="M130" s="361"/>
      <c r="N130" s="361"/>
      <c r="O130" s="361"/>
      <c r="P130" s="361"/>
      <c r="Q130" s="361"/>
      <c r="R130" s="361"/>
      <c r="S130" s="361"/>
      <c r="T130" s="361"/>
      <c r="U130" s="361"/>
      <c r="V130" s="361"/>
      <c r="W130" s="361"/>
      <c r="X130" s="361"/>
      <c r="Y130" s="957"/>
      <c r="Z130" s="957"/>
      <c r="AA130" s="957"/>
      <c r="AB130" s="957"/>
      <c r="AC130" s="957"/>
      <c r="AD130" s="361"/>
    </row>
    <row r="131" spans="2:30" s="349" customFormat="1" ht="20.100000000000001" customHeight="1">
      <c r="B131" s="361"/>
      <c r="C131" s="361"/>
      <c r="D131" s="361"/>
      <c r="E131" s="361"/>
      <c r="F131" s="361"/>
      <c r="G131" s="361"/>
      <c r="H131" s="361"/>
      <c r="I131" s="361"/>
      <c r="J131" s="361"/>
      <c r="K131" s="361"/>
      <c r="L131" s="361"/>
      <c r="M131" s="361"/>
      <c r="N131" s="361"/>
      <c r="O131" s="361"/>
      <c r="P131" s="361"/>
      <c r="Q131" s="361"/>
      <c r="R131" s="361"/>
      <c r="S131" s="361"/>
      <c r="T131" s="361"/>
      <c r="U131" s="361"/>
      <c r="V131" s="361"/>
      <c r="W131" s="361"/>
      <c r="X131" s="361"/>
      <c r="Y131" s="957"/>
      <c r="Z131" s="957"/>
      <c r="AA131" s="957"/>
      <c r="AB131" s="957"/>
      <c r="AC131" s="957"/>
      <c r="AD131" s="361"/>
    </row>
    <row r="132" spans="2:30" s="349" customFormat="1" ht="20.100000000000001" customHeight="1">
      <c r="B132" s="361"/>
      <c r="C132" s="361"/>
      <c r="D132" s="361"/>
      <c r="E132" s="361"/>
      <c r="F132" s="361"/>
      <c r="G132" s="361"/>
      <c r="H132" s="361"/>
      <c r="I132" s="361"/>
      <c r="J132" s="361"/>
      <c r="K132" s="361"/>
      <c r="L132" s="361"/>
      <c r="M132" s="361"/>
      <c r="N132" s="361"/>
      <c r="O132" s="361"/>
      <c r="P132" s="361"/>
      <c r="Q132" s="361"/>
      <c r="R132" s="361"/>
      <c r="S132" s="361"/>
      <c r="T132" s="361"/>
      <c r="U132" s="361"/>
      <c r="V132" s="361"/>
      <c r="W132" s="361"/>
      <c r="X132" s="361"/>
      <c r="Y132" s="957"/>
      <c r="Z132" s="957"/>
      <c r="AA132" s="957"/>
      <c r="AB132" s="957"/>
      <c r="AC132" s="957"/>
      <c r="AD132" s="361"/>
    </row>
    <row r="133" spans="2:30" s="349" customFormat="1" ht="20.100000000000001" customHeight="1">
      <c r="B133" s="361"/>
      <c r="C133" s="361"/>
      <c r="D133" s="361"/>
      <c r="E133" s="361"/>
      <c r="F133" s="361"/>
      <c r="G133" s="361"/>
      <c r="H133" s="361"/>
      <c r="I133" s="361"/>
      <c r="J133" s="361"/>
      <c r="K133" s="361"/>
      <c r="L133" s="361"/>
      <c r="M133" s="361"/>
      <c r="N133" s="361"/>
      <c r="O133" s="361"/>
      <c r="P133" s="361"/>
      <c r="Q133" s="361"/>
      <c r="R133" s="361"/>
      <c r="S133" s="361"/>
      <c r="T133" s="361"/>
      <c r="U133" s="361"/>
      <c r="V133" s="361"/>
      <c r="W133" s="361"/>
      <c r="X133" s="361"/>
      <c r="Y133" s="957"/>
      <c r="Z133" s="957"/>
      <c r="AA133" s="957"/>
      <c r="AB133" s="957"/>
      <c r="AC133" s="957"/>
      <c r="AD133" s="361"/>
    </row>
    <row r="134" spans="2:30" s="349" customFormat="1" ht="20.100000000000001" customHeight="1">
      <c r="B134" s="361"/>
      <c r="C134" s="361"/>
      <c r="D134" s="361"/>
      <c r="E134" s="361"/>
      <c r="F134" s="361"/>
      <c r="G134" s="361"/>
      <c r="H134" s="361"/>
      <c r="I134" s="361"/>
      <c r="J134" s="361"/>
      <c r="K134" s="361"/>
      <c r="L134" s="361"/>
      <c r="M134" s="361"/>
      <c r="N134" s="361"/>
      <c r="O134" s="361"/>
      <c r="P134" s="361"/>
      <c r="Q134" s="361"/>
      <c r="R134" s="361"/>
      <c r="S134" s="361"/>
      <c r="T134" s="361"/>
      <c r="U134" s="361"/>
      <c r="V134" s="361"/>
      <c r="W134" s="361"/>
      <c r="X134" s="361"/>
      <c r="Y134" s="957"/>
      <c r="Z134" s="957"/>
      <c r="AA134" s="957"/>
      <c r="AB134" s="957"/>
      <c r="AC134" s="957"/>
      <c r="AD134" s="361"/>
    </row>
    <row r="135" spans="2:30" s="349" customFormat="1" ht="20.100000000000001" customHeight="1">
      <c r="B135" s="361"/>
      <c r="C135" s="361"/>
      <c r="D135" s="361"/>
      <c r="E135" s="361"/>
      <c r="F135" s="361"/>
      <c r="G135" s="361"/>
      <c r="H135" s="361"/>
      <c r="I135" s="361"/>
      <c r="J135" s="361"/>
      <c r="K135" s="361"/>
      <c r="L135" s="361"/>
      <c r="M135" s="361"/>
      <c r="N135" s="361"/>
      <c r="O135" s="361"/>
      <c r="P135" s="361"/>
      <c r="Q135" s="361"/>
      <c r="R135" s="361"/>
      <c r="S135" s="361"/>
      <c r="T135" s="361"/>
      <c r="U135" s="361"/>
      <c r="V135" s="361"/>
      <c r="W135" s="361"/>
      <c r="X135" s="361"/>
      <c r="Y135" s="957"/>
      <c r="Z135" s="957"/>
      <c r="AA135" s="957"/>
      <c r="AB135" s="957"/>
      <c r="AC135" s="957"/>
      <c r="AD135" s="361"/>
    </row>
    <row r="136" spans="2:30" s="349" customFormat="1" ht="20.100000000000001" customHeight="1">
      <c r="B136" s="361"/>
      <c r="C136" s="361"/>
      <c r="D136" s="361"/>
      <c r="E136" s="361"/>
      <c r="F136" s="361"/>
      <c r="G136" s="361"/>
      <c r="H136" s="361"/>
      <c r="I136" s="361"/>
      <c r="J136" s="361"/>
      <c r="K136" s="361"/>
      <c r="L136" s="361"/>
      <c r="M136" s="361"/>
      <c r="N136" s="361"/>
      <c r="O136" s="361"/>
      <c r="P136" s="361"/>
      <c r="Q136" s="361"/>
      <c r="R136" s="361"/>
      <c r="S136" s="361"/>
      <c r="T136" s="361"/>
      <c r="U136" s="361"/>
      <c r="V136" s="361"/>
      <c r="W136" s="361"/>
      <c r="X136" s="361"/>
      <c r="Y136" s="957"/>
      <c r="Z136" s="957"/>
      <c r="AA136" s="957"/>
      <c r="AB136" s="957"/>
      <c r="AC136" s="957"/>
      <c r="AD136" s="361"/>
    </row>
    <row r="137" spans="2:30" s="349" customFormat="1" ht="20.100000000000001" customHeight="1">
      <c r="B137" s="361"/>
      <c r="C137" s="361"/>
      <c r="D137" s="361"/>
      <c r="E137" s="361"/>
      <c r="F137" s="361"/>
      <c r="G137" s="361"/>
      <c r="H137" s="361"/>
      <c r="I137" s="361"/>
      <c r="J137" s="361"/>
      <c r="K137" s="361"/>
      <c r="L137" s="361"/>
      <c r="M137" s="361"/>
      <c r="N137" s="361"/>
      <c r="O137" s="361"/>
      <c r="P137" s="361"/>
      <c r="Q137" s="361"/>
      <c r="R137" s="361"/>
      <c r="S137" s="361"/>
      <c r="T137" s="361"/>
      <c r="U137" s="361"/>
      <c r="V137" s="361"/>
      <c r="W137" s="361"/>
      <c r="X137" s="361"/>
      <c r="Y137" s="957"/>
      <c r="Z137" s="957"/>
      <c r="AA137" s="957"/>
      <c r="AB137" s="957"/>
      <c r="AC137" s="957"/>
      <c r="AD137" s="361"/>
    </row>
    <row r="138" spans="2:30" s="349" customFormat="1" ht="20.100000000000001" customHeight="1">
      <c r="B138" s="361"/>
      <c r="C138" s="361"/>
      <c r="D138" s="361"/>
      <c r="E138" s="361"/>
      <c r="F138" s="361"/>
      <c r="G138" s="361"/>
      <c r="H138" s="361"/>
      <c r="I138" s="361"/>
      <c r="J138" s="361"/>
      <c r="K138" s="361"/>
      <c r="L138" s="361"/>
      <c r="M138" s="361"/>
      <c r="N138" s="361"/>
      <c r="O138" s="361"/>
      <c r="P138" s="361"/>
      <c r="Q138" s="361"/>
      <c r="R138" s="361"/>
      <c r="S138" s="361"/>
      <c r="T138" s="361"/>
      <c r="U138" s="361"/>
      <c r="V138" s="361"/>
      <c r="W138" s="361"/>
      <c r="X138" s="361"/>
      <c r="Y138" s="957"/>
      <c r="Z138" s="957"/>
      <c r="AA138" s="957"/>
      <c r="AB138" s="957"/>
      <c r="AC138" s="957"/>
      <c r="AD138" s="361"/>
    </row>
    <row r="139" spans="2:30" s="349" customFormat="1" ht="20.100000000000001" customHeight="1">
      <c r="B139" s="361"/>
      <c r="C139" s="361"/>
      <c r="D139" s="361"/>
      <c r="E139" s="361"/>
      <c r="F139" s="361"/>
      <c r="G139" s="361"/>
      <c r="H139" s="361"/>
      <c r="I139" s="361"/>
      <c r="J139" s="361"/>
      <c r="K139" s="361"/>
      <c r="L139" s="361"/>
      <c r="M139" s="361"/>
      <c r="N139" s="361"/>
      <c r="O139" s="361"/>
      <c r="P139" s="361"/>
      <c r="Q139" s="361"/>
      <c r="R139" s="361"/>
      <c r="S139" s="361"/>
      <c r="T139" s="361"/>
      <c r="U139" s="361"/>
      <c r="V139" s="361"/>
      <c r="W139" s="361"/>
      <c r="X139" s="361"/>
      <c r="Y139" s="957"/>
      <c r="Z139" s="957"/>
      <c r="AA139" s="957"/>
      <c r="AB139" s="957"/>
      <c r="AC139" s="957"/>
      <c r="AD139" s="361"/>
    </row>
    <row r="140" spans="2:30" s="349" customFormat="1" ht="20.100000000000001" customHeight="1">
      <c r="B140" s="361"/>
      <c r="C140" s="361"/>
      <c r="D140" s="361"/>
      <c r="E140" s="361"/>
      <c r="F140" s="361"/>
      <c r="G140" s="361"/>
      <c r="H140" s="361"/>
      <c r="I140" s="361"/>
      <c r="J140" s="361"/>
      <c r="K140" s="361"/>
      <c r="L140" s="361"/>
      <c r="M140" s="361"/>
      <c r="N140" s="361"/>
      <c r="O140" s="361"/>
      <c r="P140" s="361"/>
      <c r="Q140" s="361"/>
      <c r="R140" s="361"/>
      <c r="S140" s="361"/>
      <c r="T140" s="361"/>
      <c r="U140" s="361"/>
      <c r="V140" s="361"/>
      <c r="W140" s="361"/>
      <c r="X140" s="361"/>
      <c r="Y140" s="957"/>
      <c r="Z140" s="957"/>
      <c r="AA140" s="957"/>
      <c r="AB140" s="957"/>
      <c r="AC140" s="957"/>
      <c r="AD140" s="361"/>
    </row>
    <row r="141" spans="2:30" s="349" customFormat="1" ht="20.100000000000001" customHeight="1">
      <c r="B141" s="361"/>
      <c r="C141" s="361"/>
      <c r="D141" s="361"/>
      <c r="E141" s="361"/>
      <c r="F141" s="361"/>
      <c r="G141" s="361"/>
      <c r="H141" s="361"/>
      <c r="I141" s="361"/>
      <c r="J141" s="361"/>
      <c r="K141" s="361"/>
      <c r="L141" s="361"/>
      <c r="M141" s="361"/>
      <c r="N141" s="361"/>
      <c r="O141" s="361"/>
      <c r="P141" s="361"/>
      <c r="Q141" s="361"/>
      <c r="R141" s="361"/>
      <c r="S141" s="361"/>
      <c r="T141" s="361"/>
      <c r="U141" s="361"/>
      <c r="V141" s="361"/>
      <c r="W141" s="361"/>
      <c r="X141" s="361"/>
      <c r="Y141" s="957"/>
      <c r="Z141" s="957"/>
      <c r="AA141" s="957"/>
      <c r="AB141" s="957"/>
      <c r="AC141" s="957"/>
      <c r="AD141" s="361"/>
    </row>
    <row r="142" spans="2:30" s="349" customFormat="1" ht="20.100000000000001" customHeight="1">
      <c r="B142" s="361"/>
      <c r="C142" s="361"/>
      <c r="D142" s="361"/>
      <c r="E142" s="361"/>
      <c r="F142" s="361"/>
      <c r="G142" s="361"/>
      <c r="H142" s="361"/>
      <c r="I142" s="361"/>
      <c r="J142" s="361"/>
      <c r="K142" s="361"/>
      <c r="L142" s="361"/>
      <c r="M142" s="361"/>
      <c r="N142" s="361"/>
      <c r="O142" s="361"/>
      <c r="P142" s="361"/>
      <c r="Q142" s="361"/>
      <c r="R142" s="361"/>
      <c r="S142" s="361"/>
      <c r="T142" s="361"/>
      <c r="U142" s="361"/>
      <c r="V142" s="361"/>
      <c r="W142" s="361"/>
      <c r="X142" s="361"/>
      <c r="Y142" s="957"/>
      <c r="Z142" s="957"/>
      <c r="AA142" s="957"/>
      <c r="AB142" s="957"/>
      <c r="AC142" s="957"/>
      <c r="AD142" s="361"/>
    </row>
    <row r="143" spans="2:30" s="349" customFormat="1" ht="20.100000000000001" customHeight="1">
      <c r="B143" s="361"/>
      <c r="C143" s="361"/>
      <c r="D143" s="361"/>
      <c r="E143" s="361"/>
      <c r="F143" s="361"/>
      <c r="G143" s="361"/>
      <c r="H143" s="361"/>
      <c r="I143" s="361"/>
      <c r="J143" s="361"/>
      <c r="K143" s="361"/>
      <c r="L143" s="361"/>
      <c r="M143" s="361"/>
      <c r="N143" s="361"/>
      <c r="O143" s="361"/>
      <c r="P143" s="361"/>
      <c r="Q143" s="361"/>
      <c r="R143" s="361"/>
      <c r="S143" s="361"/>
      <c r="T143" s="361"/>
      <c r="U143" s="361"/>
      <c r="V143" s="361"/>
      <c r="W143" s="361"/>
      <c r="X143" s="361"/>
      <c r="Y143" s="957"/>
      <c r="Z143" s="957"/>
      <c r="AA143" s="957"/>
      <c r="AB143" s="957"/>
      <c r="AC143" s="957"/>
      <c r="AD143" s="361"/>
    </row>
    <row r="144" spans="2:30" s="349" customFormat="1" ht="20.100000000000001" customHeight="1">
      <c r="B144" s="361"/>
      <c r="C144" s="361"/>
      <c r="D144" s="361"/>
      <c r="E144" s="361"/>
      <c r="F144" s="361"/>
      <c r="G144" s="361"/>
      <c r="H144" s="361"/>
      <c r="I144" s="361"/>
      <c r="J144" s="361"/>
      <c r="K144" s="361"/>
      <c r="L144" s="361"/>
      <c r="M144" s="361"/>
      <c r="N144" s="361"/>
      <c r="O144" s="361"/>
      <c r="P144" s="361"/>
      <c r="Q144" s="361"/>
      <c r="R144" s="361"/>
      <c r="S144" s="361"/>
      <c r="T144" s="361"/>
      <c r="U144" s="361"/>
      <c r="V144" s="361"/>
      <c r="W144" s="361"/>
      <c r="X144" s="361"/>
      <c r="Y144" s="957"/>
      <c r="Z144" s="957"/>
      <c r="AA144" s="957"/>
      <c r="AB144" s="957"/>
      <c r="AC144" s="957"/>
      <c r="AD144" s="361"/>
    </row>
    <row r="145" spans="2:30" s="349" customFormat="1" ht="20.100000000000001" customHeight="1">
      <c r="B145" s="361"/>
      <c r="C145" s="361"/>
      <c r="D145" s="361"/>
      <c r="E145" s="361"/>
      <c r="F145" s="361"/>
      <c r="G145" s="361"/>
      <c r="H145" s="361"/>
      <c r="I145" s="361"/>
      <c r="J145" s="361"/>
      <c r="K145" s="361"/>
      <c r="L145" s="361"/>
      <c r="M145" s="361"/>
      <c r="N145" s="361"/>
      <c r="O145" s="361"/>
      <c r="P145" s="361"/>
      <c r="Q145" s="361"/>
      <c r="R145" s="361"/>
      <c r="S145" s="361"/>
      <c r="T145" s="361"/>
      <c r="U145" s="361"/>
      <c r="V145" s="361"/>
      <c r="W145" s="361"/>
      <c r="X145" s="361"/>
      <c r="Y145" s="957"/>
      <c r="Z145" s="957"/>
      <c r="AA145" s="957"/>
      <c r="AB145" s="957"/>
      <c r="AC145" s="957"/>
      <c r="AD145" s="361"/>
    </row>
    <row r="146" spans="2:30" s="349" customFormat="1" ht="20.100000000000001" customHeight="1">
      <c r="B146" s="361"/>
      <c r="C146" s="361"/>
      <c r="D146" s="361"/>
      <c r="E146" s="361"/>
      <c r="F146" s="361"/>
      <c r="G146" s="361"/>
      <c r="H146" s="361"/>
      <c r="I146" s="361"/>
      <c r="J146" s="361"/>
      <c r="K146" s="361"/>
      <c r="L146" s="361"/>
      <c r="M146" s="361"/>
      <c r="N146" s="361"/>
      <c r="O146" s="361"/>
      <c r="P146" s="361"/>
      <c r="Q146" s="361"/>
      <c r="R146" s="361"/>
      <c r="S146" s="361"/>
      <c r="T146" s="361"/>
      <c r="U146" s="361"/>
      <c r="V146" s="361"/>
      <c r="W146" s="361"/>
      <c r="X146" s="361"/>
      <c r="Y146" s="957"/>
      <c r="Z146" s="957"/>
      <c r="AA146" s="957"/>
      <c r="AB146" s="957"/>
      <c r="AC146" s="957"/>
      <c r="AD146" s="361"/>
    </row>
    <row r="147" spans="2:30" s="349" customFormat="1" ht="20.100000000000001" customHeight="1">
      <c r="B147" s="361"/>
      <c r="C147" s="361"/>
      <c r="D147" s="361"/>
      <c r="E147" s="361"/>
      <c r="F147" s="361"/>
      <c r="G147" s="361"/>
      <c r="H147" s="361"/>
      <c r="I147" s="361"/>
      <c r="J147" s="361"/>
      <c r="K147" s="361"/>
      <c r="L147" s="361"/>
      <c r="M147" s="361"/>
      <c r="N147" s="361"/>
      <c r="O147" s="361"/>
      <c r="P147" s="361"/>
      <c r="Q147" s="361"/>
      <c r="R147" s="361"/>
      <c r="S147" s="361"/>
      <c r="T147" s="361"/>
      <c r="U147" s="361"/>
      <c r="V147" s="361"/>
      <c r="W147" s="361"/>
      <c r="X147" s="361"/>
      <c r="Y147" s="957"/>
      <c r="Z147" s="957"/>
      <c r="AA147" s="957"/>
      <c r="AB147" s="957"/>
      <c r="AC147" s="957"/>
      <c r="AD147" s="361"/>
    </row>
    <row r="148" spans="2:30" s="349" customFormat="1" ht="20.100000000000001" customHeight="1">
      <c r="B148" s="361"/>
      <c r="C148" s="361"/>
      <c r="D148" s="361"/>
      <c r="E148" s="361"/>
      <c r="F148" s="361"/>
      <c r="G148" s="361"/>
      <c r="H148" s="361"/>
      <c r="I148" s="361"/>
      <c r="J148" s="361"/>
      <c r="K148" s="361"/>
      <c r="L148" s="361"/>
      <c r="M148" s="361"/>
      <c r="N148" s="361"/>
      <c r="O148" s="361"/>
      <c r="P148" s="361"/>
      <c r="Q148" s="361"/>
      <c r="R148" s="361"/>
      <c r="S148" s="361"/>
      <c r="T148" s="361"/>
      <c r="U148" s="361"/>
      <c r="V148" s="361"/>
      <c r="W148" s="361"/>
      <c r="X148" s="361"/>
      <c r="Y148" s="957"/>
      <c r="Z148" s="957"/>
      <c r="AA148" s="957"/>
      <c r="AB148" s="957"/>
      <c r="AC148" s="957"/>
      <c r="AD148" s="361"/>
    </row>
    <row r="149" spans="2:30" s="349" customFormat="1" ht="19.899999999999999" customHeight="1">
      <c r="B149" s="361"/>
      <c r="C149" s="361"/>
      <c r="D149" s="361"/>
      <c r="E149" s="361"/>
      <c r="F149" s="361"/>
      <c r="G149" s="361"/>
      <c r="H149" s="361"/>
      <c r="I149" s="361"/>
      <c r="J149" s="361"/>
      <c r="K149" s="361"/>
      <c r="L149" s="361"/>
      <c r="M149" s="361"/>
      <c r="N149" s="361"/>
      <c r="O149" s="361"/>
      <c r="P149" s="361"/>
      <c r="Q149" s="361"/>
      <c r="R149" s="361"/>
      <c r="S149" s="361"/>
      <c r="T149" s="361"/>
      <c r="U149" s="361"/>
      <c r="V149" s="361"/>
      <c r="W149" s="361"/>
      <c r="X149" s="361"/>
      <c r="Y149" s="957"/>
      <c r="Z149" s="957"/>
      <c r="AA149" s="957"/>
      <c r="AB149" s="957"/>
      <c r="AC149" s="957"/>
      <c r="AD149" s="361"/>
    </row>
    <row r="150" spans="2:30" s="349" customFormat="1" ht="20.100000000000001" customHeight="1">
      <c r="B150" s="361"/>
      <c r="C150" s="361"/>
      <c r="D150" s="361"/>
      <c r="E150" s="361"/>
      <c r="F150" s="361"/>
      <c r="G150" s="361"/>
      <c r="H150" s="361"/>
      <c r="I150" s="361"/>
      <c r="J150" s="361"/>
      <c r="K150" s="361"/>
      <c r="L150" s="361"/>
      <c r="M150" s="361"/>
      <c r="N150" s="361"/>
      <c r="O150" s="361"/>
      <c r="P150" s="361"/>
      <c r="Q150" s="361"/>
      <c r="R150" s="361"/>
      <c r="S150" s="361"/>
      <c r="T150" s="361"/>
      <c r="U150" s="361"/>
      <c r="V150" s="361"/>
      <c r="W150" s="361"/>
      <c r="X150" s="361"/>
      <c r="Y150" s="957"/>
      <c r="Z150" s="957"/>
      <c r="AA150" s="957"/>
      <c r="AB150" s="957"/>
      <c r="AC150" s="957"/>
      <c r="AD150" s="361"/>
    </row>
    <row r="151" spans="2:30" s="349" customFormat="1" ht="20.100000000000001" customHeight="1">
      <c r="B151" s="361"/>
      <c r="C151" s="361"/>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957"/>
      <c r="Z151" s="957"/>
      <c r="AA151" s="957"/>
      <c r="AB151" s="957"/>
      <c r="AC151" s="957"/>
      <c r="AD151" s="361"/>
    </row>
    <row r="152" spans="2:30" s="349" customFormat="1" ht="20.100000000000001" customHeight="1">
      <c r="B152" s="361"/>
      <c r="C152" s="361"/>
      <c r="D152" s="361"/>
      <c r="E152" s="361"/>
      <c r="F152" s="361"/>
      <c r="G152" s="361"/>
      <c r="H152" s="361"/>
      <c r="I152" s="361"/>
      <c r="J152" s="361"/>
      <c r="K152" s="361"/>
      <c r="L152" s="361"/>
      <c r="M152" s="361"/>
      <c r="N152" s="361"/>
      <c r="O152" s="361"/>
      <c r="P152" s="361"/>
      <c r="Q152" s="361"/>
      <c r="R152" s="361"/>
      <c r="S152" s="361"/>
      <c r="T152" s="361"/>
      <c r="U152" s="361"/>
      <c r="V152" s="361"/>
      <c r="W152" s="361"/>
      <c r="X152" s="361"/>
      <c r="Y152" s="957"/>
      <c r="Z152" s="957"/>
      <c r="AA152" s="957"/>
      <c r="AB152" s="957"/>
      <c r="AC152" s="957"/>
      <c r="AD152" s="361"/>
    </row>
    <row r="153" spans="2:30" s="349" customFormat="1" ht="20.100000000000001" customHeight="1">
      <c r="B153" s="361"/>
      <c r="C153" s="361"/>
      <c r="D153" s="361"/>
      <c r="E153" s="361"/>
      <c r="F153" s="361"/>
      <c r="G153" s="361"/>
      <c r="H153" s="361"/>
      <c r="I153" s="361"/>
      <c r="J153" s="361"/>
      <c r="K153" s="361"/>
      <c r="L153" s="361"/>
      <c r="M153" s="361"/>
      <c r="N153" s="361"/>
      <c r="O153" s="361"/>
      <c r="P153" s="361"/>
      <c r="Q153" s="361"/>
      <c r="R153" s="361"/>
      <c r="S153" s="361"/>
      <c r="T153" s="361"/>
      <c r="U153" s="361"/>
      <c r="V153" s="361"/>
      <c r="W153" s="361"/>
      <c r="X153" s="361"/>
      <c r="Y153" s="957"/>
      <c r="Z153" s="957"/>
      <c r="AA153" s="957"/>
      <c r="AB153" s="957"/>
      <c r="AC153" s="957"/>
      <c r="AD153" s="361"/>
    </row>
    <row r="154" spans="2:30" s="349" customFormat="1" ht="20.100000000000001" customHeight="1">
      <c r="B154" s="361"/>
      <c r="C154" s="361"/>
      <c r="D154" s="361"/>
      <c r="E154" s="361"/>
      <c r="F154" s="361"/>
      <c r="G154" s="361"/>
      <c r="H154" s="361"/>
      <c r="I154" s="361"/>
      <c r="J154" s="361"/>
      <c r="K154" s="361"/>
      <c r="L154" s="361"/>
      <c r="M154" s="361"/>
      <c r="N154" s="361"/>
      <c r="O154" s="361"/>
      <c r="P154" s="361"/>
      <c r="Q154" s="361"/>
      <c r="R154" s="361"/>
      <c r="S154" s="361"/>
      <c r="T154" s="361"/>
      <c r="U154" s="361"/>
      <c r="V154" s="361"/>
      <c r="W154" s="361"/>
      <c r="X154" s="361"/>
      <c r="Y154" s="957"/>
      <c r="Z154" s="957"/>
      <c r="AA154" s="957"/>
      <c r="AB154" s="957"/>
      <c r="AC154" s="957"/>
      <c r="AD154" s="361"/>
    </row>
    <row r="155" spans="2:30" s="349" customFormat="1" ht="20.100000000000001" customHeight="1">
      <c r="B155" s="361"/>
      <c r="C155" s="361"/>
      <c r="D155" s="361"/>
      <c r="E155" s="361"/>
      <c r="F155" s="361"/>
      <c r="G155" s="361"/>
      <c r="H155" s="361"/>
      <c r="I155" s="361"/>
      <c r="J155" s="361"/>
      <c r="K155" s="361"/>
      <c r="L155" s="361"/>
      <c r="M155" s="361"/>
      <c r="N155" s="361"/>
      <c r="O155" s="361"/>
      <c r="P155" s="361"/>
      <c r="Q155" s="361"/>
      <c r="R155" s="361"/>
      <c r="S155" s="361"/>
      <c r="T155" s="361"/>
      <c r="U155" s="361"/>
      <c r="V155" s="361"/>
      <c r="W155" s="361"/>
      <c r="X155" s="361"/>
      <c r="Y155" s="957"/>
      <c r="Z155" s="957"/>
      <c r="AA155" s="957"/>
      <c r="AB155" s="957"/>
      <c r="AC155" s="957"/>
      <c r="AD155" s="361"/>
    </row>
    <row r="156" spans="2:30" s="349" customFormat="1" ht="20.100000000000001" customHeight="1">
      <c r="B156" s="361"/>
      <c r="C156" s="361"/>
      <c r="D156" s="361"/>
      <c r="E156" s="361"/>
      <c r="F156" s="361"/>
      <c r="G156" s="361"/>
      <c r="H156" s="361"/>
      <c r="I156" s="361"/>
      <c r="J156" s="361"/>
      <c r="K156" s="361"/>
      <c r="L156" s="361"/>
      <c r="M156" s="361"/>
      <c r="N156" s="361"/>
      <c r="O156" s="361"/>
      <c r="P156" s="361"/>
      <c r="Q156" s="361"/>
      <c r="R156" s="361"/>
      <c r="S156" s="361"/>
      <c r="T156" s="361"/>
      <c r="U156" s="361"/>
      <c r="V156" s="361"/>
      <c r="W156" s="361"/>
      <c r="X156" s="361"/>
      <c r="Y156" s="957"/>
      <c r="Z156" s="957"/>
      <c r="AA156" s="957"/>
      <c r="AB156" s="957"/>
      <c r="AC156" s="957"/>
      <c r="AD156" s="361"/>
    </row>
    <row r="157" spans="2:30" s="349" customFormat="1" ht="20.100000000000001" customHeight="1">
      <c r="B157" s="361"/>
      <c r="C157" s="361"/>
      <c r="D157" s="361"/>
      <c r="E157" s="361"/>
      <c r="F157" s="361"/>
      <c r="G157" s="361"/>
      <c r="H157" s="361"/>
      <c r="I157" s="361"/>
      <c r="J157" s="361"/>
      <c r="K157" s="361"/>
      <c r="L157" s="361"/>
      <c r="M157" s="361"/>
      <c r="N157" s="361"/>
      <c r="O157" s="361"/>
      <c r="P157" s="361"/>
      <c r="Q157" s="361"/>
      <c r="R157" s="361"/>
      <c r="S157" s="361"/>
      <c r="T157" s="361"/>
      <c r="U157" s="361"/>
      <c r="V157" s="361"/>
      <c r="W157" s="361"/>
      <c r="X157" s="361"/>
      <c r="Y157" s="957"/>
      <c r="Z157" s="957"/>
      <c r="AA157" s="957"/>
      <c r="AB157" s="957"/>
      <c r="AC157" s="957"/>
      <c r="AD157" s="361"/>
    </row>
    <row r="158" spans="2:30" s="349" customFormat="1" ht="20.100000000000001" customHeight="1">
      <c r="B158" s="361"/>
      <c r="C158" s="361"/>
      <c r="D158" s="361"/>
      <c r="E158" s="361"/>
      <c r="F158" s="361"/>
      <c r="G158" s="361"/>
      <c r="H158" s="361"/>
      <c r="I158" s="361"/>
      <c r="J158" s="361"/>
      <c r="K158" s="361"/>
      <c r="L158" s="361"/>
      <c r="M158" s="361"/>
      <c r="N158" s="361"/>
      <c r="O158" s="361"/>
      <c r="P158" s="361"/>
      <c r="Q158" s="361"/>
      <c r="R158" s="361"/>
      <c r="S158" s="361"/>
      <c r="T158" s="361"/>
      <c r="U158" s="361"/>
      <c r="V158" s="361"/>
      <c r="W158" s="361"/>
      <c r="X158" s="361"/>
      <c r="Y158" s="957"/>
      <c r="Z158" s="957"/>
      <c r="AA158" s="957"/>
      <c r="AB158" s="957"/>
      <c r="AC158" s="957"/>
      <c r="AD158" s="361"/>
    </row>
    <row r="159" spans="2:30" s="349" customFormat="1" ht="20.100000000000001" customHeight="1">
      <c r="B159" s="361"/>
      <c r="C159" s="361"/>
      <c r="D159" s="361"/>
      <c r="E159" s="361"/>
      <c r="F159" s="361"/>
      <c r="G159" s="361"/>
      <c r="H159" s="361"/>
      <c r="I159" s="361"/>
      <c r="J159" s="361"/>
      <c r="K159" s="361"/>
      <c r="L159" s="361"/>
      <c r="M159" s="361"/>
      <c r="N159" s="361"/>
      <c r="O159" s="361"/>
      <c r="P159" s="361"/>
      <c r="Q159" s="361"/>
      <c r="R159" s="361"/>
      <c r="S159" s="361"/>
      <c r="T159" s="361"/>
      <c r="U159" s="361"/>
      <c r="V159" s="361"/>
      <c r="W159" s="361"/>
      <c r="X159" s="361"/>
      <c r="Y159" s="957"/>
      <c r="Z159" s="957"/>
      <c r="AA159" s="957"/>
      <c r="AB159" s="957"/>
      <c r="AC159" s="957"/>
      <c r="AD159" s="361"/>
    </row>
    <row r="160" spans="2:30" s="349" customFormat="1" ht="20.100000000000001" customHeight="1">
      <c r="B160" s="361"/>
      <c r="C160" s="361"/>
      <c r="D160" s="361"/>
      <c r="E160" s="361"/>
      <c r="F160" s="361"/>
      <c r="G160" s="361"/>
      <c r="H160" s="361"/>
      <c r="I160" s="361"/>
      <c r="J160" s="361"/>
      <c r="K160" s="361"/>
      <c r="L160" s="361"/>
      <c r="M160" s="361"/>
      <c r="N160" s="361"/>
      <c r="O160" s="361"/>
      <c r="P160" s="361"/>
      <c r="Q160" s="361"/>
      <c r="R160" s="361"/>
      <c r="S160" s="361"/>
      <c r="T160" s="361"/>
      <c r="U160" s="361"/>
      <c r="V160" s="361"/>
      <c r="W160" s="361"/>
      <c r="X160" s="361"/>
      <c r="Y160" s="957"/>
      <c r="Z160" s="957"/>
      <c r="AA160" s="957"/>
      <c r="AB160" s="957"/>
      <c r="AC160" s="957"/>
      <c r="AD160" s="361"/>
    </row>
    <row r="161" spans="2:30" ht="20.100000000000001" customHeight="1"/>
    <row r="162" spans="2:30" ht="9.9499999999999993" customHeight="1"/>
    <row r="163" spans="2:30" ht="20.100000000000001" customHeight="1"/>
    <row r="164" spans="2:30" ht="20.100000000000001" customHeight="1"/>
    <row r="165" spans="2:30" ht="20.100000000000001" customHeight="1"/>
    <row r="166" spans="2:30" s="349" customFormat="1" ht="20.100000000000001" customHeight="1">
      <c r="B166" s="361"/>
      <c r="C166" s="361"/>
      <c r="D166" s="361"/>
      <c r="E166" s="361"/>
      <c r="F166" s="361"/>
      <c r="G166" s="361"/>
      <c r="H166" s="361"/>
      <c r="I166" s="361"/>
      <c r="J166" s="361"/>
      <c r="K166" s="361"/>
      <c r="L166" s="361"/>
      <c r="M166" s="361"/>
      <c r="N166" s="361"/>
      <c r="O166" s="361"/>
      <c r="P166" s="361"/>
      <c r="Q166" s="361"/>
      <c r="R166" s="361"/>
      <c r="S166" s="361"/>
      <c r="T166" s="361"/>
      <c r="U166" s="361"/>
      <c r="V166" s="361"/>
      <c r="W166" s="361"/>
      <c r="X166" s="361"/>
      <c r="Y166" s="957"/>
      <c r="Z166" s="957"/>
      <c r="AA166" s="957"/>
      <c r="AB166" s="957"/>
      <c r="AC166" s="957"/>
      <c r="AD166" s="361"/>
    </row>
    <row r="167" spans="2:30" s="349" customFormat="1" ht="20.100000000000001" customHeight="1">
      <c r="B167" s="361"/>
      <c r="C167" s="361"/>
      <c r="D167" s="361"/>
      <c r="E167" s="361"/>
      <c r="F167" s="361"/>
      <c r="G167" s="361"/>
      <c r="H167" s="361"/>
      <c r="I167" s="361"/>
      <c r="J167" s="361"/>
      <c r="K167" s="361"/>
      <c r="L167" s="361"/>
      <c r="M167" s="361"/>
      <c r="N167" s="361"/>
      <c r="O167" s="361"/>
      <c r="P167" s="361"/>
      <c r="Q167" s="361"/>
      <c r="R167" s="361"/>
      <c r="S167" s="361"/>
      <c r="T167" s="361"/>
      <c r="U167" s="361"/>
      <c r="V167" s="361"/>
      <c r="W167" s="361"/>
      <c r="X167" s="361"/>
      <c r="Y167" s="957"/>
      <c r="Z167" s="957"/>
      <c r="AA167" s="957"/>
      <c r="AB167" s="957"/>
      <c r="AC167" s="957"/>
      <c r="AD167" s="361"/>
    </row>
    <row r="168" spans="2:30" s="349" customFormat="1" ht="20.100000000000001" customHeight="1">
      <c r="B168" s="361"/>
      <c r="C168" s="361"/>
      <c r="D168" s="361"/>
      <c r="E168" s="361"/>
      <c r="F168" s="361"/>
      <c r="G168" s="361"/>
      <c r="H168" s="361"/>
      <c r="I168" s="361"/>
      <c r="J168" s="361"/>
      <c r="K168" s="361"/>
      <c r="L168" s="361"/>
      <c r="M168" s="361"/>
      <c r="N168" s="361"/>
      <c r="O168" s="361"/>
      <c r="P168" s="361"/>
      <c r="Q168" s="361"/>
      <c r="R168" s="361"/>
      <c r="S168" s="361"/>
      <c r="T168" s="361"/>
      <c r="U168" s="361"/>
      <c r="V168" s="361"/>
      <c r="W168" s="361"/>
      <c r="X168" s="361"/>
      <c r="Y168" s="957"/>
      <c r="Z168" s="957"/>
      <c r="AA168" s="957"/>
      <c r="AB168" s="957"/>
      <c r="AC168" s="957"/>
      <c r="AD168" s="361"/>
    </row>
    <row r="169" spans="2:30" s="349" customFormat="1" ht="20.100000000000001" customHeight="1">
      <c r="B169" s="361"/>
      <c r="C169" s="361"/>
      <c r="D169" s="361"/>
      <c r="E169" s="361"/>
      <c r="F169" s="361"/>
      <c r="G169" s="361"/>
      <c r="H169" s="361"/>
      <c r="I169" s="361"/>
      <c r="J169" s="361"/>
      <c r="K169" s="361"/>
      <c r="L169" s="361"/>
      <c r="M169" s="361"/>
      <c r="N169" s="361"/>
      <c r="O169" s="361"/>
      <c r="P169" s="361"/>
      <c r="Q169" s="361"/>
      <c r="R169" s="361"/>
      <c r="S169" s="361"/>
      <c r="T169" s="361"/>
      <c r="U169" s="361"/>
      <c r="V169" s="361"/>
      <c r="W169" s="361"/>
      <c r="X169" s="361"/>
      <c r="Y169" s="957"/>
      <c r="Z169" s="957"/>
      <c r="AA169" s="957"/>
      <c r="AB169" s="957"/>
      <c r="AC169" s="957"/>
      <c r="AD169" s="361"/>
    </row>
    <row r="170" spans="2:30" s="349" customFormat="1" ht="20.100000000000001" customHeight="1">
      <c r="B170" s="361"/>
      <c r="C170" s="361"/>
      <c r="D170" s="361"/>
      <c r="E170" s="361"/>
      <c r="F170" s="361"/>
      <c r="G170" s="361"/>
      <c r="H170" s="361"/>
      <c r="I170" s="361"/>
      <c r="J170" s="361"/>
      <c r="K170" s="361"/>
      <c r="L170" s="361"/>
      <c r="M170" s="361"/>
      <c r="N170" s="361"/>
      <c r="O170" s="361"/>
      <c r="P170" s="361"/>
      <c r="Q170" s="361"/>
      <c r="R170" s="361"/>
      <c r="S170" s="361"/>
      <c r="T170" s="361"/>
      <c r="U170" s="361"/>
      <c r="V170" s="361"/>
      <c r="W170" s="361"/>
      <c r="X170" s="361"/>
      <c r="Y170" s="957"/>
      <c r="Z170" s="957"/>
      <c r="AA170" s="957"/>
      <c r="AB170" s="957"/>
      <c r="AC170" s="957"/>
      <c r="AD170" s="361"/>
    </row>
    <row r="171" spans="2:30" s="349" customFormat="1" ht="20.100000000000001" customHeight="1">
      <c r="B171" s="361"/>
      <c r="C171" s="361"/>
      <c r="D171" s="361"/>
      <c r="E171" s="361"/>
      <c r="F171" s="361"/>
      <c r="G171" s="361"/>
      <c r="H171" s="361"/>
      <c r="I171" s="361"/>
      <c r="J171" s="361"/>
      <c r="K171" s="361"/>
      <c r="L171" s="361"/>
      <c r="M171" s="361"/>
      <c r="N171" s="361"/>
      <c r="O171" s="361"/>
      <c r="P171" s="361"/>
      <c r="Q171" s="361"/>
      <c r="R171" s="361"/>
      <c r="S171" s="361"/>
      <c r="T171" s="361"/>
      <c r="U171" s="361"/>
      <c r="V171" s="361"/>
      <c r="W171" s="361"/>
      <c r="X171" s="361"/>
      <c r="Y171" s="957"/>
      <c r="Z171" s="957"/>
      <c r="AA171" s="957"/>
      <c r="AB171" s="957"/>
      <c r="AC171" s="957"/>
      <c r="AD171" s="361"/>
    </row>
    <row r="172" spans="2:30" s="349" customFormat="1" ht="20.100000000000001" customHeight="1">
      <c r="B172" s="361"/>
      <c r="C172" s="361"/>
      <c r="D172" s="361"/>
      <c r="E172" s="361"/>
      <c r="F172" s="361"/>
      <c r="G172" s="361"/>
      <c r="H172" s="361"/>
      <c r="I172" s="361"/>
      <c r="J172" s="361"/>
      <c r="K172" s="361"/>
      <c r="L172" s="361"/>
      <c r="M172" s="361"/>
      <c r="N172" s="361"/>
      <c r="O172" s="361"/>
      <c r="P172" s="361"/>
      <c r="Q172" s="361"/>
      <c r="R172" s="361"/>
      <c r="S172" s="361"/>
      <c r="T172" s="361"/>
      <c r="U172" s="361"/>
      <c r="V172" s="361"/>
      <c r="W172" s="361"/>
      <c r="X172" s="361"/>
      <c r="Y172" s="957"/>
      <c r="Z172" s="957"/>
      <c r="AA172" s="957"/>
      <c r="AB172" s="957"/>
      <c r="AC172" s="957"/>
      <c r="AD172" s="361"/>
    </row>
    <row r="173" spans="2:30" s="349" customFormat="1" ht="20.100000000000001" customHeight="1">
      <c r="B173" s="361"/>
      <c r="C173" s="361"/>
      <c r="D173" s="361"/>
      <c r="E173" s="361"/>
      <c r="F173" s="361"/>
      <c r="G173" s="361"/>
      <c r="H173" s="361"/>
      <c r="I173" s="361"/>
      <c r="J173" s="361"/>
      <c r="K173" s="361"/>
      <c r="L173" s="361"/>
      <c r="M173" s="361"/>
      <c r="N173" s="361"/>
      <c r="O173" s="361"/>
      <c r="P173" s="361"/>
      <c r="Q173" s="361"/>
      <c r="R173" s="361"/>
      <c r="S173" s="361"/>
      <c r="T173" s="361"/>
      <c r="U173" s="361"/>
      <c r="V173" s="361"/>
      <c r="W173" s="361"/>
      <c r="X173" s="361"/>
      <c r="Y173" s="957"/>
      <c r="Z173" s="957"/>
      <c r="AA173" s="957"/>
      <c r="AB173" s="957"/>
      <c r="AC173" s="957"/>
      <c r="AD173" s="361"/>
    </row>
    <row r="174" spans="2:30" s="349" customFormat="1" ht="20.100000000000001" customHeight="1">
      <c r="B174" s="361"/>
      <c r="C174" s="361"/>
      <c r="D174" s="361"/>
      <c r="E174" s="361"/>
      <c r="F174" s="361"/>
      <c r="G174" s="361"/>
      <c r="H174" s="361"/>
      <c r="I174" s="361"/>
      <c r="J174" s="361"/>
      <c r="K174" s="361"/>
      <c r="L174" s="361"/>
      <c r="M174" s="361"/>
      <c r="N174" s="361"/>
      <c r="O174" s="361"/>
      <c r="P174" s="361"/>
      <c r="Q174" s="361"/>
      <c r="R174" s="361"/>
      <c r="S174" s="361"/>
      <c r="T174" s="361"/>
      <c r="U174" s="361"/>
      <c r="V174" s="361"/>
      <c r="W174" s="361"/>
      <c r="X174" s="361"/>
      <c r="Y174" s="957"/>
      <c r="Z174" s="957"/>
      <c r="AA174" s="957"/>
      <c r="AB174" s="957"/>
      <c r="AC174" s="957"/>
      <c r="AD174" s="361"/>
    </row>
    <row r="175" spans="2:30" s="349" customFormat="1" ht="20.100000000000001" customHeight="1">
      <c r="B175" s="361"/>
      <c r="C175" s="361"/>
      <c r="D175" s="361"/>
      <c r="E175" s="361"/>
      <c r="F175" s="361"/>
      <c r="G175" s="361"/>
      <c r="H175" s="361"/>
      <c r="I175" s="361"/>
      <c r="J175" s="361"/>
      <c r="K175" s="361"/>
      <c r="L175" s="361"/>
      <c r="M175" s="361"/>
      <c r="N175" s="361"/>
      <c r="O175" s="361"/>
      <c r="P175" s="361"/>
      <c r="Q175" s="361"/>
      <c r="R175" s="361"/>
      <c r="S175" s="361"/>
      <c r="T175" s="361"/>
      <c r="U175" s="361"/>
      <c r="V175" s="361"/>
      <c r="W175" s="361"/>
      <c r="X175" s="361"/>
      <c r="Y175" s="957"/>
      <c r="Z175" s="957"/>
      <c r="AA175" s="957"/>
      <c r="AB175" s="957"/>
      <c r="AC175" s="957"/>
      <c r="AD175" s="361"/>
    </row>
    <row r="176" spans="2:30" s="349" customFormat="1" ht="20.100000000000001" customHeight="1">
      <c r="B176" s="361"/>
      <c r="C176" s="361"/>
      <c r="D176" s="361"/>
      <c r="E176" s="361"/>
      <c r="F176" s="361"/>
      <c r="G176" s="361"/>
      <c r="H176" s="361"/>
      <c r="I176" s="361"/>
      <c r="J176" s="361"/>
      <c r="K176" s="361"/>
      <c r="L176" s="361"/>
      <c r="M176" s="361"/>
      <c r="N176" s="361"/>
      <c r="O176" s="361"/>
      <c r="P176" s="361"/>
      <c r="Q176" s="361"/>
      <c r="R176" s="361"/>
      <c r="S176" s="361"/>
      <c r="T176" s="361"/>
      <c r="U176" s="361"/>
      <c r="V176" s="361"/>
      <c r="W176" s="361"/>
      <c r="X176" s="361"/>
      <c r="Y176" s="957"/>
      <c r="Z176" s="957"/>
      <c r="AA176" s="957"/>
      <c r="AB176" s="957"/>
      <c r="AC176" s="957"/>
      <c r="AD176" s="361"/>
    </row>
    <row r="177" spans="2:30" s="349" customFormat="1" ht="20.100000000000001" customHeight="1">
      <c r="B177" s="361"/>
      <c r="C177" s="361"/>
      <c r="D177" s="361"/>
      <c r="E177" s="361"/>
      <c r="F177" s="361"/>
      <c r="G177" s="361"/>
      <c r="H177" s="361"/>
      <c r="I177" s="361"/>
      <c r="J177" s="361"/>
      <c r="K177" s="361"/>
      <c r="L177" s="361"/>
      <c r="M177" s="361"/>
      <c r="N177" s="361"/>
      <c r="O177" s="361"/>
      <c r="P177" s="361"/>
      <c r="Q177" s="361"/>
      <c r="R177" s="361"/>
      <c r="S177" s="361"/>
      <c r="T177" s="361"/>
      <c r="U177" s="361"/>
      <c r="V177" s="361"/>
      <c r="W177" s="361"/>
      <c r="X177" s="361"/>
      <c r="Y177" s="957"/>
      <c r="Z177" s="957"/>
      <c r="AA177" s="957"/>
      <c r="AB177" s="957"/>
      <c r="AC177" s="957"/>
      <c r="AD177" s="361"/>
    </row>
    <row r="178" spans="2:30" s="349" customFormat="1" ht="20.100000000000001" customHeight="1">
      <c r="B178" s="361"/>
      <c r="C178" s="361"/>
      <c r="D178" s="361"/>
      <c r="E178" s="361"/>
      <c r="F178" s="361"/>
      <c r="G178" s="361"/>
      <c r="H178" s="361"/>
      <c r="I178" s="361"/>
      <c r="J178" s="361"/>
      <c r="K178" s="361"/>
      <c r="L178" s="361"/>
      <c r="M178" s="361"/>
      <c r="N178" s="361"/>
      <c r="O178" s="361"/>
      <c r="P178" s="361"/>
      <c r="Q178" s="361"/>
      <c r="R178" s="361"/>
      <c r="S178" s="361"/>
      <c r="T178" s="361"/>
      <c r="U178" s="361"/>
      <c r="V178" s="361"/>
      <c r="W178" s="361"/>
      <c r="X178" s="361"/>
      <c r="Y178" s="957"/>
      <c r="Z178" s="957"/>
      <c r="AA178" s="957"/>
      <c r="AB178" s="957"/>
      <c r="AC178" s="957"/>
      <c r="AD178" s="361"/>
    </row>
    <row r="179" spans="2:30" s="349" customFormat="1" ht="20.100000000000001" customHeight="1">
      <c r="B179" s="361"/>
      <c r="C179" s="361"/>
      <c r="D179" s="361"/>
      <c r="E179" s="361"/>
      <c r="F179" s="361"/>
      <c r="G179" s="361"/>
      <c r="H179" s="361"/>
      <c r="I179" s="361"/>
      <c r="J179" s="361"/>
      <c r="K179" s="361"/>
      <c r="L179" s="361"/>
      <c r="M179" s="361"/>
      <c r="N179" s="361"/>
      <c r="O179" s="361"/>
      <c r="P179" s="361"/>
      <c r="Q179" s="361"/>
      <c r="R179" s="361"/>
      <c r="S179" s="361"/>
      <c r="T179" s="361"/>
      <c r="U179" s="361"/>
      <c r="V179" s="361"/>
      <c r="W179" s="361"/>
      <c r="X179" s="361"/>
      <c r="Y179" s="957"/>
      <c r="Z179" s="957"/>
      <c r="AA179" s="957"/>
      <c r="AB179" s="957"/>
      <c r="AC179" s="957"/>
      <c r="AD179" s="361"/>
    </row>
    <row r="180" spans="2:30" s="349" customFormat="1" ht="20.100000000000001" customHeight="1">
      <c r="B180" s="361"/>
      <c r="C180" s="361"/>
      <c r="D180" s="361"/>
      <c r="E180" s="361"/>
      <c r="F180" s="361"/>
      <c r="G180" s="361"/>
      <c r="H180" s="361"/>
      <c r="I180" s="361"/>
      <c r="J180" s="361"/>
      <c r="K180" s="361"/>
      <c r="L180" s="361"/>
      <c r="M180" s="361"/>
      <c r="N180" s="361"/>
      <c r="O180" s="361"/>
      <c r="P180" s="361"/>
      <c r="Q180" s="361"/>
      <c r="R180" s="361"/>
      <c r="S180" s="361"/>
      <c r="T180" s="361"/>
      <c r="U180" s="361"/>
      <c r="V180" s="361"/>
      <c r="W180" s="361"/>
      <c r="X180" s="361"/>
      <c r="Y180" s="957"/>
      <c r="Z180" s="957"/>
      <c r="AA180" s="957"/>
      <c r="AB180" s="957"/>
      <c r="AC180" s="957"/>
      <c r="AD180" s="361"/>
    </row>
    <row r="181" spans="2:30" s="349" customFormat="1" ht="20.100000000000001" customHeight="1">
      <c r="B181" s="361"/>
      <c r="C181" s="361"/>
      <c r="D181" s="361"/>
      <c r="E181" s="361"/>
      <c r="F181" s="361"/>
      <c r="G181" s="361"/>
      <c r="H181" s="361"/>
      <c r="I181" s="361"/>
      <c r="J181" s="361"/>
      <c r="K181" s="361"/>
      <c r="L181" s="361"/>
      <c r="M181" s="361"/>
      <c r="N181" s="361"/>
      <c r="O181" s="361"/>
      <c r="P181" s="361"/>
      <c r="Q181" s="361"/>
      <c r="R181" s="361"/>
      <c r="S181" s="361"/>
      <c r="T181" s="361"/>
      <c r="U181" s="361"/>
      <c r="V181" s="361"/>
      <c r="W181" s="361"/>
      <c r="X181" s="361"/>
      <c r="Y181" s="957"/>
      <c r="Z181" s="957"/>
      <c r="AA181" s="957"/>
      <c r="AB181" s="957"/>
      <c r="AC181" s="957"/>
      <c r="AD181" s="361"/>
    </row>
    <row r="182" spans="2:30" s="349" customFormat="1" ht="20.100000000000001" customHeight="1">
      <c r="B182" s="361"/>
      <c r="C182" s="361"/>
      <c r="D182" s="361"/>
      <c r="E182" s="361"/>
      <c r="F182" s="361"/>
      <c r="G182" s="361"/>
      <c r="H182" s="361"/>
      <c r="I182" s="361"/>
      <c r="J182" s="361"/>
      <c r="K182" s="361"/>
      <c r="L182" s="361"/>
      <c r="M182" s="361"/>
      <c r="N182" s="361"/>
      <c r="O182" s="361"/>
      <c r="P182" s="361"/>
      <c r="Q182" s="361"/>
      <c r="R182" s="361"/>
      <c r="S182" s="361"/>
      <c r="T182" s="361"/>
      <c r="U182" s="361"/>
      <c r="V182" s="361"/>
      <c r="W182" s="361"/>
      <c r="X182" s="361"/>
      <c r="Y182" s="957"/>
      <c r="Z182" s="957"/>
      <c r="AA182" s="957"/>
      <c r="AB182" s="957"/>
      <c r="AC182" s="957"/>
      <c r="AD182" s="361"/>
    </row>
    <row r="183" spans="2:30" s="349" customFormat="1" ht="20.100000000000001" customHeight="1">
      <c r="B183" s="361"/>
      <c r="C183" s="361"/>
      <c r="D183" s="361"/>
      <c r="E183" s="361"/>
      <c r="F183" s="361"/>
      <c r="G183" s="361"/>
      <c r="H183" s="361"/>
      <c r="I183" s="361"/>
      <c r="J183" s="361"/>
      <c r="K183" s="361"/>
      <c r="L183" s="361"/>
      <c r="M183" s="361"/>
      <c r="N183" s="361"/>
      <c r="O183" s="361"/>
      <c r="P183" s="361"/>
      <c r="Q183" s="361"/>
      <c r="R183" s="361"/>
      <c r="S183" s="361"/>
      <c r="T183" s="361"/>
      <c r="U183" s="361"/>
      <c r="V183" s="361"/>
      <c r="W183" s="361"/>
      <c r="X183" s="361"/>
      <c r="Y183" s="957"/>
      <c r="Z183" s="957"/>
      <c r="AA183" s="957"/>
      <c r="AB183" s="957"/>
      <c r="AC183" s="957"/>
      <c r="AD183" s="361"/>
    </row>
    <row r="184" spans="2:30" s="349" customFormat="1" ht="20.100000000000001" customHeight="1">
      <c r="B184" s="361"/>
      <c r="C184" s="361"/>
      <c r="D184" s="361"/>
      <c r="E184" s="361"/>
      <c r="F184" s="361"/>
      <c r="G184" s="361"/>
      <c r="H184" s="361"/>
      <c r="I184" s="361"/>
      <c r="J184" s="361"/>
      <c r="K184" s="361"/>
      <c r="L184" s="361"/>
      <c r="M184" s="361"/>
      <c r="N184" s="361"/>
      <c r="O184" s="361"/>
      <c r="P184" s="361"/>
      <c r="Q184" s="361"/>
      <c r="R184" s="361"/>
      <c r="S184" s="361"/>
      <c r="T184" s="361"/>
      <c r="U184" s="361"/>
      <c r="V184" s="361"/>
      <c r="W184" s="361"/>
      <c r="X184" s="361"/>
      <c r="Y184" s="957"/>
      <c r="Z184" s="957"/>
      <c r="AA184" s="957"/>
      <c r="AB184" s="957"/>
      <c r="AC184" s="957"/>
      <c r="AD184" s="361"/>
    </row>
    <row r="185" spans="2:30" s="349" customFormat="1" ht="20.100000000000001" customHeight="1">
      <c r="B185" s="361"/>
      <c r="C185" s="361"/>
      <c r="D185" s="361"/>
      <c r="E185" s="361"/>
      <c r="F185" s="361"/>
      <c r="G185" s="361"/>
      <c r="H185" s="361"/>
      <c r="I185" s="361"/>
      <c r="J185" s="361"/>
      <c r="K185" s="361"/>
      <c r="L185" s="361"/>
      <c r="M185" s="361"/>
      <c r="N185" s="361"/>
      <c r="O185" s="361"/>
      <c r="P185" s="361"/>
      <c r="Q185" s="361"/>
      <c r="R185" s="361"/>
      <c r="S185" s="361"/>
      <c r="T185" s="361"/>
      <c r="U185" s="361"/>
      <c r="V185" s="361"/>
      <c r="W185" s="361"/>
      <c r="X185" s="361"/>
      <c r="Y185" s="957"/>
      <c r="Z185" s="957"/>
      <c r="AA185" s="957"/>
      <c r="AB185" s="957"/>
      <c r="AC185" s="957"/>
      <c r="AD185" s="361"/>
    </row>
    <row r="186" spans="2:30" s="349" customFormat="1" ht="20.100000000000001" customHeight="1">
      <c r="B186" s="361"/>
      <c r="C186" s="361"/>
      <c r="D186" s="361"/>
      <c r="E186" s="361"/>
      <c r="F186" s="361"/>
      <c r="G186" s="361"/>
      <c r="H186" s="361"/>
      <c r="I186" s="361"/>
      <c r="J186" s="361"/>
      <c r="K186" s="361"/>
      <c r="L186" s="361"/>
      <c r="M186" s="361"/>
      <c r="N186" s="361"/>
      <c r="O186" s="361"/>
      <c r="P186" s="361"/>
      <c r="Q186" s="361"/>
      <c r="R186" s="361"/>
      <c r="S186" s="361"/>
      <c r="T186" s="361"/>
      <c r="U186" s="361"/>
      <c r="V186" s="361"/>
      <c r="W186" s="361"/>
      <c r="X186" s="361"/>
      <c r="Y186" s="957"/>
      <c r="Z186" s="957"/>
      <c r="AA186" s="957"/>
      <c r="AB186" s="957"/>
      <c r="AC186" s="957"/>
      <c r="AD186" s="361"/>
    </row>
    <row r="187" spans="2:30" s="349" customFormat="1" ht="20.100000000000001" customHeight="1">
      <c r="B187" s="361"/>
      <c r="C187" s="361"/>
      <c r="D187" s="361"/>
      <c r="E187" s="361"/>
      <c r="F187" s="361"/>
      <c r="G187" s="361"/>
      <c r="H187" s="361"/>
      <c r="I187" s="361"/>
      <c r="J187" s="361"/>
      <c r="K187" s="361"/>
      <c r="L187" s="361"/>
      <c r="M187" s="361"/>
      <c r="N187" s="361"/>
      <c r="O187" s="361"/>
      <c r="P187" s="361"/>
      <c r="Q187" s="361"/>
      <c r="R187" s="361"/>
      <c r="S187" s="361"/>
      <c r="T187" s="361"/>
      <c r="U187" s="361"/>
      <c r="V187" s="361"/>
      <c r="W187" s="361"/>
      <c r="X187" s="361"/>
      <c r="Y187" s="957"/>
      <c r="Z187" s="957"/>
      <c r="AA187" s="957"/>
      <c r="AB187" s="957"/>
      <c r="AC187" s="957"/>
      <c r="AD187" s="361"/>
    </row>
    <row r="188" spans="2:30" s="349" customFormat="1" ht="20.100000000000001" customHeight="1">
      <c r="B188" s="361"/>
      <c r="C188" s="361"/>
      <c r="D188" s="361"/>
      <c r="E188" s="361"/>
      <c r="F188" s="361"/>
      <c r="G188" s="361"/>
      <c r="H188" s="361"/>
      <c r="I188" s="361"/>
      <c r="J188" s="361"/>
      <c r="K188" s="361"/>
      <c r="L188" s="361"/>
      <c r="M188" s="361"/>
      <c r="N188" s="361"/>
      <c r="O188" s="361"/>
      <c r="P188" s="361"/>
      <c r="Q188" s="361"/>
      <c r="R188" s="361"/>
      <c r="S188" s="361"/>
      <c r="T188" s="361"/>
      <c r="U188" s="361"/>
      <c r="V188" s="361"/>
      <c r="W188" s="361"/>
      <c r="X188" s="361"/>
      <c r="Y188" s="957"/>
      <c r="Z188" s="957"/>
      <c r="AA188" s="957"/>
      <c r="AB188" s="957"/>
      <c r="AC188" s="957"/>
      <c r="AD188" s="361"/>
    </row>
    <row r="189" spans="2:30" s="349" customFormat="1" ht="20.100000000000001" customHeight="1">
      <c r="B189" s="361"/>
      <c r="C189" s="361"/>
      <c r="D189" s="361"/>
      <c r="E189" s="361"/>
      <c r="F189" s="361"/>
      <c r="G189" s="361"/>
      <c r="H189" s="361"/>
      <c r="I189" s="361"/>
      <c r="J189" s="361"/>
      <c r="K189" s="361"/>
      <c r="L189" s="361"/>
      <c r="M189" s="361"/>
      <c r="N189" s="361"/>
      <c r="O189" s="361"/>
      <c r="P189" s="361"/>
      <c r="Q189" s="361"/>
      <c r="R189" s="361"/>
      <c r="S189" s="361"/>
      <c r="T189" s="361"/>
      <c r="U189" s="361"/>
      <c r="V189" s="361"/>
      <c r="W189" s="361"/>
      <c r="X189" s="361"/>
      <c r="Y189" s="957"/>
      <c r="Z189" s="957"/>
      <c r="AA189" s="957"/>
      <c r="AB189" s="957"/>
      <c r="AC189" s="957"/>
      <c r="AD189" s="361"/>
    </row>
    <row r="190" spans="2:30" s="349" customFormat="1" ht="20.100000000000001" customHeight="1">
      <c r="B190" s="361"/>
      <c r="C190" s="361"/>
      <c r="D190" s="361"/>
      <c r="E190" s="361"/>
      <c r="F190" s="361"/>
      <c r="G190" s="361"/>
      <c r="H190" s="361"/>
      <c r="I190" s="361"/>
      <c r="J190" s="361"/>
      <c r="K190" s="361"/>
      <c r="L190" s="361"/>
      <c r="M190" s="361"/>
      <c r="N190" s="361"/>
      <c r="O190" s="361"/>
      <c r="P190" s="361"/>
      <c r="Q190" s="361"/>
      <c r="R190" s="361"/>
      <c r="S190" s="361"/>
      <c r="T190" s="361"/>
      <c r="U190" s="361"/>
      <c r="V190" s="361"/>
      <c r="W190" s="361"/>
      <c r="X190" s="361"/>
      <c r="Y190" s="957"/>
      <c r="Z190" s="957"/>
      <c r="AA190" s="957"/>
      <c r="AB190" s="957"/>
      <c r="AC190" s="957"/>
      <c r="AD190" s="361"/>
    </row>
    <row r="191" spans="2:30" s="349" customFormat="1" ht="20.100000000000001" customHeight="1">
      <c r="B191" s="361"/>
      <c r="C191" s="361"/>
      <c r="D191" s="361"/>
      <c r="E191" s="361"/>
      <c r="F191" s="361"/>
      <c r="G191" s="361"/>
      <c r="H191" s="361"/>
      <c r="I191" s="361"/>
      <c r="J191" s="361"/>
      <c r="K191" s="361"/>
      <c r="L191" s="361"/>
      <c r="M191" s="361"/>
      <c r="N191" s="361"/>
      <c r="O191" s="361"/>
      <c r="P191" s="361"/>
      <c r="Q191" s="361"/>
      <c r="R191" s="361"/>
      <c r="S191" s="361"/>
      <c r="T191" s="361"/>
      <c r="U191" s="361"/>
      <c r="V191" s="361"/>
      <c r="W191" s="361"/>
      <c r="X191" s="361"/>
      <c r="Y191" s="957"/>
      <c r="Z191" s="957"/>
      <c r="AA191" s="957"/>
      <c r="AB191" s="957"/>
      <c r="AC191" s="957"/>
      <c r="AD191" s="361"/>
    </row>
    <row r="192" spans="2:30" s="349" customFormat="1" ht="20.100000000000001" customHeight="1">
      <c r="B192" s="361"/>
      <c r="C192" s="361"/>
      <c r="D192" s="361"/>
      <c r="E192" s="361"/>
      <c r="F192" s="361"/>
      <c r="G192" s="361"/>
      <c r="H192" s="361"/>
      <c r="I192" s="361"/>
      <c r="J192" s="361"/>
      <c r="K192" s="361"/>
      <c r="L192" s="361"/>
      <c r="M192" s="361"/>
      <c r="N192" s="361"/>
      <c r="O192" s="361"/>
      <c r="P192" s="361"/>
      <c r="Q192" s="361"/>
      <c r="R192" s="361"/>
      <c r="S192" s="361"/>
      <c r="T192" s="361"/>
      <c r="U192" s="361"/>
      <c r="V192" s="361"/>
      <c r="W192" s="361"/>
      <c r="X192" s="361"/>
      <c r="Y192" s="957"/>
      <c r="Z192" s="957"/>
      <c r="AA192" s="957"/>
      <c r="AB192" s="957"/>
      <c r="AC192" s="957"/>
      <c r="AD192" s="361"/>
    </row>
    <row r="193" spans="2:30" s="349" customFormat="1" ht="20.100000000000001" customHeight="1">
      <c r="B193" s="361"/>
      <c r="C193" s="361"/>
      <c r="D193" s="361"/>
      <c r="E193" s="361"/>
      <c r="F193" s="361"/>
      <c r="G193" s="361"/>
      <c r="H193" s="361"/>
      <c r="I193" s="361"/>
      <c r="J193" s="361"/>
      <c r="K193" s="361"/>
      <c r="L193" s="361"/>
      <c r="M193" s="361"/>
      <c r="N193" s="361"/>
      <c r="O193" s="361"/>
      <c r="P193" s="361"/>
      <c r="Q193" s="361"/>
      <c r="R193" s="361"/>
      <c r="S193" s="361"/>
      <c r="T193" s="361"/>
      <c r="U193" s="361"/>
      <c r="V193" s="361"/>
      <c r="W193" s="361"/>
      <c r="X193" s="361"/>
      <c r="Y193" s="957"/>
      <c r="Z193" s="957"/>
      <c r="AA193" s="957"/>
      <c r="AB193" s="957"/>
      <c r="AC193" s="957"/>
      <c r="AD193" s="361"/>
    </row>
    <row r="194" spans="2:30" s="349" customFormat="1" ht="20.100000000000001" customHeight="1">
      <c r="B194" s="361"/>
      <c r="C194" s="361"/>
      <c r="D194" s="361"/>
      <c r="E194" s="361"/>
      <c r="F194" s="361"/>
      <c r="G194" s="361"/>
      <c r="H194" s="361"/>
      <c r="I194" s="361"/>
      <c r="J194" s="361"/>
      <c r="K194" s="361"/>
      <c r="L194" s="361"/>
      <c r="M194" s="361"/>
      <c r="N194" s="361"/>
      <c r="O194" s="361"/>
      <c r="P194" s="361"/>
      <c r="Q194" s="361"/>
      <c r="R194" s="361"/>
      <c r="S194" s="361"/>
      <c r="T194" s="361"/>
      <c r="U194" s="361"/>
      <c r="V194" s="361"/>
      <c r="W194" s="361"/>
      <c r="X194" s="361"/>
      <c r="Y194" s="957"/>
      <c r="Z194" s="957"/>
      <c r="AA194" s="957"/>
      <c r="AB194" s="957"/>
      <c r="AC194" s="957"/>
      <c r="AD194" s="361"/>
    </row>
    <row r="195" spans="2:30" s="349" customFormat="1" ht="20.100000000000001" customHeight="1">
      <c r="B195" s="361"/>
      <c r="C195" s="361"/>
      <c r="D195" s="361"/>
      <c r="E195" s="361"/>
      <c r="F195" s="361"/>
      <c r="G195" s="361"/>
      <c r="H195" s="361"/>
      <c r="I195" s="361"/>
      <c r="J195" s="361"/>
      <c r="K195" s="361"/>
      <c r="L195" s="361"/>
      <c r="M195" s="361"/>
      <c r="N195" s="361"/>
      <c r="O195" s="361"/>
      <c r="P195" s="361"/>
      <c r="Q195" s="361"/>
      <c r="R195" s="361"/>
      <c r="S195" s="361"/>
      <c r="T195" s="361"/>
      <c r="U195" s="361"/>
      <c r="V195" s="361"/>
      <c r="W195" s="361"/>
      <c r="X195" s="361"/>
      <c r="Y195" s="957"/>
      <c r="Z195" s="957"/>
      <c r="AA195" s="957"/>
      <c r="AB195" s="957"/>
      <c r="AC195" s="957"/>
      <c r="AD195" s="361"/>
    </row>
    <row r="196" spans="2:30" s="349" customFormat="1" ht="20.100000000000001" customHeight="1">
      <c r="B196" s="361"/>
      <c r="C196" s="361"/>
      <c r="D196" s="361"/>
      <c r="E196" s="361"/>
      <c r="F196" s="361"/>
      <c r="G196" s="361"/>
      <c r="H196" s="361"/>
      <c r="I196" s="361"/>
      <c r="J196" s="361"/>
      <c r="K196" s="361"/>
      <c r="L196" s="361"/>
      <c r="M196" s="361"/>
      <c r="N196" s="361"/>
      <c r="O196" s="361"/>
      <c r="P196" s="361"/>
      <c r="Q196" s="361"/>
      <c r="R196" s="361"/>
      <c r="S196" s="361"/>
      <c r="T196" s="361"/>
      <c r="U196" s="361"/>
      <c r="V196" s="361"/>
      <c r="W196" s="361"/>
      <c r="X196" s="361"/>
      <c r="Y196" s="957"/>
      <c r="Z196" s="957"/>
      <c r="AA196" s="957"/>
      <c r="AB196" s="957"/>
      <c r="AC196" s="957"/>
      <c r="AD196" s="361"/>
    </row>
    <row r="197" spans="2:30" s="349" customFormat="1" ht="20.100000000000001" customHeight="1">
      <c r="B197" s="361"/>
      <c r="C197" s="361"/>
      <c r="D197" s="361"/>
      <c r="E197" s="361"/>
      <c r="F197" s="361"/>
      <c r="G197" s="361"/>
      <c r="H197" s="361"/>
      <c r="I197" s="361"/>
      <c r="J197" s="361"/>
      <c r="K197" s="361"/>
      <c r="L197" s="361"/>
      <c r="M197" s="361"/>
      <c r="N197" s="361"/>
      <c r="O197" s="361"/>
      <c r="P197" s="361"/>
      <c r="Q197" s="361"/>
      <c r="R197" s="361"/>
      <c r="S197" s="361"/>
      <c r="T197" s="361"/>
      <c r="U197" s="361"/>
      <c r="V197" s="361"/>
      <c r="W197" s="361"/>
      <c r="X197" s="361"/>
      <c r="Y197" s="957"/>
      <c r="Z197" s="957"/>
      <c r="AA197" s="957"/>
      <c r="AB197" s="957"/>
      <c r="AC197" s="957"/>
      <c r="AD197" s="361"/>
    </row>
    <row r="198" spans="2:30" s="349" customFormat="1" ht="20.100000000000001" customHeight="1">
      <c r="B198" s="361"/>
      <c r="C198" s="361"/>
      <c r="D198" s="361"/>
      <c r="E198" s="361"/>
      <c r="F198" s="361"/>
      <c r="G198" s="361"/>
      <c r="H198" s="361"/>
      <c r="I198" s="361"/>
      <c r="J198" s="361"/>
      <c r="K198" s="361"/>
      <c r="L198" s="361"/>
      <c r="M198" s="361"/>
      <c r="N198" s="361"/>
      <c r="O198" s="361"/>
      <c r="P198" s="361"/>
      <c r="Q198" s="361"/>
      <c r="R198" s="361"/>
      <c r="S198" s="361"/>
      <c r="T198" s="361"/>
      <c r="U198" s="361"/>
      <c r="V198" s="361"/>
      <c r="W198" s="361"/>
      <c r="X198" s="361"/>
      <c r="Y198" s="957"/>
      <c r="Z198" s="957"/>
      <c r="AA198" s="957"/>
      <c r="AB198" s="957"/>
      <c r="AC198" s="957"/>
      <c r="AD198" s="361"/>
    </row>
    <row r="199" spans="2:30" s="349" customFormat="1" ht="20.100000000000001" customHeight="1">
      <c r="B199" s="361"/>
      <c r="C199" s="361"/>
      <c r="D199" s="361"/>
      <c r="E199" s="361"/>
      <c r="F199" s="361"/>
      <c r="G199" s="361"/>
      <c r="H199" s="361"/>
      <c r="I199" s="361"/>
      <c r="J199" s="361"/>
      <c r="K199" s="361"/>
      <c r="L199" s="361"/>
      <c r="M199" s="361"/>
      <c r="N199" s="361"/>
      <c r="O199" s="361"/>
      <c r="P199" s="361"/>
      <c r="Q199" s="361"/>
      <c r="R199" s="361"/>
      <c r="S199" s="361"/>
      <c r="T199" s="361"/>
      <c r="U199" s="361"/>
      <c r="V199" s="361"/>
      <c r="W199" s="361"/>
      <c r="X199" s="361"/>
      <c r="Y199" s="957"/>
      <c r="Z199" s="957"/>
      <c r="AA199" s="957"/>
      <c r="AB199" s="957"/>
      <c r="AC199" s="957"/>
      <c r="AD199" s="361"/>
    </row>
    <row r="200" spans="2:30" s="349" customFormat="1" ht="20.100000000000001" customHeight="1">
      <c r="B200" s="361"/>
      <c r="C200" s="361"/>
      <c r="D200" s="361"/>
      <c r="E200" s="361"/>
      <c r="F200" s="361"/>
      <c r="G200" s="361"/>
      <c r="H200" s="361"/>
      <c r="I200" s="361"/>
      <c r="J200" s="361"/>
      <c r="K200" s="361"/>
      <c r="L200" s="361"/>
      <c r="M200" s="361"/>
      <c r="N200" s="361"/>
      <c r="O200" s="361"/>
      <c r="P200" s="361"/>
      <c r="Q200" s="361"/>
      <c r="R200" s="361"/>
      <c r="S200" s="361"/>
      <c r="T200" s="361"/>
      <c r="U200" s="361"/>
      <c r="V200" s="361"/>
      <c r="W200" s="361"/>
      <c r="X200" s="361"/>
      <c r="Y200" s="957"/>
      <c r="Z200" s="957"/>
      <c r="AA200" s="957"/>
      <c r="AB200" s="957"/>
      <c r="AC200" s="957"/>
      <c r="AD200" s="361"/>
    </row>
    <row r="201" spans="2:30" s="349" customFormat="1" ht="20.100000000000001" customHeight="1">
      <c r="B201" s="361"/>
      <c r="C201" s="361"/>
      <c r="D201" s="361"/>
      <c r="E201" s="361"/>
      <c r="F201" s="361"/>
      <c r="G201" s="361"/>
      <c r="H201" s="361"/>
      <c r="I201" s="361"/>
      <c r="J201" s="361"/>
      <c r="K201" s="361"/>
      <c r="L201" s="361"/>
      <c r="M201" s="361"/>
      <c r="N201" s="361"/>
      <c r="O201" s="361"/>
      <c r="P201" s="361"/>
      <c r="Q201" s="361"/>
      <c r="R201" s="361"/>
      <c r="S201" s="361"/>
      <c r="T201" s="361"/>
      <c r="U201" s="361"/>
      <c r="V201" s="361"/>
      <c r="W201" s="361"/>
      <c r="X201" s="361"/>
      <c r="Y201" s="957"/>
      <c r="Z201" s="957"/>
      <c r="AA201" s="957"/>
      <c r="AB201" s="957"/>
      <c r="AC201" s="957"/>
      <c r="AD201" s="361"/>
    </row>
    <row r="202" spans="2:30" s="349" customFormat="1" ht="20.100000000000001" customHeight="1">
      <c r="B202" s="361"/>
      <c r="C202" s="361"/>
      <c r="D202" s="361"/>
      <c r="E202" s="361"/>
      <c r="F202" s="361"/>
      <c r="G202" s="361"/>
      <c r="H202" s="361"/>
      <c r="I202" s="361"/>
      <c r="J202" s="361"/>
      <c r="K202" s="361"/>
      <c r="L202" s="361"/>
      <c r="M202" s="361"/>
      <c r="N202" s="361"/>
      <c r="O202" s="361"/>
      <c r="P202" s="361"/>
      <c r="Q202" s="361"/>
      <c r="R202" s="361"/>
      <c r="S202" s="361"/>
      <c r="T202" s="361"/>
      <c r="U202" s="361"/>
      <c r="V202" s="361"/>
      <c r="W202" s="361"/>
      <c r="X202" s="361"/>
      <c r="Y202" s="957"/>
      <c r="Z202" s="957"/>
      <c r="AA202" s="957"/>
      <c r="AB202" s="957"/>
      <c r="AC202" s="957"/>
      <c r="AD202" s="361"/>
    </row>
    <row r="203" spans="2:30" ht="20.100000000000001" customHeight="1"/>
    <row r="204" spans="2:30" ht="9.9499999999999993" customHeight="1"/>
    <row r="205" spans="2:30" ht="20.100000000000001" customHeight="1"/>
    <row r="206" spans="2:30" ht="20.100000000000001" customHeight="1"/>
    <row r="207" spans="2:30" ht="20.100000000000001" customHeight="1"/>
    <row r="208" spans="2:30" ht="20.100000000000001" customHeight="1"/>
    <row r="209" spans="2:30" s="349" customFormat="1" ht="20.100000000000001" customHeight="1">
      <c r="B209" s="361"/>
      <c r="C209" s="361"/>
      <c r="D209" s="361"/>
      <c r="E209" s="361"/>
      <c r="F209" s="361"/>
      <c r="G209" s="361"/>
      <c r="H209" s="361"/>
      <c r="I209" s="361"/>
      <c r="J209" s="361"/>
      <c r="K209" s="361"/>
      <c r="L209" s="361"/>
      <c r="M209" s="361"/>
      <c r="N209" s="361"/>
      <c r="O209" s="361"/>
      <c r="P209" s="361"/>
      <c r="Q209" s="361"/>
      <c r="R209" s="361"/>
      <c r="S209" s="361"/>
      <c r="T209" s="361"/>
      <c r="U209" s="361"/>
      <c r="V209" s="361"/>
      <c r="W209" s="361"/>
      <c r="X209" s="361"/>
      <c r="Y209" s="957"/>
      <c r="Z209" s="957"/>
      <c r="AA209" s="957"/>
      <c r="AB209" s="957"/>
      <c r="AC209" s="957"/>
      <c r="AD209" s="361"/>
    </row>
    <row r="210" spans="2:30" s="349" customFormat="1" ht="20.100000000000001" customHeight="1">
      <c r="B210" s="361"/>
      <c r="C210" s="361"/>
      <c r="D210" s="361"/>
      <c r="E210" s="361"/>
      <c r="F210" s="361"/>
      <c r="G210" s="361"/>
      <c r="H210" s="361"/>
      <c r="I210" s="361"/>
      <c r="J210" s="361"/>
      <c r="K210" s="361"/>
      <c r="L210" s="361"/>
      <c r="M210" s="361"/>
      <c r="N210" s="361"/>
      <c r="O210" s="361"/>
      <c r="P210" s="361"/>
      <c r="Q210" s="361"/>
      <c r="R210" s="361"/>
      <c r="S210" s="361"/>
      <c r="T210" s="361"/>
      <c r="U210" s="361"/>
      <c r="V210" s="361"/>
      <c r="W210" s="361"/>
      <c r="X210" s="361"/>
      <c r="Y210" s="957"/>
      <c r="Z210" s="957"/>
      <c r="AA210" s="957"/>
      <c r="AB210" s="957"/>
      <c r="AC210" s="957"/>
      <c r="AD210" s="361"/>
    </row>
    <row r="211" spans="2:30" s="349" customFormat="1" ht="20.100000000000001" customHeight="1">
      <c r="B211" s="361"/>
      <c r="C211" s="361"/>
      <c r="D211" s="361"/>
      <c r="E211" s="361"/>
      <c r="F211" s="361"/>
      <c r="G211" s="361"/>
      <c r="H211" s="361"/>
      <c r="I211" s="361"/>
      <c r="J211" s="361"/>
      <c r="K211" s="361"/>
      <c r="L211" s="361"/>
      <c r="M211" s="361"/>
      <c r="N211" s="361"/>
      <c r="O211" s="361"/>
      <c r="P211" s="361"/>
      <c r="Q211" s="361"/>
      <c r="R211" s="361"/>
      <c r="S211" s="361"/>
      <c r="T211" s="361"/>
      <c r="U211" s="361"/>
      <c r="V211" s="361"/>
      <c r="W211" s="361"/>
      <c r="X211" s="361"/>
      <c r="Y211" s="957"/>
      <c r="Z211" s="957"/>
      <c r="AA211" s="957"/>
      <c r="AB211" s="957"/>
      <c r="AC211" s="957"/>
      <c r="AD211" s="361"/>
    </row>
    <row r="212" spans="2:30" s="349" customFormat="1" ht="20.100000000000001" customHeight="1">
      <c r="B212" s="361"/>
      <c r="C212" s="361"/>
      <c r="D212" s="361"/>
      <c r="E212" s="361"/>
      <c r="F212" s="361"/>
      <c r="G212" s="361"/>
      <c r="H212" s="361"/>
      <c r="I212" s="361"/>
      <c r="J212" s="361"/>
      <c r="K212" s="361"/>
      <c r="L212" s="361"/>
      <c r="M212" s="361"/>
      <c r="N212" s="361"/>
      <c r="O212" s="361"/>
      <c r="P212" s="361"/>
      <c r="Q212" s="361"/>
      <c r="R212" s="361"/>
      <c r="S212" s="361"/>
      <c r="T212" s="361"/>
      <c r="U212" s="361"/>
      <c r="V212" s="361"/>
      <c r="W212" s="361"/>
      <c r="X212" s="361"/>
      <c r="Y212" s="957"/>
      <c r="Z212" s="957"/>
      <c r="AA212" s="957"/>
      <c r="AB212" s="957"/>
      <c r="AC212" s="957"/>
      <c r="AD212" s="361"/>
    </row>
    <row r="213" spans="2:30" s="349" customFormat="1" ht="20.100000000000001" customHeight="1">
      <c r="B213" s="361"/>
      <c r="C213" s="361"/>
      <c r="D213" s="361"/>
      <c r="E213" s="361"/>
      <c r="F213" s="361"/>
      <c r="G213" s="361"/>
      <c r="H213" s="361"/>
      <c r="I213" s="361"/>
      <c r="J213" s="361"/>
      <c r="K213" s="361"/>
      <c r="L213" s="361"/>
      <c r="M213" s="361"/>
      <c r="N213" s="361"/>
      <c r="O213" s="361"/>
      <c r="P213" s="361"/>
      <c r="Q213" s="361"/>
      <c r="R213" s="361"/>
      <c r="S213" s="361"/>
      <c r="T213" s="361"/>
      <c r="U213" s="361"/>
      <c r="V213" s="361"/>
      <c r="W213" s="361"/>
      <c r="X213" s="361"/>
      <c r="Y213" s="957"/>
      <c r="Z213" s="957"/>
      <c r="AA213" s="957"/>
      <c r="AB213" s="957"/>
      <c r="AC213" s="957"/>
      <c r="AD213" s="361"/>
    </row>
    <row r="214" spans="2:30" s="349" customFormat="1" ht="20.100000000000001" customHeight="1">
      <c r="B214" s="361"/>
      <c r="C214" s="361"/>
      <c r="D214" s="361"/>
      <c r="E214" s="361"/>
      <c r="F214" s="361"/>
      <c r="G214" s="361"/>
      <c r="H214" s="361"/>
      <c r="I214" s="361"/>
      <c r="J214" s="361"/>
      <c r="K214" s="361"/>
      <c r="L214" s="361"/>
      <c r="M214" s="361"/>
      <c r="N214" s="361"/>
      <c r="O214" s="361"/>
      <c r="P214" s="361"/>
      <c r="Q214" s="361"/>
      <c r="R214" s="361"/>
      <c r="S214" s="361"/>
      <c r="T214" s="361"/>
      <c r="U214" s="361"/>
      <c r="V214" s="361"/>
      <c r="W214" s="361"/>
      <c r="X214" s="361"/>
      <c r="Y214" s="957"/>
      <c r="Z214" s="957"/>
      <c r="AA214" s="957"/>
      <c r="AB214" s="957"/>
      <c r="AC214" s="957"/>
      <c r="AD214" s="361"/>
    </row>
    <row r="215" spans="2:30" s="349" customFormat="1" ht="20.100000000000001" customHeight="1">
      <c r="B215" s="361"/>
      <c r="C215" s="361"/>
      <c r="D215" s="361"/>
      <c r="E215" s="361"/>
      <c r="F215" s="361"/>
      <c r="G215" s="361"/>
      <c r="H215" s="361"/>
      <c r="I215" s="361"/>
      <c r="J215" s="361"/>
      <c r="K215" s="361"/>
      <c r="L215" s="361"/>
      <c r="M215" s="361"/>
      <c r="N215" s="361"/>
      <c r="O215" s="361"/>
      <c r="P215" s="361"/>
      <c r="Q215" s="361"/>
      <c r="R215" s="361"/>
      <c r="S215" s="361"/>
      <c r="T215" s="361"/>
      <c r="U215" s="361"/>
      <c r="V215" s="361"/>
      <c r="W215" s="361"/>
      <c r="X215" s="361"/>
      <c r="Y215" s="957"/>
      <c r="Z215" s="957"/>
      <c r="AA215" s="957"/>
      <c r="AB215" s="957"/>
      <c r="AC215" s="957"/>
      <c r="AD215" s="361"/>
    </row>
    <row r="216" spans="2:30" s="349" customFormat="1" ht="20.100000000000001" customHeight="1">
      <c r="B216" s="361"/>
      <c r="C216" s="361"/>
      <c r="D216" s="361"/>
      <c r="E216" s="361"/>
      <c r="F216" s="361"/>
      <c r="G216" s="361"/>
      <c r="H216" s="361"/>
      <c r="I216" s="361"/>
      <c r="J216" s="361"/>
      <c r="K216" s="361"/>
      <c r="L216" s="361"/>
      <c r="M216" s="361"/>
      <c r="N216" s="361"/>
      <c r="O216" s="361"/>
      <c r="P216" s="361"/>
      <c r="Q216" s="361"/>
      <c r="R216" s="361"/>
      <c r="S216" s="361"/>
      <c r="T216" s="361"/>
      <c r="U216" s="361"/>
      <c r="V216" s="361"/>
      <c r="W216" s="361"/>
      <c r="X216" s="361"/>
      <c r="Y216" s="957"/>
      <c r="Z216" s="957"/>
      <c r="AA216" s="957"/>
      <c r="AB216" s="957"/>
      <c r="AC216" s="957"/>
      <c r="AD216" s="361"/>
    </row>
    <row r="217" spans="2:30" s="349" customFormat="1" ht="20.100000000000001" customHeight="1">
      <c r="B217" s="361"/>
      <c r="C217" s="361"/>
      <c r="D217" s="361"/>
      <c r="E217" s="361"/>
      <c r="F217" s="361"/>
      <c r="G217" s="361"/>
      <c r="H217" s="361"/>
      <c r="I217" s="361"/>
      <c r="J217" s="361"/>
      <c r="K217" s="361"/>
      <c r="L217" s="361"/>
      <c r="M217" s="361"/>
      <c r="N217" s="361"/>
      <c r="O217" s="361"/>
      <c r="P217" s="361"/>
      <c r="Q217" s="361"/>
      <c r="R217" s="361"/>
      <c r="S217" s="361"/>
      <c r="T217" s="361"/>
      <c r="U217" s="361"/>
      <c r="V217" s="361"/>
      <c r="W217" s="361"/>
      <c r="X217" s="361"/>
      <c r="Y217" s="957"/>
      <c r="Z217" s="957"/>
      <c r="AA217" s="957"/>
      <c r="AB217" s="957"/>
      <c r="AC217" s="957"/>
      <c r="AD217" s="361"/>
    </row>
    <row r="218" spans="2:30" s="349" customFormat="1" ht="20.100000000000001" customHeight="1">
      <c r="B218" s="361"/>
      <c r="C218" s="361"/>
      <c r="D218" s="361"/>
      <c r="E218" s="361"/>
      <c r="F218" s="361"/>
      <c r="G218" s="361"/>
      <c r="H218" s="361"/>
      <c r="I218" s="361"/>
      <c r="J218" s="361"/>
      <c r="K218" s="361"/>
      <c r="L218" s="361"/>
      <c r="M218" s="361"/>
      <c r="N218" s="361"/>
      <c r="O218" s="361"/>
      <c r="P218" s="361"/>
      <c r="Q218" s="361"/>
      <c r="R218" s="361"/>
      <c r="S218" s="361"/>
      <c r="T218" s="361"/>
      <c r="U218" s="361"/>
      <c r="V218" s="361"/>
      <c r="W218" s="361"/>
      <c r="X218" s="361"/>
      <c r="Y218" s="957"/>
      <c r="Z218" s="957"/>
      <c r="AA218" s="957"/>
      <c r="AB218" s="957"/>
      <c r="AC218" s="957"/>
      <c r="AD218" s="361"/>
    </row>
    <row r="219" spans="2:30" s="349" customFormat="1" ht="20.100000000000001" customHeight="1">
      <c r="B219" s="361"/>
      <c r="C219" s="361"/>
      <c r="D219" s="361"/>
      <c r="E219" s="361"/>
      <c r="F219" s="361"/>
      <c r="G219" s="361"/>
      <c r="H219" s="361"/>
      <c r="I219" s="361"/>
      <c r="J219" s="361"/>
      <c r="K219" s="361"/>
      <c r="L219" s="361"/>
      <c r="M219" s="361"/>
      <c r="N219" s="361"/>
      <c r="O219" s="361"/>
      <c r="P219" s="361"/>
      <c r="Q219" s="361"/>
      <c r="R219" s="361"/>
      <c r="S219" s="361"/>
      <c r="T219" s="361"/>
      <c r="U219" s="361"/>
      <c r="V219" s="361"/>
      <c r="W219" s="361"/>
      <c r="X219" s="361"/>
      <c r="Y219" s="957"/>
      <c r="Z219" s="957"/>
      <c r="AA219" s="957"/>
      <c r="AB219" s="957"/>
      <c r="AC219" s="957"/>
      <c r="AD219" s="361"/>
    </row>
    <row r="220" spans="2:30" s="349" customFormat="1" ht="20.100000000000001" customHeight="1">
      <c r="B220" s="361"/>
      <c r="C220" s="361"/>
      <c r="D220" s="361"/>
      <c r="E220" s="361"/>
      <c r="F220" s="361"/>
      <c r="G220" s="361"/>
      <c r="H220" s="361"/>
      <c r="I220" s="361"/>
      <c r="J220" s="361"/>
      <c r="K220" s="361"/>
      <c r="L220" s="361"/>
      <c r="M220" s="361"/>
      <c r="N220" s="361"/>
      <c r="O220" s="361"/>
      <c r="P220" s="361"/>
      <c r="Q220" s="361"/>
      <c r="R220" s="361"/>
      <c r="S220" s="361"/>
      <c r="T220" s="361"/>
      <c r="U220" s="361"/>
      <c r="V220" s="361"/>
      <c r="W220" s="361"/>
      <c r="X220" s="361"/>
      <c r="Y220" s="957"/>
      <c r="Z220" s="957"/>
      <c r="AA220" s="957"/>
      <c r="AB220" s="957"/>
      <c r="AC220" s="957"/>
      <c r="AD220" s="361"/>
    </row>
    <row r="221" spans="2:30" s="349" customFormat="1" ht="20.100000000000001" customHeight="1">
      <c r="B221" s="361"/>
      <c r="C221" s="361"/>
      <c r="D221" s="361"/>
      <c r="E221" s="361"/>
      <c r="F221" s="361"/>
      <c r="G221" s="361"/>
      <c r="H221" s="361"/>
      <c r="I221" s="361"/>
      <c r="J221" s="361"/>
      <c r="K221" s="361"/>
      <c r="L221" s="361"/>
      <c r="M221" s="361"/>
      <c r="N221" s="361"/>
      <c r="O221" s="361"/>
      <c r="P221" s="361"/>
      <c r="Q221" s="361"/>
      <c r="R221" s="361"/>
      <c r="S221" s="361"/>
      <c r="T221" s="361"/>
      <c r="U221" s="361"/>
      <c r="V221" s="361"/>
      <c r="W221" s="361"/>
      <c r="X221" s="361"/>
      <c r="Y221" s="957"/>
      <c r="Z221" s="957"/>
      <c r="AA221" s="957"/>
      <c r="AB221" s="957"/>
      <c r="AC221" s="957"/>
      <c r="AD221" s="361"/>
    </row>
    <row r="222" spans="2:30" s="349" customFormat="1" ht="20.100000000000001" customHeight="1">
      <c r="B222" s="361"/>
      <c r="C222" s="361"/>
      <c r="D222" s="361"/>
      <c r="E222" s="361"/>
      <c r="F222" s="361"/>
      <c r="G222" s="361"/>
      <c r="H222" s="361"/>
      <c r="I222" s="361"/>
      <c r="J222" s="361"/>
      <c r="K222" s="361"/>
      <c r="L222" s="361"/>
      <c r="M222" s="361"/>
      <c r="N222" s="361"/>
      <c r="O222" s="361"/>
      <c r="P222" s="361"/>
      <c r="Q222" s="361"/>
      <c r="R222" s="361"/>
      <c r="S222" s="361"/>
      <c r="T222" s="361"/>
      <c r="U222" s="361"/>
      <c r="V222" s="361"/>
      <c r="W222" s="361"/>
      <c r="X222" s="361"/>
      <c r="Y222" s="957"/>
      <c r="Z222" s="957"/>
      <c r="AA222" s="957"/>
      <c r="AB222" s="957"/>
      <c r="AC222" s="957"/>
      <c r="AD222" s="361"/>
    </row>
    <row r="223" spans="2:30" s="349" customFormat="1" ht="20.100000000000001" customHeight="1">
      <c r="B223" s="361"/>
      <c r="C223" s="361"/>
      <c r="D223" s="361"/>
      <c r="E223" s="361"/>
      <c r="F223" s="361"/>
      <c r="G223" s="361"/>
      <c r="H223" s="361"/>
      <c r="I223" s="361"/>
      <c r="J223" s="361"/>
      <c r="K223" s="361"/>
      <c r="L223" s="361"/>
      <c r="M223" s="361"/>
      <c r="N223" s="361"/>
      <c r="O223" s="361"/>
      <c r="P223" s="361"/>
      <c r="Q223" s="361"/>
      <c r="R223" s="361"/>
      <c r="S223" s="361"/>
      <c r="T223" s="361"/>
      <c r="U223" s="361"/>
      <c r="V223" s="361"/>
      <c r="W223" s="361"/>
      <c r="X223" s="361"/>
      <c r="Y223" s="957"/>
      <c r="Z223" s="957"/>
      <c r="AA223" s="957"/>
      <c r="AB223" s="957"/>
      <c r="AC223" s="957"/>
      <c r="AD223" s="361"/>
    </row>
    <row r="224" spans="2:30" s="349" customFormat="1" ht="20.100000000000001" customHeight="1">
      <c r="B224" s="361"/>
      <c r="C224" s="361"/>
      <c r="D224" s="361"/>
      <c r="E224" s="361"/>
      <c r="F224" s="361"/>
      <c r="G224" s="361"/>
      <c r="H224" s="361"/>
      <c r="I224" s="361"/>
      <c r="J224" s="361"/>
      <c r="K224" s="361"/>
      <c r="L224" s="361"/>
      <c r="M224" s="361"/>
      <c r="N224" s="361"/>
      <c r="O224" s="361"/>
      <c r="P224" s="361"/>
      <c r="Q224" s="361"/>
      <c r="R224" s="361"/>
      <c r="S224" s="361"/>
      <c r="T224" s="361"/>
      <c r="U224" s="361"/>
      <c r="V224" s="361"/>
      <c r="W224" s="361"/>
      <c r="X224" s="361"/>
      <c r="Y224" s="957"/>
      <c r="Z224" s="957"/>
      <c r="AA224" s="957"/>
      <c r="AB224" s="957"/>
      <c r="AC224" s="957"/>
      <c r="AD224" s="361"/>
    </row>
    <row r="225" spans="2:30" s="349" customFormat="1" ht="19.899999999999999" customHeight="1">
      <c r="B225" s="361"/>
      <c r="C225" s="361"/>
      <c r="D225" s="361"/>
      <c r="E225" s="361"/>
      <c r="F225" s="361"/>
      <c r="G225" s="361"/>
      <c r="H225" s="361"/>
      <c r="I225" s="361"/>
      <c r="J225" s="361"/>
      <c r="K225" s="361"/>
      <c r="L225" s="361"/>
      <c r="M225" s="361"/>
      <c r="N225" s="361"/>
      <c r="O225" s="361"/>
      <c r="P225" s="361"/>
      <c r="Q225" s="361"/>
      <c r="R225" s="361"/>
      <c r="S225" s="361"/>
      <c r="T225" s="361"/>
      <c r="U225" s="361"/>
      <c r="V225" s="361"/>
      <c r="W225" s="361"/>
      <c r="X225" s="361"/>
      <c r="Y225" s="957"/>
      <c r="Z225" s="957"/>
      <c r="AA225" s="957"/>
      <c r="AB225" s="957"/>
      <c r="AC225" s="957"/>
      <c r="AD225" s="361"/>
    </row>
    <row r="226" spans="2:30" s="349" customFormat="1" ht="20.100000000000001" customHeight="1">
      <c r="B226" s="361"/>
      <c r="C226" s="361"/>
      <c r="D226" s="361"/>
      <c r="E226" s="361"/>
      <c r="F226" s="361"/>
      <c r="G226" s="361"/>
      <c r="H226" s="361"/>
      <c r="I226" s="361"/>
      <c r="J226" s="361"/>
      <c r="K226" s="361"/>
      <c r="L226" s="361"/>
      <c r="M226" s="361"/>
      <c r="N226" s="361"/>
      <c r="O226" s="361"/>
      <c r="P226" s="361"/>
      <c r="Q226" s="361"/>
      <c r="R226" s="361"/>
      <c r="S226" s="361"/>
      <c r="T226" s="361"/>
      <c r="U226" s="361"/>
      <c r="V226" s="361"/>
      <c r="W226" s="361"/>
      <c r="X226" s="361"/>
      <c r="Y226" s="957"/>
      <c r="Z226" s="957"/>
      <c r="AA226" s="957"/>
      <c r="AB226" s="957"/>
      <c r="AC226" s="957"/>
      <c r="AD226" s="361"/>
    </row>
    <row r="227" spans="2:30" s="349" customFormat="1" ht="20.100000000000001" customHeight="1">
      <c r="B227" s="361"/>
      <c r="C227" s="361"/>
      <c r="D227" s="361"/>
      <c r="E227" s="361"/>
      <c r="F227" s="361"/>
      <c r="G227" s="361"/>
      <c r="H227" s="361"/>
      <c r="I227" s="361"/>
      <c r="J227" s="361"/>
      <c r="K227" s="361"/>
      <c r="L227" s="361"/>
      <c r="M227" s="361"/>
      <c r="N227" s="361"/>
      <c r="O227" s="361"/>
      <c r="P227" s="361"/>
      <c r="Q227" s="361"/>
      <c r="R227" s="361"/>
      <c r="S227" s="361"/>
      <c r="T227" s="361"/>
      <c r="U227" s="361"/>
      <c r="V227" s="361"/>
      <c r="W227" s="361"/>
      <c r="X227" s="361"/>
      <c r="Y227" s="957"/>
      <c r="Z227" s="957"/>
      <c r="AA227" s="957"/>
      <c r="AB227" s="957"/>
      <c r="AC227" s="957"/>
      <c r="AD227" s="361"/>
    </row>
    <row r="228" spans="2:30" s="349" customFormat="1" ht="20.100000000000001" customHeight="1">
      <c r="B228" s="361"/>
      <c r="C228" s="361"/>
      <c r="D228" s="361"/>
      <c r="E228" s="361"/>
      <c r="F228" s="361"/>
      <c r="G228" s="361"/>
      <c r="H228" s="361"/>
      <c r="I228" s="361"/>
      <c r="J228" s="361"/>
      <c r="K228" s="361"/>
      <c r="L228" s="361"/>
      <c r="M228" s="361"/>
      <c r="N228" s="361"/>
      <c r="O228" s="361"/>
      <c r="P228" s="361"/>
      <c r="Q228" s="361"/>
      <c r="R228" s="361"/>
      <c r="S228" s="361"/>
      <c r="T228" s="361"/>
      <c r="U228" s="361"/>
      <c r="V228" s="361"/>
      <c r="W228" s="361"/>
      <c r="X228" s="361"/>
      <c r="Y228" s="957"/>
      <c r="Z228" s="957"/>
      <c r="AA228" s="957"/>
      <c r="AB228" s="957"/>
      <c r="AC228" s="957"/>
      <c r="AD228" s="361"/>
    </row>
    <row r="229" spans="2:30" s="349" customFormat="1" ht="20.100000000000001" customHeight="1">
      <c r="B229" s="361"/>
      <c r="C229" s="361"/>
      <c r="D229" s="361"/>
      <c r="E229" s="361"/>
      <c r="F229" s="361"/>
      <c r="G229" s="361"/>
      <c r="H229" s="361"/>
      <c r="I229" s="361"/>
      <c r="J229" s="361"/>
      <c r="K229" s="361"/>
      <c r="L229" s="361"/>
      <c r="M229" s="361"/>
      <c r="N229" s="361"/>
      <c r="O229" s="361"/>
      <c r="P229" s="361"/>
      <c r="Q229" s="361"/>
      <c r="R229" s="361"/>
      <c r="S229" s="361"/>
      <c r="T229" s="361"/>
      <c r="U229" s="361"/>
      <c r="V229" s="361"/>
      <c r="W229" s="361"/>
      <c r="X229" s="361"/>
      <c r="Y229" s="957"/>
      <c r="Z229" s="957"/>
      <c r="AA229" s="957"/>
      <c r="AB229" s="957"/>
      <c r="AC229" s="957"/>
      <c r="AD229" s="361"/>
    </row>
    <row r="230" spans="2:30" s="349" customFormat="1" ht="20.100000000000001" customHeight="1">
      <c r="B230" s="361"/>
      <c r="C230" s="361"/>
      <c r="D230" s="361"/>
      <c r="E230" s="361"/>
      <c r="F230" s="361"/>
      <c r="G230" s="361"/>
      <c r="H230" s="361"/>
      <c r="I230" s="361"/>
      <c r="J230" s="361"/>
      <c r="K230" s="361"/>
      <c r="L230" s="361"/>
      <c r="M230" s="361"/>
      <c r="N230" s="361"/>
      <c r="O230" s="361"/>
      <c r="P230" s="361"/>
      <c r="Q230" s="361"/>
      <c r="R230" s="361"/>
      <c r="S230" s="361"/>
      <c r="T230" s="361"/>
      <c r="U230" s="361"/>
      <c r="V230" s="361"/>
      <c r="W230" s="361"/>
      <c r="X230" s="361"/>
      <c r="Y230" s="957"/>
      <c r="Z230" s="957"/>
      <c r="AA230" s="957"/>
      <c r="AB230" s="957"/>
      <c r="AC230" s="957"/>
      <c r="AD230" s="361"/>
    </row>
    <row r="231" spans="2:30" s="349" customFormat="1" ht="20.100000000000001" customHeight="1">
      <c r="B231" s="361"/>
      <c r="C231" s="361"/>
      <c r="D231" s="361"/>
      <c r="E231" s="361"/>
      <c r="F231" s="361"/>
      <c r="G231" s="361"/>
      <c r="H231" s="361"/>
      <c r="I231" s="361"/>
      <c r="J231" s="361"/>
      <c r="K231" s="361"/>
      <c r="L231" s="361"/>
      <c r="M231" s="361"/>
      <c r="N231" s="361"/>
      <c r="O231" s="361"/>
      <c r="P231" s="361"/>
      <c r="Q231" s="361"/>
      <c r="R231" s="361"/>
      <c r="S231" s="361"/>
      <c r="T231" s="361"/>
      <c r="U231" s="361"/>
      <c r="V231" s="361"/>
      <c r="W231" s="361"/>
      <c r="X231" s="361"/>
      <c r="Y231" s="957"/>
      <c r="Z231" s="957"/>
      <c r="AA231" s="957"/>
      <c r="AB231" s="957"/>
      <c r="AC231" s="957"/>
      <c r="AD231" s="361"/>
    </row>
    <row r="232" spans="2:30" s="349" customFormat="1" ht="20.100000000000001" customHeight="1">
      <c r="B232" s="361"/>
      <c r="C232" s="361"/>
      <c r="D232" s="361"/>
      <c r="E232" s="361"/>
      <c r="F232" s="361"/>
      <c r="G232" s="361"/>
      <c r="H232" s="361"/>
      <c r="I232" s="361"/>
      <c r="J232" s="361"/>
      <c r="K232" s="361"/>
      <c r="L232" s="361"/>
      <c r="M232" s="361"/>
      <c r="N232" s="361"/>
      <c r="O232" s="361"/>
      <c r="P232" s="361"/>
      <c r="Q232" s="361"/>
      <c r="R232" s="361"/>
      <c r="S232" s="361"/>
      <c r="T232" s="361"/>
      <c r="U232" s="361"/>
      <c r="V232" s="361"/>
      <c r="W232" s="361"/>
      <c r="X232" s="361"/>
      <c r="Y232" s="957"/>
      <c r="Z232" s="957"/>
      <c r="AA232" s="957"/>
      <c r="AB232" s="957"/>
      <c r="AC232" s="957"/>
      <c r="AD232" s="361"/>
    </row>
    <row r="233" spans="2:30" s="349" customFormat="1" ht="20.100000000000001" customHeight="1">
      <c r="B233" s="361"/>
      <c r="C233" s="361"/>
      <c r="D233" s="361"/>
      <c r="E233" s="361"/>
      <c r="F233" s="361"/>
      <c r="G233" s="361"/>
      <c r="H233" s="361"/>
      <c r="I233" s="361"/>
      <c r="J233" s="361"/>
      <c r="K233" s="361"/>
      <c r="L233" s="361"/>
      <c r="M233" s="361"/>
      <c r="N233" s="361"/>
      <c r="O233" s="361"/>
      <c r="P233" s="361"/>
      <c r="Q233" s="361"/>
      <c r="R233" s="361"/>
      <c r="S233" s="361"/>
      <c r="T233" s="361"/>
      <c r="U233" s="361"/>
      <c r="V233" s="361"/>
      <c r="W233" s="361"/>
      <c r="X233" s="361"/>
      <c r="Y233" s="957"/>
      <c r="Z233" s="957"/>
      <c r="AA233" s="957"/>
      <c r="AB233" s="957"/>
      <c r="AC233" s="957"/>
      <c r="AD233" s="361"/>
    </row>
    <row r="234" spans="2:30" s="349" customFormat="1" ht="20.100000000000001" customHeight="1">
      <c r="B234" s="361"/>
      <c r="C234" s="361"/>
      <c r="D234" s="361"/>
      <c r="E234" s="361"/>
      <c r="F234" s="361"/>
      <c r="G234" s="361"/>
      <c r="H234" s="361"/>
      <c r="I234" s="361"/>
      <c r="J234" s="361"/>
      <c r="K234" s="361"/>
      <c r="L234" s="361"/>
      <c r="M234" s="361"/>
      <c r="N234" s="361"/>
      <c r="O234" s="361"/>
      <c r="P234" s="361"/>
      <c r="Q234" s="361"/>
      <c r="R234" s="361"/>
      <c r="S234" s="361"/>
      <c r="T234" s="361"/>
      <c r="U234" s="361"/>
      <c r="V234" s="361"/>
      <c r="W234" s="361"/>
      <c r="X234" s="361"/>
      <c r="Y234" s="957"/>
      <c r="Z234" s="957"/>
      <c r="AA234" s="957"/>
      <c r="AB234" s="957"/>
      <c r="AC234" s="957"/>
      <c r="AD234" s="361"/>
    </row>
    <row r="235" spans="2:30" s="349" customFormat="1" ht="20.100000000000001" customHeight="1">
      <c r="B235" s="361"/>
      <c r="C235" s="361"/>
      <c r="D235" s="361"/>
      <c r="E235" s="361"/>
      <c r="F235" s="361"/>
      <c r="G235" s="361"/>
      <c r="H235" s="361"/>
      <c r="I235" s="361"/>
      <c r="J235" s="361"/>
      <c r="K235" s="361"/>
      <c r="L235" s="361"/>
      <c r="M235" s="361"/>
      <c r="N235" s="361"/>
      <c r="O235" s="361"/>
      <c r="P235" s="361"/>
      <c r="Q235" s="361"/>
      <c r="R235" s="361"/>
      <c r="S235" s="361"/>
      <c r="T235" s="361"/>
      <c r="U235" s="361"/>
      <c r="V235" s="361"/>
      <c r="W235" s="361"/>
      <c r="X235" s="361"/>
      <c r="Y235" s="957"/>
      <c r="Z235" s="957"/>
      <c r="AA235" s="957"/>
      <c r="AB235" s="957"/>
      <c r="AC235" s="957"/>
      <c r="AD235" s="361"/>
    </row>
    <row r="236" spans="2:30" s="349" customFormat="1" ht="20.100000000000001" customHeight="1">
      <c r="B236" s="361"/>
      <c r="C236" s="361"/>
      <c r="D236" s="361"/>
      <c r="E236" s="361"/>
      <c r="F236" s="361"/>
      <c r="G236" s="361"/>
      <c r="H236" s="361"/>
      <c r="I236" s="361"/>
      <c r="J236" s="361"/>
      <c r="K236" s="361"/>
      <c r="L236" s="361"/>
      <c r="M236" s="361"/>
      <c r="N236" s="361"/>
      <c r="O236" s="361"/>
      <c r="P236" s="361"/>
      <c r="Q236" s="361"/>
      <c r="R236" s="361"/>
      <c r="S236" s="361"/>
      <c r="T236" s="361"/>
      <c r="U236" s="361"/>
      <c r="V236" s="361"/>
      <c r="W236" s="361"/>
      <c r="X236" s="361"/>
      <c r="Y236" s="957"/>
      <c r="Z236" s="957"/>
      <c r="AA236" s="957"/>
      <c r="AB236" s="957"/>
      <c r="AC236" s="957"/>
      <c r="AD236" s="361"/>
    </row>
    <row r="237" spans="2:30" s="349" customFormat="1" ht="20.100000000000001" customHeight="1">
      <c r="B237" s="361"/>
      <c r="C237" s="361"/>
      <c r="D237" s="361"/>
      <c r="E237" s="361"/>
      <c r="F237" s="361"/>
      <c r="G237" s="361"/>
      <c r="H237" s="361"/>
      <c r="I237" s="361"/>
      <c r="J237" s="361"/>
      <c r="K237" s="361"/>
      <c r="L237" s="361"/>
      <c r="M237" s="361"/>
      <c r="N237" s="361"/>
      <c r="O237" s="361"/>
      <c r="P237" s="361"/>
      <c r="Q237" s="361"/>
      <c r="R237" s="361"/>
      <c r="S237" s="361"/>
      <c r="T237" s="361"/>
      <c r="U237" s="361"/>
      <c r="V237" s="361"/>
      <c r="W237" s="361"/>
      <c r="X237" s="361"/>
      <c r="Y237" s="957"/>
      <c r="Z237" s="957"/>
      <c r="AA237" s="957"/>
      <c r="AB237" s="957"/>
      <c r="AC237" s="957"/>
      <c r="AD237" s="361"/>
    </row>
    <row r="238" spans="2:30" s="349" customFormat="1" ht="20.100000000000001" customHeight="1">
      <c r="B238" s="361"/>
      <c r="C238" s="361"/>
      <c r="D238" s="361"/>
      <c r="E238" s="361"/>
      <c r="F238" s="361"/>
      <c r="G238" s="361"/>
      <c r="H238" s="361"/>
      <c r="I238" s="361"/>
      <c r="J238" s="361"/>
      <c r="K238" s="361"/>
      <c r="L238" s="361"/>
      <c r="M238" s="361"/>
      <c r="N238" s="361"/>
      <c r="O238" s="361"/>
      <c r="P238" s="361"/>
      <c r="Q238" s="361"/>
      <c r="R238" s="361"/>
      <c r="S238" s="361"/>
      <c r="T238" s="361"/>
      <c r="U238" s="361"/>
      <c r="V238" s="361"/>
      <c r="W238" s="361"/>
      <c r="X238" s="361"/>
      <c r="Y238" s="957"/>
      <c r="Z238" s="957"/>
      <c r="AA238" s="957"/>
      <c r="AB238" s="957"/>
      <c r="AC238" s="957"/>
      <c r="AD238" s="361"/>
    </row>
    <row r="239" spans="2:30" s="349" customFormat="1" ht="20.100000000000001" customHeight="1">
      <c r="B239" s="361"/>
      <c r="C239" s="361"/>
      <c r="D239" s="361"/>
      <c r="E239" s="361"/>
      <c r="F239" s="361"/>
      <c r="G239" s="361"/>
      <c r="H239" s="361"/>
      <c r="I239" s="361"/>
      <c r="J239" s="361"/>
      <c r="K239" s="361"/>
      <c r="L239" s="361"/>
      <c r="M239" s="361"/>
      <c r="N239" s="361"/>
      <c r="O239" s="361"/>
      <c r="P239" s="361"/>
      <c r="Q239" s="361"/>
      <c r="R239" s="361"/>
      <c r="S239" s="361"/>
      <c r="T239" s="361"/>
      <c r="U239" s="361"/>
      <c r="V239" s="361"/>
      <c r="W239" s="361"/>
      <c r="X239" s="361"/>
      <c r="Y239" s="957"/>
      <c r="Z239" s="957"/>
      <c r="AA239" s="957"/>
      <c r="AB239" s="957"/>
      <c r="AC239" s="957"/>
      <c r="AD239" s="361"/>
    </row>
    <row r="240" spans="2:30" s="349" customFormat="1" ht="20.100000000000001" customHeight="1">
      <c r="B240" s="361"/>
      <c r="C240" s="361"/>
      <c r="D240" s="361"/>
      <c r="E240" s="361"/>
      <c r="F240" s="361"/>
      <c r="G240" s="361"/>
      <c r="H240" s="361"/>
      <c r="I240" s="361"/>
      <c r="J240" s="361"/>
      <c r="K240" s="361"/>
      <c r="L240" s="361"/>
      <c r="M240" s="361"/>
      <c r="N240" s="361"/>
      <c r="O240" s="361"/>
      <c r="P240" s="361"/>
      <c r="Q240" s="361"/>
      <c r="R240" s="361"/>
      <c r="S240" s="361"/>
      <c r="T240" s="361"/>
      <c r="U240" s="361"/>
      <c r="V240" s="361"/>
      <c r="W240" s="361"/>
      <c r="X240" s="361"/>
      <c r="Y240" s="957"/>
      <c r="Z240" s="957"/>
      <c r="AA240" s="957"/>
      <c r="AB240" s="957"/>
      <c r="AC240" s="957"/>
      <c r="AD240" s="361"/>
    </row>
    <row r="241" spans="2:30" s="349" customFormat="1" ht="20.100000000000001" customHeight="1">
      <c r="B241" s="361"/>
      <c r="C241" s="361"/>
      <c r="D241" s="361"/>
      <c r="E241" s="361"/>
      <c r="F241" s="361"/>
      <c r="G241" s="361"/>
      <c r="H241" s="361"/>
      <c r="I241" s="361"/>
      <c r="J241" s="361"/>
      <c r="K241" s="361"/>
      <c r="L241" s="361"/>
      <c r="M241" s="361"/>
      <c r="N241" s="361"/>
      <c r="O241" s="361"/>
      <c r="P241" s="361"/>
      <c r="Q241" s="361"/>
      <c r="R241" s="361"/>
      <c r="S241" s="361"/>
      <c r="T241" s="361"/>
      <c r="U241" s="361"/>
      <c r="V241" s="361"/>
      <c r="W241" s="361"/>
      <c r="X241" s="361"/>
      <c r="Y241" s="957"/>
      <c r="Z241" s="957"/>
      <c r="AA241" s="957"/>
      <c r="AB241" s="957"/>
      <c r="AC241" s="957"/>
      <c r="AD241" s="361"/>
    </row>
    <row r="242" spans="2:30" s="349" customFormat="1" ht="20.100000000000001" customHeight="1">
      <c r="B242" s="361"/>
      <c r="C242" s="361"/>
      <c r="D242" s="361"/>
      <c r="E242" s="361"/>
      <c r="F242" s="361"/>
      <c r="G242" s="361"/>
      <c r="H242" s="361"/>
      <c r="I242" s="361"/>
      <c r="J242" s="361"/>
      <c r="K242" s="361"/>
      <c r="L242" s="361"/>
      <c r="M242" s="361"/>
      <c r="N242" s="361"/>
      <c r="O242" s="361"/>
      <c r="P242" s="361"/>
      <c r="Q242" s="361"/>
      <c r="R242" s="361"/>
      <c r="S242" s="361"/>
      <c r="T242" s="361"/>
      <c r="U242" s="361"/>
      <c r="V242" s="361"/>
      <c r="W242" s="361"/>
      <c r="X242" s="361"/>
      <c r="Y242" s="957"/>
      <c r="Z242" s="957"/>
      <c r="AA242" s="957"/>
      <c r="AB242" s="957"/>
      <c r="AC242" s="957"/>
      <c r="AD242" s="361"/>
    </row>
    <row r="243" spans="2:30" s="349" customFormat="1" ht="20.100000000000001" customHeight="1">
      <c r="B243" s="361"/>
      <c r="C243" s="361"/>
      <c r="D243" s="361"/>
      <c r="E243" s="361"/>
      <c r="F243" s="361"/>
      <c r="G243" s="361"/>
      <c r="H243" s="361"/>
      <c r="I243" s="361"/>
      <c r="J243" s="361"/>
      <c r="K243" s="361"/>
      <c r="L243" s="361"/>
      <c r="M243" s="361"/>
      <c r="N243" s="361"/>
      <c r="O243" s="361"/>
      <c r="P243" s="361"/>
      <c r="Q243" s="361"/>
      <c r="R243" s="361"/>
      <c r="S243" s="361"/>
      <c r="T243" s="361"/>
      <c r="U243" s="361"/>
      <c r="V243" s="361"/>
      <c r="W243" s="361"/>
      <c r="X243" s="361"/>
      <c r="Y243" s="957"/>
      <c r="Z243" s="957"/>
      <c r="AA243" s="957"/>
      <c r="AB243" s="957"/>
      <c r="AC243" s="957"/>
      <c r="AD243" s="361"/>
    </row>
    <row r="244" spans="2:30" s="349" customFormat="1" ht="20.100000000000001" customHeight="1">
      <c r="B244" s="361"/>
      <c r="C244" s="361"/>
      <c r="D244" s="361"/>
      <c r="E244" s="361"/>
      <c r="F244" s="361"/>
      <c r="G244" s="361"/>
      <c r="H244" s="361"/>
      <c r="I244" s="361"/>
      <c r="J244" s="361"/>
      <c r="K244" s="361"/>
      <c r="L244" s="361"/>
      <c r="M244" s="361"/>
      <c r="N244" s="361"/>
      <c r="O244" s="361"/>
      <c r="P244" s="361"/>
      <c r="Q244" s="361"/>
      <c r="R244" s="361"/>
      <c r="S244" s="361"/>
      <c r="T244" s="361"/>
      <c r="U244" s="361"/>
      <c r="V244" s="361"/>
      <c r="W244" s="361"/>
      <c r="X244" s="361"/>
      <c r="Y244" s="957"/>
      <c r="Z244" s="957"/>
      <c r="AA244" s="957"/>
      <c r="AB244" s="957"/>
      <c r="AC244" s="957"/>
      <c r="AD244" s="361"/>
    </row>
    <row r="245" spans="2:30" s="349" customFormat="1" ht="20.100000000000001" customHeight="1">
      <c r="B245" s="361"/>
      <c r="C245" s="361"/>
      <c r="D245" s="361"/>
      <c r="E245" s="361"/>
      <c r="F245" s="361"/>
      <c r="G245" s="361"/>
      <c r="H245" s="361"/>
      <c r="I245" s="361"/>
      <c r="J245" s="361"/>
      <c r="K245" s="361"/>
      <c r="L245" s="361"/>
      <c r="M245" s="361"/>
      <c r="N245" s="361"/>
      <c r="O245" s="361"/>
      <c r="P245" s="361"/>
      <c r="Q245" s="361"/>
      <c r="R245" s="361"/>
      <c r="S245" s="361"/>
      <c r="T245" s="361"/>
      <c r="U245" s="361"/>
      <c r="V245" s="361"/>
      <c r="W245" s="361"/>
      <c r="X245" s="361"/>
      <c r="Y245" s="957"/>
      <c r="Z245" s="957"/>
      <c r="AA245" s="957"/>
      <c r="AB245" s="957"/>
      <c r="AC245" s="957"/>
      <c r="AD245" s="361"/>
    </row>
    <row r="246" spans="2:30" ht="20.100000000000001" customHeight="1"/>
    <row r="247" spans="2:30" ht="9.9499999999999993" customHeight="1"/>
    <row r="248" spans="2:30" ht="20.100000000000001" customHeight="1"/>
    <row r="249" spans="2:30" ht="20.100000000000001" customHeight="1"/>
    <row r="250" spans="2:30" ht="20.100000000000001" customHeight="1"/>
    <row r="251" spans="2:30" s="349" customFormat="1" ht="20.100000000000001" customHeight="1">
      <c r="B251" s="361"/>
      <c r="C251" s="361"/>
      <c r="D251" s="361"/>
      <c r="E251" s="361"/>
      <c r="F251" s="361"/>
      <c r="G251" s="361"/>
      <c r="H251" s="361"/>
      <c r="I251" s="361"/>
      <c r="J251" s="361"/>
      <c r="K251" s="361"/>
      <c r="L251" s="361"/>
      <c r="M251" s="361"/>
      <c r="N251" s="361"/>
      <c r="O251" s="361"/>
      <c r="P251" s="361"/>
      <c r="Q251" s="361"/>
      <c r="R251" s="361"/>
      <c r="S251" s="361"/>
      <c r="T251" s="361"/>
      <c r="U251" s="361"/>
      <c r="V251" s="361"/>
      <c r="W251" s="361"/>
      <c r="X251" s="361"/>
      <c r="Y251" s="957"/>
      <c r="Z251" s="957"/>
      <c r="AA251" s="957"/>
      <c r="AB251" s="957"/>
      <c r="AC251" s="957"/>
      <c r="AD251" s="361"/>
    </row>
    <row r="252" spans="2:30" s="349" customFormat="1" ht="20.100000000000001" customHeight="1">
      <c r="B252" s="361"/>
      <c r="C252" s="361"/>
      <c r="D252" s="361"/>
      <c r="E252" s="361"/>
      <c r="F252" s="361"/>
      <c r="G252" s="361"/>
      <c r="H252" s="361"/>
      <c r="I252" s="361"/>
      <c r="J252" s="361"/>
      <c r="K252" s="361"/>
      <c r="L252" s="361"/>
      <c r="M252" s="361"/>
      <c r="N252" s="361"/>
      <c r="O252" s="361"/>
      <c r="P252" s="361"/>
      <c r="Q252" s="361"/>
      <c r="R252" s="361"/>
      <c r="S252" s="361"/>
      <c r="T252" s="361"/>
      <c r="U252" s="361"/>
      <c r="V252" s="361"/>
      <c r="W252" s="361"/>
      <c r="X252" s="361"/>
      <c r="Y252" s="957"/>
      <c r="Z252" s="957"/>
      <c r="AA252" s="957"/>
      <c r="AB252" s="957"/>
      <c r="AC252" s="957"/>
      <c r="AD252" s="361"/>
    </row>
    <row r="253" spans="2:30" s="349" customFormat="1" ht="20.100000000000001" customHeight="1">
      <c r="B253" s="361"/>
      <c r="C253" s="361"/>
      <c r="D253" s="361"/>
      <c r="E253" s="361"/>
      <c r="F253" s="361"/>
      <c r="G253" s="361"/>
      <c r="H253" s="361"/>
      <c r="I253" s="361"/>
      <c r="J253" s="361"/>
      <c r="K253" s="361"/>
      <c r="L253" s="361"/>
      <c r="M253" s="361"/>
      <c r="N253" s="361"/>
      <c r="O253" s="361"/>
      <c r="P253" s="361"/>
      <c r="Q253" s="361"/>
      <c r="R253" s="361"/>
      <c r="S253" s="361"/>
      <c r="T253" s="361"/>
      <c r="U253" s="361"/>
      <c r="V253" s="361"/>
      <c r="W253" s="361"/>
      <c r="X253" s="361"/>
      <c r="Y253" s="957"/>
      <c r="Z253" s="957"/>
      <c r="AA253" s="957"/>
      <c r="AB253" s="957"/>
      <c r="AC253" s="957"/>
      <c r="AD253" s="361"/>
    </row>
    <row r="254" spans="2:30" s="349" customFormat="1" ht="20.100000000000001" customHeight="1">
      <c r="B254" s="361"/>
      <c r="C254" s="361"/>
      <c r="D254" s="361"/>
      <c r="E254" s="361"/>
      <c r="F254" s="361"/>
      <c r="G254" s="361"/>
      <c r="H254" s="361"/>
      <c r="I254" s="361"/>
      <c r="J254" s="361"/>
      <c r="K254" s="361"/>
      <c r="L254" s="361"/>
      <c r="M254" s="361"/>
      <c r="N254" s="361"/>
      <c r="O254" s="361"/>
      <c r="P254" s="361"/>
      <c r="Q254" s="361"/>
      <c r="R254" s="361"/>
      <c r="S254" s="361"/>
      <c r="T254" s="361"/>
      <c r="U254" s="361"/>
      <c r="V254" s="361"/>
      <c r="W254" s="361"/>
      <c r="X254" s="361"/>
      <c r="Y254" s="957"/>
      <c r="Z254" s="957"/>
      <c r="AA254" s="957"/>
      <c r="AB254" s="957"/>
      <c r="AC254" s="957"/>
      <c r="AD254" s="361"/>
    </row>
    <row r="255" spans="2:30" s="349" customFormat="1" ht="20.100000000000001" customHeight="1">
      <c r="B255" s="361"/>
      <c r="C255" s="361"/>
      <c r="D255" s="361"/>
      <c r="E255" s="361"/>
      <c r="F255" s="361"/>
      <c r="G255" s="361"/>
      <c r="H255" s="361"/>
      <c r="I255" s="361"/>
      <c r="J255" s="361"/>
      <c r="K255" s="361"/>
      <c r="L255" s="361"/>
      <c r="M255" s="361"/>
      <c r="N255" s="361"/>
      <c r="O255" s="361"/>
      <c r="P255" s="361"/>
      <c r="Q255" s="361"/>
      <c r="R255" s="361"/>
      <c r="S255" s="361"/>
      <c r="T255" s="361"/>
      <c r="U255" s="361"/>
      <c r="V255" s="361"/>
      <c r="W255" s="361"/>
      <c r="X255" s="361"/>
      <c r="Y255" s="957"/>
      <c r="Z255" s="957"/>
      <c r="AA255" s="957"/>
      <c r="AB255" s="957"/>
      <c r="AC255" s="957"/>
      <c r="AD255" s="361"/>
    </row>
    <row r="256" spans="2:30" s="349" customFormat="1" ht="20.100000000000001" customHeight="1">
      <c r="B256" s="361"/>
      <c r="C256" s="361"/>
      <c r="D256" s="361"/>
      <c r="E256" s="361"/>
      <c r="F256" s="361"/>
      <c r="G256" s="361"/>
      <c r="H256" s="361"/>
      <c r="I256" s="361"/>
      <c r="J256" s="361"/>
      <c r="K256" s="361"/>
      <c r="L256" s="361"/>
      <c r="M256" s="361"/>
      <c r="N256" s="361"/>
      <c r="O256" s="361"/>
      <c r="P256" s="361"/>
      <c r="Q256" s="361"/>
      <c r="R256" s="361"/>
      <c r="S256" s="361"/>
      <c r="T256" s="361"/>
      <c r="U256" s="361"/>
      <c r="V256" s="361"/>
      <c r="W256" s="361"/>
      <c r="X256" s="361"/>
      <c r="Y256" s="957"/>
      <c r="Z256" s="957"/>
      <c r="AA256" s="957"/>
      <c r="AB256" s="957"/>
      <c r="AC256" s="957"/>
      <c r="AD256" s="361"/>
    </row>
    <row r="257" spans="2:30" s="349" customFormat="1" ht="20.100000000000001" customHeight="1">
      <c r="B257" s="361"/>
      <c r="C257" s="361"/>
      <c r="D257" s="361"/>
      <c r="E257" s="361"/>
      <c r="F257" s="361"/>
      <c r="G257" s="361"/>
      <c r="H257" s="361"/>
      <c r="I257" s="361"/>
      <c r="J257" s="361"/>
      <c r="K257" s="361"/>
      <c r="L257" s="361"/>
      <c r="M257" s="361"/>
      <c r="N257" s="361"/>
      <c r="O257" s="361"/>
      <c r="P257" s="361"/>
      <c r="Q257" s="361"/>
      <c r="R257" s="361"/>
      <c r="S257" s="361"/>
      <c r="T257" s="361"/>
      <c r="U257" s="361"/>
      <c r="V257" s="361"/>
      <c r="W257" s="361"/>
      <c r="X257" s="361"/>
      <c r="Y257" s="957"/>
      <c r="Z257" s="957"/>
      <c r="AA257" s="957"/>
      <c r="AB257" s="957"/>
      <c r="AC257" s="957"/>
      <c r="AD257" s="361"/>
    </row>
    <row r="258" spans="2:30" s="349" customFormat="1" ht="20.100000000000001" customHeight="1">
      <c r="B258" s="361"/>
      <c r="C258" s="361"/>
      <c r="D258" s="361"/>
      <c r="E258" s="361"/>
      <c r="F258" s="361"/>
      <c r="G258" s="361"/>
      <c r="H258" s="361"/>
      <c r="I258" s="361"/>
      <c r="J258" s="361"/>
      <c r="K258" s="361"/>
      <c r="L258" s="361"/>
      <c r="M258" s="361"/>
      <c r="N258" s="361"/>
      <c r="O258" s="361"/>
      <c r="P258" s="361"/>
      <c r="Q258" s="361"/>
      <c r="R258" s="361"/>
      <c r="S258" s="361"/>
      <c r="T258" s="361"/>
      <c r="U258" s="361"/>
      <c r="V258" s="361"/>
      <c r="W258" s="361"/>
      <c r="X258" s="361"/>
      <c r="Y258" s="957"/>
      <c r="Z258" s="957"/>
      <c r="AA258" s="957"/>
      <c r="AB258" s="957"/>
      <c r="AC258" s="957"/>
      <c r="AD258" s="361"/>
    </row>
    <row r="259" spans="2:30" s="349" customFormat="1" ht="20.100000000000001" customHeight="1">
      <c r="B259" s="361"/>
      <c r="C259" s="361"/>
      <c r="D259" s="361"/>
      <c r="E259" s="361"/>
      <c r="F259" s="361"/>
      <c r="G259" s="361"/>
      <c r="H259" s="361"/>
      <c r="I259" s="361"/>
      <c r="J259" s="361"/>
      <c r="K259" s="361"/>
      <c r="L259" s="361"/>
      <c r="M259" s="361"/>
      <c r="N259" s="361"/>
      <c r="O259" s="361"/>
      <c r="P259" s="361"/>
      <c r="Q259" s="361"/>
      <c r="R259" s="361"/>
      <c r="S259" s="361"/>
      <c r="T259" s="361"/>
      <c r="U259" s="361"/>
      <c r="V259" s="361"/>
      <c r="W259" s="361"/>
      <c r="X259" s="361"/>
      <c r="Y259" s="957"/>
      <c r="Z259" s="957"/>
      <c r="AA259" s="957"/>
      <c r="AB259" s="957"/>
      <c r="AC259" s="957"/>
      <c r="AD259" s="361"/>
    </row>
    <row r="260" spans="2:30" s="349" customFormat="1" ht="20.100000000000001" customHeight="1">
      <c r="B260" s="361"/>
      <c r="C260" s="361"/>
      <c r="D260" s="361"/>
      <c r="E260" s="361"/>
      <c r="F260" s="361"/>
      <c r="G260" s="361"/>
      <c r="H260" s="361"/>
      <c r="I260" s="361"/>
      <c r="J260" s="361"/>
      <c r="K260" s="361"/>
      <c r="L260" s="361"/>
      <c r="M260" s="361"/>
      <c r="N260" s="361"/>
      <c r="O260" s="361"/>
      <c r="P260" s="361"/>
      <c r="Q260" s="361"/>
      <c r="R260" s="361"/>
      <c r="S260" s="361"/>
      <c r="T260" s="361"/>
      <c r="U260" s="361"/>
      <c r="V260" s="361"/>
      <c r="W260" s="361"/>
      <c r="X260" s="361"/>
      <c r="Y260" s="957"/>
      <c r="Z260" s="957"/>
      <c r="AA260" s="957"/>
      <c r="AB260" s="957"/>
      <c r="AC260" s="957"/>
      <c r="AD260" s="361"/>
    </row>
    <row r="261" spans="2:30" s="349" customFormat="1" ht="20.100000000000001" customHeight="1">
      <c r="B261" s="361"/>
      <c r="C261" s="361"/>
      <c r="D261" s="361"/>
      <c r="E261" s="361"/>
      <c r="F261" s="361"/>
      <c r="G261" s="361"/>
      <c r="H261" s="361"/>
      <c r="I261" s="361"/>
      <c r="J261" s="361"/>
      <c r="K261" s="361"/>
      <c r="L261" s="361"/>
      <c r="M261" s="361"/>
      <c r="N261" s="361"/>
      <c r="O261" s="361"/>
      <c r="P261" s="361"/>
      <c r="Q261" s="361"/>
      <c r="R261" s="361"/>
      <c r="S261" s="361"/>
      <c r="T261" s="361"/>
      <c r="U261" s="361"/>
      <c r="V261" s="361"/>
      <c r="W261" s="361"/>
      <c r="X261" s="361"/>
      <c r="Y261" s="957"/>
      <c r="Z261" s="957"/>
      <c r="AA261" s="957"/>
      <c r="AB261" s="957"/>
      <c r="AC261" s="957"/>
      <c r="AD261" s="361"/>
    </row>
    <row r="262" spans="2:30" s="349" customFormat="1" ht="20.100000000000001" customHeight="1">
      <c r="B262" s="361"/>
      <c r="C262" s="361"/>
      <c r="D262" s="361"/>
      <c r="E262" s="361"/>
      <c r="F262" s="361"/>
      <c r="G262" s="361"/>
      <c r="H262" s="361"/>
      <c r="I262" s="361"/>
      <c r="J262" s="361"/>
      <c r="K262" s="361"/>
      <c r="L262" s="361"/>
      <c r="M262" s="361"/>
      <c r="N262" s="361"/>
      <c r="O262" s="361"/>
      <c r="P262" s="361"/>
      <c r="Q262" s="361"/>
      <c r="R262" s="361"/>
      <c r="S262" s="361"/>
      <c r="T262" s="361"/>
      <c r="U262" s="361"/>
      <c r="V262" s="361"/>
      <c r="W262" s="361"/>
      <c r="X262" s="361"/>
      <c r="Y262" s="957"/>
      <c r="Z262" s="957"/>
      <c r="AA262" s="957"/>
      <c r="AB262" s="957"/>
      <c r="AC262" s="957"/>
      <c r="AD262" s="361"/>
    </row>
    <row r="263" spans="2:30" s="349" customFormat="1" ht="20.100000000000001" customHeight="1">
      <c r="B263" s="361"/>
      <c r="C263" s="361"/>
      <c r="D263" s="361"/>
      <c r="E263" s="361"/>
      <c r="F263" s="361"/>
      <c r="G263" s="361"/>
      <c r="H263" s="361"/>
      <c r="I263" s="361"/>
      <c r="J263" s="361"/>
      <c r="K263" s="361"/>
      <c r="L263" s="361"/>
      <c r="M263" s="361"/>
      <c r="N263" s="361"/>
      <c r="O263" s="361"/>
      <c r="P263" s="361"/>
      <c r="Q263" s="361"/>
      <c r="R263" s="361"/>
      <c r="S263" s="361"/>
      <c r="T263" s="361"/>
      <c r="U263" s="361"/>
      <c r="V263" s="361"/>
      <c r="W263" s="361"/>
      <c r="X263" s="361"/>
      <c r="Y263" s="957"/>
      <c r="Z263" s="957"/>
      <c r="AA263" s="957"/>
      <c r="AB263" s="957"/>
      <c r="AC263" s="957"/>
      <c r="AD263" s="361"/>
    </row>
    <row r="264" spans="2:30" s="349" customFormat="1" ht="20.100000000000001" customHeight="1">
      <c r="B264" s="361"/>
      <c r="C264" s="361"/>
      <c r="D264" s="361"/>
      <c r="E264" s="361"/>
      <c r="F264" s="361"/>
      <c r="G264" s="361"/>
      <c r="H264" s="361"/>
      <c r="I264" s="361"/>
      <c r="J264" s="361"/>
      <c r="K264" s="361"/>
      <c r="L264" s="361"/>
      <c r="M264" s="361"/>
      <c r="N264" s="361"/>
      <c r="O264" s="361"/>
      <c r="P264" s="361"/>
      <c r="Q264" s="361"/>
      <c r="R264" s="361"/>
      <c r="S264" s="361"/>
      <c r="T264" s="361"/>
      <c r="U264" s="361"/>
      <c r="V264" s="361"/>
      <c r="W264" s="361"/>
      <c r="X264" s="361"/>
      <c r="Y264" s="957"/>
      <c r="Z264" s="957"/>
      <c r="AA264" s="957"/>
      <c r="AB264" s="957"/>
      <c r="AC264" s="957"/>
      <c r="AD264" s="361"/>
    </row>
    <row r="265" spans="2:30" s="349" customFormat="1" ht="20.100000000000001" customHeight="1">
      <c r="B265" s="361"/>
      <c r="C265" s="361"/>
      <c r="D265" s="361"/>
      <c r="E265" s="361"/>
      <c r="F265" s="361"/>
      <c r="G265" s="361"/>
      <c r="H265" s="361"/>
      <c r="I265" s="361"/>
      <c r="J265" s="361"/>
      <c r="K265" s="361"/>
      <c r="L265" s="361"/>
      <c r="M265" s="361"/>
      <c r="N265" s="361"/>
      <c r="O265" s="361"/>
      <c r="P265" s="361"/>
      <c r="Q265" s="361"/>
      <c r="R265" s="361"/>
      <c r="S265" s="361"/>
      <c r="T265" s="361"/>
      <c r="U265" s="361"/>
      <c r="V265" s="361"/>
      <c r="W265" s="361"/>
      <c r="X265" s="361"/>
      <c r="Y265" s="957"/>
      <c r="Z265" s="957"/>
      <c r="AA265" s="957"/>
      <c r="AB265" s="957"/>
      <c r="AC265" s="957"/>
      <c r="AD265" s="361"/>
    </row>
    <row r="266" spans="2:30" s="349" customFormat="1" ht="20.100000000000001" customHeight="1">
      <c r="B266" s="361"/>
      <c r="C266" s="361"/>
      <c r="D266" s="361"/>
      <c r="E266" s="361"/>
      <c r="F266" s="361"/>
      <c r="G266" s="361"/>
      <c r="H266" s="361"/>
      <c r="I266" s="361"/>
      <c r="J266" s="361"/>
      <c r="K266" s="361"/>
      <c r="L266" s="361"/>
      <c r="M266" s="361"/>
      <c r="N266" s="361"/>
      <c r="O266" s="361"/>
      <c r="P266" s="361"/>
      <c r="Q266" s="361"/>
      <c r="R266" s="361"/>
      <c r="S266" s="361"/>
      <c r="T266" s="361"/>
      <c r="U266" s="361"/>
      <c r="V266" s="361"/>
      <c r="W266" s="361"/>
      <c r="X266" s="361"/>
      <c r="Y266" s="957"/>
      <c r="Z266" s="957"/>
      <c r="AA266" s="957"/>
      <c r="AB266" s="957"/>
      <c r="AC266" s="957"/>
      <c r="AD266" s="361"/>
    </row>
    <row r="267" spans="2:30" s="349" customFormat="1" ht="20.100000000000001" customHeight="1">
      <c r="B267" s="361"/>
      <c r="C267" s="361"/>
      <c r="D267" s="361"/>
      <c r="E267" s="361"/>
      <c r="F267" s="361"/>
      <c r="G267" s="361"/>
      <c r="H267" s="361"/>
      <c r="I267" s="361"/>
      <c r="J267" s="361"/>
      <c r="K267" s="361"/>
      <c r="L267" s="361"/>
      <c r="M267" s="361"/>
      <c r="N267" s="361"/>
      <c r="O267" s="361"/>
      <c r="P267" s="361"/>
      <c r="Q267" s="361"/>
      <c r="R267" s="361"/>
      <c r="S267" s="361"/>
      <c r="T267" s="361"/>
      <c r="U267" s="361"/>
      <c r="V267" s="361"/>
      <c r="W267" s="361"/>
      <c r="X267" s="361"/>
      <c r="Y267" s="957"/>
      <c r="Z267" s="957"/>
      <c r="AA267" s="957"/>
      <c r="AB267" s="957"/>
      <c r="AC267" s="957"/>
      <c r="AD267" s="361"/>
    </row>
    <row r="268" spans="2:30" s="349" customFormat="1" ht="20.100000000000001" customHeight="1">
      <c r="B268" s="361"/>
      <c r="C268" s="361"/>
      <c r="D268" s="361"/>
      <c r="E268" s="361"/>
      <c r="F268" s="361"/>
      <c r="G268" s="361"/>
      <c r="H268" s="361"/>
      <c r="I268" s="361"/>
      <c r="J268" s="361"/>
      <c r="K268" s="361"/>
      <c r="L268" s="361"/>
      <c r="M268" s="361"/>
      <c r="N268" s="361"/>
      <c r="O268" s="361"/>
      <c r="P268" s="361"/>
      <c r="Q268" s="361"/>
      <c r="R268" s="361"/>
      <c r="S268" s="361"/>
      <c r="T268" s="361"/>
      <c r="U268" s="361"/>
      <c r="V268" s="361"/>
      <c r="W268" s="361"/>
      <c r="X268" s="361"/>
      <c r="Y268" s="957"/>
      <c r="Z268" s="957"/>
      <c r="AA268" s="957"/>
      <c r="AB268" s="957"/>
      <c r="AC268" s="957"/>
      <c r="AD268" s="361"/>
    </row>
    <row r="269" spans="2:30" s="349" customFormat="1" ht="20.100000000000001" customHeight="1">
      <c r="B269" s="361"/>
      <c r="C269" s="361"/>
      <c r="D269" s="361"/>
      <c r="E269" s="361"/>
      <c r="F269" s="361"/>
      <c r="G269" s="361"/>
      <c r="H269" s="361"/>
      <c r="I269" s="361"/>
      <c r="J269" s="361"/>
      <c r="K269" s="361"/>
      <c r="L269" s="361"/>
      <c r="M269" s="361"/>
      <c r="N269" s="361"/>
      <c r="O269" s="361"/>
      <c r="P269" s="361"/>
      <c r="Q269" s="361"/>
      <c r="R269" s="361"/>
      <c r="S269" s="361"/>
      <c r="T269" s="361"/>
      <c r="U269" s="361"/>
      <c r="V269" s="361"/>
      <c r="W269" s="361"/>
      <c r="X269" s="361"/>
      <c r="Y269" s="957"/>
      <c r="Z269" s="957"/>
      <c r="AA269" s="957"/>
      <c r="AB269" s="957"/>
      <c r="AC269" s="957"/>
      <c r="AD269" s="361"/>
    </row>
    <row r="270" spans="2:30" s="349" customFormat="1" ht="20.100000000000001" customHeight="1">
      <c r="B270" s="361"/>
      <c r="C270" s="361"/>
      <c r="D270" s="361"/>
      <c r="E270" s="361"/>
      <c r="F270" s="361"/>
      <c r="G270" s="361"/>
      <c r="H270" s="361"/>
      <c r="I270" s="361"/>
      <c r="J270" s="361"/>
      <c r="K270" s="361"/>
      <c r="L270" s="361"/>
      <c r="M270" s="361"/>
      <c r="N270" s="361"/>
      <c r="O270" s="361"/>
      <c r="P270" s="361"/>
      <c r="Q270" s="361"/>
      <c r="R270" s="361"/>
      <c r="S270" s="361"/>
      <c r="T270" s="361"/>
      <c r="U270" s="361"/>
      <c r="V270" s="361"/>
      <c r="W270" s="361"/>
      <c r="X270" s="361"/>
      <c r="Y270" s="957"/>
      <c r="Z270" s="957"/>
      <c r="AA270" s="957"/>
      <c r="AB270" s="957"/>
      <c r="AC270" s="957"/>
      <c r="AD270" s="361"/>
    </row>
    <row r="271" spans="2:30" s="349" customFormat="1" ht="20.100000000000001" customHeight="1">
      <c r="B271" s="361"/>
      <c r="C271" s="361"/>
      <c r="D271" s="361"/>
      <c r="E271" s="361"/>
      <c r="F271" s="361"/>
      <c r="G271" s="361"/>
      <c r="H271" s="361"/>
      <c r="I271" s="361"/>
      <c r="J271" s="361"/>
      <c r="K271" s="361"/>
      <c r="L271" s="361"/>
      <c r="M271" s="361"/>
      <c r="N271" s="361"/>
      <c r="O271" s="361"/>
      <c r="P271" s="361"/>
      <c r="Q271" s="361"/>
      <c r="R271" s="361"/>
      <c r="S271" s="361"/>
      <c r="T271" s="361"/>
      <c r="U271" s="361"/>
      <c r="V271" s="361"/>
      <c r="W271" s="361"/>
      <c r="X271" s="361"/>
      <c r="Y271" s="957"/>
      <c r="Z271" s="957"/>
      <c r="AA271" s="957"/>
      <c r="AB271" s="957"/>
      <c r="AC271" s="957"/>
      <c r="AD271" s="361"/>
    </row>
    <row r="272" spans="2:30" s="349" customFormat="1" ht="20.100000000000001" customHeight="1">
      <c r="B272" s="361"/>
      <c r="C272" s="361"/>
      <c r="D272" s="361"/>
      <c r="E272" s="361"/>
      <c r="F272" s="361"/>
      <c r="G272" s="361"/>
      <c r="H272" s="361"/>
      <c r="I272" s="361"/>
      <c r="J272" s="361"/>
      <c r="K272" s="361"/>
      <c r="L272" s="361"/>
      <c r="M272" s="361"/>
      <c r="N272" s="361"/>
      <c r="O272" s="361"/>
      <c r="P272" s="361"/>
      <c r="Q272" s="361"/>
      <c r="R272" s="361"/>
      <c r="S272" s="361"/>
      <c r="T272" s="361"/>
      <c r="U272" s="361"/>
      <c r="V272" s="361"/>
      <c r="W272" s="361"/>
      <c r="X272" s="361"/>
      <c r="Y272" s="957"/>
      <c r="Z272" s="957"/>
      <c r="AA272" s="957"/>
      <c r="AB272" s="957"/>
      <c r="AC272" s="957"/>
      <c r="AD272" s="361"/>
    </row>
    <row r="273" spans="2:30" s="349" customFormat="1" ht="20.100000000000001" customHeight="1">
      <c r="B273" s="361"/>
      <c r="C273" s="361"/>
      <c r="D273" s="361"/>
      <c r="E273" s="361"/>
      <c r="F273" s="361"/>
      <c r="G273" s="361"/>
      <c r="H273" s="361"/>
      <c r="I273" s="361"/>
      <c r="J273" s="361"/>
      <c r="K273" s="361"/>
      <c r="L273" s="361"/>
      <c r="M273" s="361"/>
      <c r="N273" s="361"/>
      <c r="O273" s="361"/>
      <c r="P273" s="361"/>
      <c r="Q273" s="361"/>
      <c r="R273" s="361"/>
      <c r="S273" s="361"/>
      <c r="T273" s="361"/>
      <c r="U273" s="361"/>
      <c r="V273" s="361"/>
      <c r="W273" s="361"/>
      <c r="X273" s="361"/>
      <c r="Y273" s="957"/>
      <c r="Z273" s="957"/>
      <c r="AA273" s="957"/>
      <c r="AB273" s="957"/>
      <c r="AC273" s="957"/>
      <c r="AD273" s="361"/>
    </row>
    <row r="274" spans="2:30" s="349" customFormat="1" ht="20.100000000000001" customHeight="1">
      <c r="B274" s="361"/>
      <c r="C274" s="361"/>
      <c r="D274" s="361"/>
      <c r="E274" s="361"/>
      <c r="F274" s="361"/>
      <c r="G274" s="361"/>
      <c r="H274" s="361"/>
      <c r="I274" s="361"/>
      <c r="J274" s="361"/>
      <c r="K274" s="361"/>
      <c r="L274" s="361"/>
      <c r="M274" s="361"/>
      <c r="N274" s="361"/>
      <c r="O274" s="361"/>
      <c r="P274" s="361"/>
      <c r="Q274" s="361"/>
      <c r="R274" s="361"/>
      <c r="S274" s="361"/>
      <c r="T274" s="361"/>
      <c r="U274" s="361"/>
      <c r="V274" s="361"/>
      <c r="W274" s="361"/>
      <c r="X274" s="361"/>
      <c r="Y274" s="957"/>
      <c r="Z274" s="957"/>
      <c r="AA274" s="957"/>
      <c r="AB274" s="957"/>
      <c r="AC274" s="957"/>
      <c r="AD274" s="361"/>
    </row>
    <row r="275" spans="2:30" s="349" customFormat="1" ht="20.100000000000001" customHeight="1">
      <c r="B275" s="361"/>
      <c r="C275" s="361"/>
      <c r="D275" s="361"/>
      <c r="E275" s="361"/>
      <c r="F275" s="361"/>
      <c r="G275" s="361"/>
      <c r="H275" s="361"/>
      <c r="I275" s="361"/>
      <c r="J275" s="361"/>
      <c r="K275" s="361"/>
      <c r="L275" s="361"/>
      <c r="M275" s="361"/>
      <c r="N275" s="361"/>
      <c r="O275" s="361"/>
      <c r="P275" s="361"/>
      <c r="Q275" s="361"/>
      <c r="R275" s="361"/>
      <c r="S275" s="361"/>
      <c r="T275" s="361"/>
      <c r="U275" s="361"/>
      <c r="V275" s="361"/>
      <c r="W275" s="361"/>
      <c r="X275" s="361"/>
      <c r="Y275" s="957"/>
      <c r="Z275" s="957"/>
      <c r="AA275" s="957"/>
      <c r="AB275" s="957"/>
      <c r="AC275" s="957"/>
      <c r="AD275" s="361"/>
    </row>
    <row r="276" spans="2:30" s="349" customFormat="1" ht="20.100000000000001" customHeight="1">
      <c r="B276" s="361"/>
      <c r="C276" s="361"/>
      <c r="D276" s="361"/>
      <c r="E276" s="361"/>
      <c r="F276" s="361"/>
      <c r="G276" s="361"/>
      <c r="H276" s="361"/>
      <c r="I276" s="361"/>
      <c r="J276" s="361"/>
      <c r="K276" s="361"/>
      <c r="L276" s="361"/>
      <c r="M276" s="361"/>
      <c r="N276" s="361"/>
      <c r="O276" s="361"/>
      <c r="P276" s="361"/>
      <c r="Q276" s="361"/>
      <c r="R276" s="361"/>
      <c r="S276" s="361"/>
      <c r="T276" s="361"/>
      <c r="U276" s="361"/>
      <c r="V276" s="361"/>
      <c r="W276" s="361"/>
      <c r="X276" s="361"/>
      <c r="Y276" s="957"/>
      <c r="Z276" s="957"/>
      <c r="AA276" s="957"/>
      <c r="AB276" s="957"/>
      <c r="AC276" s="957"/>
      <c r="AD276" s="361"/>
    </row>
    <row r="277" spans="2:30" s="349" customFormat="1" ht="20.100000000000001" customHeight="1">
      <c r="B277" s="361"/>
      <c r="C277" s="361"/>
      <c r="D277" s="361"/>
      <c r="E277" s="361"/>
      <c r="F277" s="361"/>
      <c r="G277" s="361"/>
      <c r="H277" s="361"/>
      <c r="I277" s="361"/>
      <c r="J277" s="361"/>
      <c r="K277" s="361"/>
      <c r="L277" s="361"/>
      <c r="M277" s="361"/>
      <c r="N277" s="361"/>
      <c r="O277" s="361"/>
      <c r="P277" s="361"/>
      <c r="Q277" s="361"/>
      <c r="R277" s="361"/>
      <c r="S277" s="361"/>
      <c r="T277" s="361"/>
      <c r="U277" s="361"/>
      <c r="V277" s="361"/>
      <c r="W277" s="361"/>
      <c r="X277" s="361"/>
      <c r="Y277" s="957"/>
      <c r="Z277" s="957"/>
      <c r="AA277" s="957"/>
      <c r="AB277" s="957"/>
      <c r="AC277" s="957"/>
      <c r="AD277" s="361"/>
    </row>
    <row r="278" spans="2:30" s="349" customFormat="1" ht="20.100000000000001" customHeight="1">
      <c r="B278" s="361"/>
      <c r="C278" s="361"/>
      <c r="D278" s="361"/>
      <c r="E278" s="361"/>
      <c r="F278" s="361"/>
      <c r="G278" s="361"/>
      <c r="H278" s="361"/>
      <c r="I278" s="361"/>
      <c r="J278" s="361"/>
      <c r="K278" s="361"/>
      <c r="L278" s="361"/>
      <c r="M278" s="361"/>
      <c r="N278" s="361"/>
      <c r="O278" s="361"/>
      <c r="P278" s="361"/>
      <c r="Q278" s="361"/>
      <c r="R278" s="361"/>
      <c r="S278" s="361"/>
      <c r="T278" s="361"/>
      <c r="U278" s="361"/>
      <c r="V278" s="361"/>
      <c r="W278" s="361"/>
      <c r="X278" s="361"/>
      <c r="Y278" s="957"/>
      <c r="Z278" s="957"/>
      <c r="AA278" s="957"/>
      <c r="AB278" s="957"/>
      <c r="AC278" s="957"/>
      <c r="AD278" s="361"/>
    </row>
    <row r="279" spans="2:30" s="349" customFormat="1" ht="20.100000000000001" customHeight="1">
      <c r="B279" s="361"/>
      <c r="C279" s="361"/>
      <c r="D279" s="361"/>
      <c r="E279" s="361"/>
      <c r="F279" s="361"/>
      <c r="G279" s="361"/>
      <c r="H279" s="361"/>
      <c r="I279" s="361"/>
      <c r="J279" s="361"/>
      <c r="K279" s="361"/>
      <c r="L279" s="361"/>
      <c r="M279" s="361"/>
      <c r="N279" s="361"/>
      <c r="O279" s="361"/>
      <c r="P279" s="361"/>
      <c r="Q279" s="361"/>
      <c r="R279" s="361"/>
      <c r="S279" s="361"/>
      <c r="T279" s="361"/>
      <c r="U279" s="361"/>
      <c r="V279" s="361"/>
      <c r="W279" s="361"/>
      <c r="X279" s="361"/>
      <c r="Y279" s="957"/>
      <c r="Z279" s="957"/>
      <c r="AA279" s="957"/>
      <c r="AB279" s="957"/>
      <c r="AC279" s="957"/>
      <c r="AD279" s="361"/>
    </row>
    <row r="280" spans="2:30" s="349" customFormat="1" ht="20.100000000000001" customHeight="1">
      <c r="B280" s="361"/>
      <c r="C280" s="361"/>
      <c r="D280" s="361"/>
      <c r="E280" s="361"/>
      <c r="F280" s="361"/>
      <c r="G280" s="361"/>
      <c r="H280" s="361"/>
      <c r="I280" s="361"/>
      <c r="J280" s="361"/>
      <c r="K280" s="361"/>
      <c r="L280" s="361"/>
      <c r="M280" s="361"/>
      <c r="N280" s="361"/>
      <c r="O280" s="361"/>
      <c r="P280" s="361"/>
      <c r="Q280" s="361"/>
      <c r="R280" s="361"/>
      <c r="S280" s="361"/>
      <c r="T280" s="361"/>
      <c r="U280" s="361"/>
      <c r="V280" s="361"/>
      <c r="W280" s="361"/>
      <c r="X280" s="361"/>
      <c r="Y280" s="957"/>
      <c r="Z280" s="957"/>
      <c r="AA280" s="957"/>
      <c r="AB280" s="957"/>
      <c r="AC280" s="957"/>
      <c r="AD280" s="361"/>
    </row>
    <row r="281" spans="2:30" s="349" customFormat="1" ht="20.100000000000001" customHeight="1">
      <c r="B281" s="361"/>
      <c r="C281" s="361"/>
      <c r="D281" s="361"/>
      <c r="E281" s="361"/>
      <c r="F281" s="361"/>
      <c r="G281" s="361"/>
      <c r="H281" s="361"/>
      <c r="I281" s="361"/>
      <c r="J281" s="361"/>
      <c r="K281" s="361"/>
      <c r="L281" s="361"/>
      <c r="M281" s="361"/>
      <c r="N281" s="361"/>
      <c r="O281" s="361"/>
      <c r="P281" s="361"/>
      <c r="Q281" s="361"/>
      <c r="R281" s="361"/>
      <c r="S281" s="361"/>
      <c r="T281" s="361"/>
      <c r="U281" s="361"/>
      <c r="V281" s="361"/>
      <c r="W281" s="361"/>
      <c r="X281" s="361"/>
      <c r="Y281" s="957"/>
      <c r="Z281" s="957"/>
      <c r="AA281" s="957"/>
      <c r="AB281" s="957"/>
      <c r="AC281" s="957"/>
      <c r="AD281" s="361"/>
    </row>
    <row r="282" spans="2:30" s="349" customFormat="1" ht="20.100000000000001" customHeight="1">
      <c r="B282" s="361"/>
      <c r="C282" s="361"/>
      <c r="D282" s="361"/>
      <c r="E282" s="361"/>
      <c r="F282" s="361"/>
      <c r="G282" s="361"/>
      <c r="H282" s="361"/>
      <c r="I282" s="361"/>
      <c r="J282" s="361"/>
      <c r="K282" s="361"/>
      <c r="L282" s="361"/>
      <c r="M282" s="361"/>
      <c r="N282" s="361"/>
      <c r="O282" s="361"/>
      <c r="P282" s="361"/>
      <c r="Q282" s="361"/>
      <c r="R282" s="361"/>
      <c r="S282" s="361"/>
      <c r="T282" s="361"/>
      <c r="U282" s="361"/>
      <c r="V282" s="361"/>
      <c r="W282" s="361"/>
      <c r="X282" s="361"/>
      <c r="Y282" s="957"/>
      <c r="Z282" s="957"/>
      <c r="AA282" s="957"/>
      <c r="AB282" s="957"/>
      <c r="AC282" s="957"/>
      <c r="AD282" s="361"/>
    </row>
    <row r="283" spans="2:30" s="349" customFormat="1" ht="20.100000000000001" customHeight="1">
      <c r="B283" s="361"/>
      <c r="C283" s="361"/>
      <c r="D283" s="361"/>
      <c r="E283" s="361"/>
      <c r="F283" s="361"/>
      <c r="G283" s="361"/>
      <c r="H283" s="361"/>
      <c r="I283" s="361"/>
      <c r="J283" s="361"/>
      <c r="K283" s="361"/>
      <c r="L283" s="361"/>
      <c r="M283" s="361"/>
      <c r="N283" s="361"/>
      <c r="O283" s="361"/>
      <c r="P283" s="361"/>
      <c r="Q283" s="361"/>
      <c r="R283" s="361"/>
      <c r="S283" s="361"/>
      <c r="T283" s="361"/>
      <c r="U283" s="361"/>
      <c r="V283" s="361"/>
      <c r="W283" s="361"/>
      <c r="X283" s="361"/>
      <c r="Y283" s="957"/>
      <c r="Z283" s="957"/>
      <c r="AA283" s="957"/>
      <c r="AB283" s="957"/>
      <c r="AC283" s="957"/>
      <c r="AD283" s="361"/>
    </row>
    <row r="284" spans="2:30" s="349" customFormat="1" ht="20.100000000000001" customHeight="1">
      <c r="B284" s="361"/>
      <c r="C284" s="361"/>
      <c r="D284" s="361"/>
      <c r="E284" s="361"/>
      <c r="F284" s="361"/>
      <c r="G284" s="361"/>
      <c r="H284" s="361"/>
      <c r="I284" s="361"/>
      <c r="J284" s="361"/>
      <c r="K284" s="361"/>
      <c r="L284" s="361"/>
      <c r="M284" s="361"/>
      <c r="N284" s="361"/>
      <c r="O284" s="361"/>
      <c r="P284" s="361"/>
      <c r="Q284" s="361"/>
      <c r="R284" s="361"/>
      <c r="S284" s="361"/>
      <c r="T284" s="361"/>
      <c r="U284" s="361"/>
      <c r="V284" s="361"/>
      <c r="W284" s="361"/>
      <c r="X284" s="361"/>
      <c r="Y284" s="957"/>
      <c r="Z284" s="957"/>
      <c r="AA284" s="957"/>
      <c r="AB284" s="957"/>
      <c r="AC284" s="957"/>
      <c r="AD284" s="361"/>
    </row>
    <row r="285" spans="2:30" s="349" customFormat="1" ht="20.100000000000001" customHeight="1">
      <c r="B285" s="361"/>
      <c r="C285" s="361"/>
      <c r="D285" s="361"/>
      <c r="E285" s="361"/>
      <c r="F285" s="361"/>
      <c r="G285" s="361"/>
      <c r="H285" s="361"/>
      <c r="I285" s="361"/>
      <c r="J285" s="361"/>
      <c r="K285" s="361"/>
      <c r="L285" s="361"/>
      <c r="M285" s="361"/>
      <c r="N285" s="361"/>
      <c r="O285" s="361"/>
      <c r="P285" s="361"/>
      <c r="Q285" s="361"/>
      <c r="R285" s="361"/>
      <c r="S285" s="361"/>
      <c r="T285" s="361"/>
      <c r="U285" s="361"/>
      <c r="V285" s="361"/>
      <c r="W285" s="361"/>
      <c r="X285" s="361"/>
      <c r="Y285" s="957"/>
      <c r="Z285" s="957"/>
      <c r="AA285" s="957"/>
      <c r="AB285" s="957"/>
      <c r="AC285" s="957"/>
      <c r="AD285" s="361"/>
    </row>
    <row r="286" spans="2:30" s="349" customFormat="1" ht="20.100000000000001" customHeight="1">
      <c r="B286" s="361"/>
      <c r="C286" s="361"/>
      <c r="D286" s="361"/>
      <c r="E286" s="361"/>
      <c r="F286" s="361"/>
      <c r="G286" s="361"/>
      <c r="H286" s="361"/>
      <c r="I286" s="361"/>
      <c r="J286" s="361"/>
      <c r="K286" s="361"/>
      <c r="L286" s="361"/>
      <c r="M286" s="361"/>
      <c r="N286" s="361"/>
      <c r="O286" s="361"/>
      <c r="P286" s="361"/>
      <c r="Q286" s="361"/>
      <c r="R286" s="361"/>
      <c r="S286" s="361"/>
      <c r="T286" s="361"/>
      <c r="U286" s="361"/>
      <c r="V286" s="361"/>
      <c r="W286" s="361"/>
      <c r="X286" s="361"/>
      <c r="Y286" s="957"/>
      <c r="Z286" s="957"/>
      <c r="AA286" s="957"/>
      <c r="AB286" s="957"/>
      <c r="AC286" s="957"/>
      <c r="AD286" s="361"/>
    </row>
    <row r="287" spans="2:30" s="349" customFormat="1" ht="20.100000000000001" customHeight="1">
      <c r="B287" s="361"/>
      <c r="C287" s="361"/>
      <c r="D287" s="361"/>
      <c r="E287" s="361"/>
      <c r="F287" s="361"/>
      <c r="G287" s="361"/>
      <c r="H287" s="361"/>
      <c r="I287" s="361"/>
      <c r="J287" s="361"/>
      <c r="K287" s="361"/>
      <c r="L287" s="361"/>
      <c r="M287" s="361"/>
      <c r="N287" s="361"/>
      <c r="O287" s="361"/>
      <c r="P287" s="361"/>
      <c r="Q287" s="361"/>
      <c r="R287" s="361"/>
      <c r="S287" s="361"/>
      <c r="T287" s="361"/>
      <c r="U287" s="361"/>
      <c r="V287" s="361"/>
      <c r="W287" s="361"/>
      <c r="X287" s="361"/>
      <c r="Y287" s="957"/>
      <c r="Z287" s="957"/>
      <c r="AA287" s="957"/>
      <c r="AB287" s="957"/>
      <c r="AC287" s="957"/>
      <c r="AD287" s="361"/>
    </row>
    <row r="288" spans="2:30" ht="20.100000000000001" customHeight="1"/>
    <row r="289" spans="2:30" ht="9.9499999999999993" customHeight="1"/>
    <row r="290" spans="2:30" ht="20.100000000000001" customHeight="1"/>
    <row r="291" spans="2:30" ht="20.100000000000001" customHeight="1"/>
    <row r="292" spans="2:30" ht="20.100000000000001" customHeight="1"/>
    <row r="293" spans="2:30" s="349" customFormat="1" ht="20.100000000000001" customHeight="1">
      <c r="B293" s="361"/>
      <c r="C293" s="361"/>
      <c r="D293" s="361"/>
      <c r="E293" s="361"/>
      <c r="F293" s="361"/>
      <c r="G293" s="361"/>
      <c r="H293" s="361"/>
      <c r="I293" s="361"/>
      <c r="J293" s="361"/>
      <c r="K293" s="361"/>
      <c r="L293" s="361"/>
      <c r="M293" s="361"/>
      <c r="N293" s="361"/>
      <c r="O293" s="361"/>
      <c r="P293" s="361"/>
      <c r="Q293" s="361"/>
      <c r="R293" s="361"/>
      <c r="S293" s="361"/>
      <c r="T293" s="361"/>
      <c r="U293" s="361"/>
      <c r="V293" s="361"/>
      <c r="W293" s="361"/>
      <c r="X293" s="361"/>
      <c r="Y293" s="957"/>
      <c r="Z293" s="957"/>
      <c r="AA293" s="957"/>
      <c r="AB293" s="957"/>
      <c r="AC293" s="957"/>
      <c r="AD293" s="361"/>
    </row>
    <row r="294" spans="2:30" s="349" customFormat="1" ht="20.100000000000001" customHeight="1">
      <c r="B294" s="361"/>
      <c r="C294" s="361"/>
      <c r="D294" s="361"/>
      <c r="E294" s="361"/>
      <c r="F294" s="361"/>
      <c r="G294" s="361"/>
      <c r="H294" s="361"/>
      <c r="I294" s="361"/>
      <c r="J294" s="361"/>
      <c r="K294" s="361"/>
      <c r="L294" s="361"/>
      <c r="M294" s="361"/>
      <c r="N294" s="361"/>
      <c r="O294" s="361"/>
      <c r="P294" s="361"/>
      <c r="Q294" s="361"/>
      <c r="R294" s="361"/>
      <c r="S294" s="361"/>
      <c r="T294" s="361"/>
      <c r="U294" s="361"/>
      <c r="V294" s="361"/>
      <c r="W294" s="361"/>
      <c r="X294" s="361"/>
      <c r="Y294" s="957"/>
      <c r="Z294" s="957"/>
      <c r="AA294" s="957"/>
      <c r="AB294" s="957"/>
      <c r="AC294" s="957"/>
      <c r="AD294" s="361"/>
    </row>
    <row r="295" spans="2:30" s="349" customFormat="1" ht="20.100000000000001" customHeight="1">
      <c r="B295" s="361"/>
      <c r="C295" s="361"/>
      <c r="D295" s="361"/>
      <c r="E295" s="361"/>
      <c r="F295" s="361"/>
      <c r="G295" s="361"/>
      <c r="H295" s="361"/>
      <c r="I295" s="361"/>
      <c r="J295" s="361"/>
      <c r="K295" s="361"/>
      <c r="L295" s="361"/>
      <c r="M295" s="361"/>
      <c r="N295" s="361"/>
      <c r="O295" s="361"/>
      <c r="P295" s="361"/>
      <c r="Q295" s="361"/>
      <c r="R295" s="361"/>
      <c r="S295" s="361"/>
      <c r="T295" s="361"/>
      <c r="U295" s="361"/>
      <c r="V295" s="361"/>
      <c r="W295" s="361"/>
      <c r="X295" s="361"/>
      <c r="Y295" s="957"/>
      <c r="Z295" s="957"/>
      <c r="AA295" s="957"/>
      <c r="AB295" s="957"/>
      <c r="AC295" s="957"/>
      <c r="AD295" s="361"/>
    </row>
    <row r="296" spans="2:30" s="349" customFormat="1" ht="20.100000000000001" customHeight="1">
      <c r="B296" s="361"/>
      <c r="C296" s="361"/>
      <c r="D296" s="361"/>
      <c r="E296" s="361"/>
      <c r="F296" s="361"/>
      <c r="G296" s="361"/>
      <c r="H296" s="361"/>
      <c r="I296" s="361"/>
      <c r="J296" s="361"/>
      <c r="K296" s="361"/>
      <c r="L296" s="361"/>
      <c r="M296" s="361"/>
      <c r="N296" s="361"/>
      <c r="O296" s="361"/>
      <c r="P296" s="361"/>
      <c r="Q296" s="361"/>
      <c r="R296" s="361"/>
      <c r="S296" s="361"/>
      <c r="T296" s="361"/>
      <c r="U296" s="361"/>
      <c r="V296" s="361"/>
      <c r="W296" s="361"/>
      <c r="X296" s="361"/>
      <c r="Y296" s="957"/>
      <c r="Z296" s="957"/>
      <c r="AA296" s="957"/>
      <c r="AB296" s="957"/>
      <c r="AC296" s="957"/>
      <c r="AD296" s="361"/>
    </row>
    <row r="297" spans="2:30" s="349" customFormat="1" ht="20.100000000000001" customHeight="1">
      <c r="B297" s="361"/>
      <c r="C297" s="361"/>
      <c r="D297" s="361"/>
      <c r="E297" s="361"/>
      <c r="F297" s="361"/>
      <c r="G297" s="361"/>
      <c r="H297" s="361"/>
      <c r="I297" s="361"/>
      <c r="J297" s="361"/>
      <c r="K297" s="361"/>
      <c r="L297" s="361"/>
      <c r="M297" s="361"/>
      <c r="N297" s="361"/>
      <c r="O297" s="361"/>
      <c r="P297" s="361"/>
      <c r="Q297" s="361"/>
      <c r="R297" s="361"/>
      <c r="S297" s="361"/>
      <c r="T297" s="361"/>
      <c r="U297" s="361"/>
      <c r="V297" s="361"/>
      <c r="W297" s="361"/>
      <c r="X297" s="361"/>
      <c r="Y297" s="957"/>
      <c r="Z297" s="957"/>
      <c r="AA297" s="957"/>
      <c r="AB297" s="957"/>
      <c r="AC297" s="957"/>
      <c r="AD297" s="361"/>
    </row>
    <row r="298" spans="2:30" s="349" customFormat="1" ht="20.100000000000001" customHeight="1">
      <c r="B298" s="361"/>
      <c r="C298" s="361"/>
      <c r="D298" s="361"/>
      <c r="E298" s="361"/>
      <c r="F298" s="361"/>
      <c r="G298" s="361"/>
      <c r="H298" s="361"/>
      <c r="I298" s="361"/>
      <c r="J298" s="361"/>
      <c r="K298" s="361"/>
      <c r="L298" s="361"/>
      <c r="M298" s="361"/>
      <c r="N298" s="361"/>
      <c r="O298" s="361"/>
      <c r="P298" s="361"/>
      <c r="Q298" s="361"/>
      <c r="R298" s="361"/>
      <c r="S298" s="361"/>
      <c r="T298" s="361"/>
      <c r="U298" s="361"/>
      <c r="V298" s="361"/>
      <c r="W298" s="361"/>
      <c r="X298" s="361"/>
      <c r="Y298" s="957"/>
      <c r="Z298" s="957"/>
      <c r="AA298" s="957"/>
      <c r="AB298" s="957"/>
      <c r="AC298" s="957"/>
      <c r="AD298" s="361"/>
    </row>
    <row r="299" spans="2:30" s="349" customFormat="1" ht="20.100000000000001" customHeight="1">
      <c r="B299" s="361"/>
      <c r="C299" s="361"/>
      <c r="D299" s="361"/>
      <c r="E299" s="361"/>
      <c r="F299" s="361"/>
      <c r="G299" s="361"/>
      <c r="H299" s="361"/>
      <c r="I299" s="361"/>
      <c r="J299" s="361"/>
      <c r="K299" s="361"/>
      <c r="L299" s="361"/>
      <c r="M299" s="361"/>
      <c r="N299" s="361"/>
      <c r="O299" s="361"/>
      <c r="P299" s="361"/>
      <c r="Q299" s="361"/>
      <c r="R299" s="361"/>
      <c r="S299" s="361"/>
      <c r="T299" s="361"/>
      <c r="U299" s="361"/>
      <c r="V299" s="361"/>
      <c r="W299" s="361"/>
      <c r="X299" s="361"/>
      <c r="Y299" s="957"/>
      <c r="Z299" s="957"/>
      <c r="AA299" s="957"/>
      <c r="AB299" s="957"/>
      <c r="AC299" s="957"/>
      <c r="AD299" s="361"/>
    </row>
    <row r="300" spans="2:30" s="349" customFormat="1" ht="20.100000000000001" customHeight="1">
      <c r="B300" s="361"/>
      <c r="C300" s="361"/>
      <c r="D300" s="361"/>
      <c r="E300" s="361"/>
      <c r="F300" s="361"/>
      <c r="G300" s="361"/>
      <c r="H300" s="361"/>
      <c r="I300" s="361"/>
      <c r="J300" s="361"/>
      <c r="K300" s="361"/>
      <c r="L300" s="361"/>
      <c r="M300" s="361"/>
      <c r="N300" s="361"/>
      <c r="O300" s="361"/>
      <c r="P300" s="361"/>
      <c r="Q300" s="361"/>
      <c r="R300" s="361"/>
      <c r="S300" s="361"/>
      <c r="T300" s="361"/>
      <c r="U300" s="361"/>
      <c r="V300" s="361"/>
      <c r="W300" s="361"/>
      <c r="X300" s="361"/>
      <c r="Y300" s="957"/>
      <c r="Z300" s="957"/>
      <c r="AA300" s="957"/>
      <c r="AB300" s="957"/>
      <c r="AC300" s="957"/>
      <c r="AD300" s="361"/>
    </row>
    <row r="301" spans="2:30" s="349" customFormat="1" ht="20.100000000000001" customHeight="1">
      <c r="B301" s="361"/>
      <c r="C301" s="361"/>
      <c r="D301" s="361"/>
      <c r="E301" s="361"/>
      <c r="F301" s="361"/>
      <c r="G301" s="361"/>
      <c r="H301" s="361"/>
      <c r="I301" s="361"/>
      <c r="J301" s="361"/>
      <c r="K301" s="361"/>
      <c r="L301" s="361"/>
      <c r="M301" s="361"/>
      <c r="N301" s="361"/>
      <c r="O301" s="361"/>
      <c r="P301" s="361"/>
      <c r="Q301" s="361"/>
      <c r="R301" s="361"/>
      <c r="S301" s="361"/>
      <c r="T301" s="361"/>
      <c r="U301" s="361"/>
      <c r="V301" s="361"/>
      <c r="W301" s="361"/>
      <c r="X301" s="361"/>
      <c r="Y301" s="957"/>
      <c r="Z301" s="957"/>
      <c r="AA301" s="957"/>
      <c r="AB301" s="957"/>
      <c r="AC301" s="957"/>
      <c r="AD301" s="361"/>
    </row>
    <row r="302" spans="2:30" s="349" customFormat="1" ht="20.100000000000001" customHeight="1">
      <c r="B302" s="361"/>
      <c r="C302" s="361"/>
      <c r="D302" s="361"/>
      <c r="E302" s="361"/>
      <c r="F302" s="361"/>
      <c r="G302" s="361"/>
      <c r="H302" s="361"/>
      <c r="I302" s="361"/>
      <c r="J302" s="361"/>
      <c r="K302" s="361"/>
      <c r="L302" s="361"/>
      <c r="M302" s="361"/>
      <c r="N302" s="361"/>
      <c r="O302" s="361"/>
      <c r="P302" s="361"/>
      <c r="Q302" s="361"/>
      <c r="R302" s="361"/>
      <c r="S302" s="361"/>
      <c r="T302" s="361"/>
      <c r="U302" s="361"/>
      <c r="V302" s="361"/>
      <c r="W302" s="361"/>
      <c r="X302" s="361"/>
      <c r="Y302" s="957"/>
      <c r="Z302" s="957"/>
      <c r="AA302" s="957"/>
      <c r="AB302" s="957"/>
      <c r="AC302" s="957"/>
      <c r="AD302" s="361"/>
    </row>
    <row r="303" spans="2:30" s="349" customFormat="1" ht="20.100000000000001" customHeight="1">
      <c r="B303" s="361"/>
      <c r="C303" s="361"/>
      <c r="D303" s="361"/>
      <c r="E303" s="361"/>
      <c r="F303" s="361"/>
      <c r="G303" s="361"/>
      <c r="H303" s="361"/>
      <c r="I303" s="361"/>
      <c r="J303" s="361"/>
      <c r="K303" s="361"/>
      <c r="L303" s="361"/>
      <c r="M303" s="361"/>
      <c r="N303" s="361"/>
      <c r="O303" s="361"/>
      <c r="P303" s="361"/>
      <c r="Q303" s="361"/>
      <c r="R303" s="361"/>
      <c r="S303" s="361"/>
      <c r="T303" s="361"/>
      <c r="U303" s="361"/>
      <c r="V303" s="361"/>
      <c r="W303" s="361"/>
      <c r="X303" s="361"/>
      <c r="Y303" s="957"/>
      <c r="Z303" s="957"/>
      <c r="AA303" s="957"/>
      <c r="AB303" s="957"/>
      <c r="AC303" s="957"/>
      <c r="AD303" s="361"/>
    </row>
    <row r="304" spans="2:30" s="349" customFormat="1" ht="20.100000000000001" customHeight="1">
      <c r="B304" s="361"/>
      <c r="C304" s="361"/>
      <c r="D304" s="361"/>
      <c r="E304" s="361"/>
      <c r="F304" s="361"/>
      <c r="G304" s="361"/>
      <c r="H304" s="361"/>
      <c r="I304" s="361"/>
      <c r="J304" s="361"/>
      <c r="K304" s="361"/>
      <c r="L304" s="361"/>
      <c r="M304" s="361"/>
      <c r="N304" s="361"/>
      <c r="O304" s="361"/>
      <c r="P304" s="361"/>
      <c r="Q304" s="361"/>
      <c r="R304" s="361"/>
      <c r="S304" s="361"/>
      <c r="T304" s="361"/>
      <c r="U304" s="361"/>
      <c r="V304" s="361"/>
      <c r="W304" s="361"/>
      <c r="X304" s="361"/>
      <c r="Y304" s="957"/>
      <c r="Z304" s="957"/>
      <c r="AA304" s="957"/>
      <c r="AB304" s="957"/>
      <c r="AC304" s="957"/>
      <c r="AD304" s="361"/>
    </row>
    <row r="305" spans="2:30" s="349" customFormat="1" ht="20.100000000000001" customHeight="1">
      <c r="B305" s="361"/>
      <c r="C305" s="361"/>
      <c r="D305" s="361"/>
      <c r="E305" s="361"/>
      <c r="F305" s="361"/>
      <c r="G305" s="361"/>
      <c r="H305" s="361"/>
      <c r="I305" s="361"/>
      <c r="J305" s="361"/>
      <c r="K305" s="361"/>
      <c r="L305" s="361"/>
      <c r="M305" s="361"/>
      <c r="N305" s="361"/>
      <c r="O305" s="361"/>
      <c r="P305" s="361"/>
      <c r="Q305" s="361"/>
      <c r="R305" s="361"/>
      <c r="S305" s="361"/>
      <c r="T305" s="361"/>
      <c r="U305" s="361"/>
      <c r="V305" s="361"/>
      <c r="W305" s="361"/>
      <c r="X305" s="361"/>
      <c r="Y305" s="957"/>
      <c r="Z305" s="957"/>
      <c r="AA305" s="957"/>
      <c r="AB305" s="957"/>
      <c r="AC305" s="957"/>
      <c r="AD305" s="361"/>
    </row>
    <row r="306" spans="2:30" s="349" customFormat="1" ht="20.100000000000001" customHeight="1">
      <c r="B306" s="361"/>
      <c r="C306" s="361"/>
      <c r="D306" s="361"/>
      <c r="E306" s="361"/>
      <c r="F306" s="361"/>
      <c r="G306" s="361"/>
      <c r="H306" s="361"/>
      <c r="I306" s="361"/>
      <c r="J306" s="361"/>
      <c r="K306" s="361"/>
      <c r="L306" s="361"/>
      <c r="M306" s="361"/>
      <c r="N306" s="361"/>
      <c r="O306" s="361"/>
      <c r="P306" s="361"/>
      <c r="Q306" s="361"/>
      <c r="R306" s="361"/>
      <c r="S306" s="361"/>
      <c r="T306" s="361"/>
      <c r="U306" s="361"/>
      <c r="V306" s="361"/>
      <c r="W306" s="361"/>
      <c r="X306" s="361"/>
      <c r="Y306" s="957"/>
      <c r="Z306" s="957"/>
      <c r="AA306" s="957"/>
      <c r="AB306" s="957"/>
      <c r="AC306" s="957"/>
      <c r="AD306" s="361"/>
    </row>
    <row r="307" spans="2:30" s="349" customFormat="1" ht="20.100000000000001" customHeight="1">
      <c r="B307" s="361"/>
      <c r="C307" s="361"/>
      <c r="D307" s="361"/>
      <c r="E307" s="361"/>
      <c r="F307" s="361"/>
      <c r="G307" s="361"/>
      <c r="H307" s="361"/>
      <c r="I307" s="361"/>
      <c r="J307" s="361"/>
      <c r="K307" s="361"/>
      <c r="L307" s="361"/>
      <c r="M307" s="361"/>
      <c r="N307" s="361"/>
      <c r="O307" s="361"/>
      <c r="P307" s="361"/>
      <c r="Q307" s="361"/>
      <c r="R307" s="361"/>
      <c r="S307" s="361"/>
      <c r="T307" s="361"/>
      <c r="U307" s="361"/>
      <c r="V307" s="361"/>
      <c r="W307" s="361"/>
      <c r="X307" s="361"/>
      <c r="Y307" s="957"/>
      <c r="Z307" s="957"/>
      <c r="AA307" s="957"/>
      <c r="AB307" s="957"/>
      <c r="AC307" s="957"/>
      <c r="AD307" s="361"/>
    </row>
    <row r="308" spans="2:30" s="349" customFormat="1" ht="20.100000000000001" customHeight="1">
      <c r="B308" s="361"/>
      <c r="C308" s="361"/>
      <c r="D308" s="361"/>
      <c r="E308" s="361"/>
      <c r="F308" s="361"/>
      <c r="G308" s="361"/>
      <c r="H308" s="361"/>
      <c r="I308" s="361"/>
      <c r="J308" s="361"/>
      <c r="K308" s="361"/>
      <c r="L308" s="361"/>
      <c r="M308" s="361"/>
      <c r="N308" s="361"/>
      <c r="O308" s="361"/>
      <c r="P308" s="361"/>
      <c r="Q308" s="361"/>
      <c r="R308" s="361"/>
      <c r="S308" s="361"/>
      <c r="T308" s="361"/>
      <c r="U308" s="361"/>
      <c r="V308" s="361"/>
      <c r="W308" s="361"/>
      <c r="X308" s="361"/>
      <c r="Y308" s="957"/>
      <c r="Z308" s="957"/>
      <c r="AA308" s="957"/>
      <c r="AB308" s="957"/>
      <c r="AC308" s="957"/>
      <c r="AD308" s="361"/>
    </row>
    <row r="309" spans="2:30" s="349" customFormat="1" ht="20.100000000000001" customHeight="1">
      <c r="B309" s="361"/>
      <c r="C309" s="361"/>
      <c r="D309" s="361"/>
      <c r="E309" s="361"/>
      <c r="F309" s="361"/>
      <c r="G309" s="361"/>
      <c r="H309" s="361"/>
      <c r="I309" s="361"/>
      <c r="J309" s="361"/>
      <c r="K309" s="361"/>
      <c r="L309" s="361"/>
      <c r="M309" s="361"/>
      <c r="N309" s="361"/>
      <c r="O309" s="361"/>
      <c r="P309" s="361"/>
      <c r="Q309" s="361"/>
      <c r="R309" s="361"/>
      <c r="S309" s="361"/>
      <c r="T309" s="361"/>
      <c r="U309" s="361"/>
      <c r="V309" s="361"/>
      <c r="W309" s="361"/>
      <c r="X309" s="361"/>
      <c r="Y309" s="957"/>
      <c r="Z309" s="957"/>
      <c r="AA309" s="957"/>
      <c r="AB309" s="957"/>
      <c r="AC309" s="957"/>
      <c r="AD309" s="361"/>
    </row>
    <row r="310" spans="2:30" s="349" customFormat="1" ht="20.100000000000001" customHeight="1">
      <c r="B310" s="361"/>
      <c r="C310" s="361"/>
      <c r="D310" s="361"/>
      <c r="E310" s="361"/>
      <c r="F310" s="361"/>
      <c r="G310" s="361"/>
      <c r="H310" s="361"/>
      <c r="I310" s="361"/>
      <c r="J310" s="361"/>
      <c r="K310" s="361"/>
      <c r="L310" s="361"/>
      <c r="M310" s="361"/>
      <c r="N310" s="361"/>
      <c r="O310" s="361"/>
      <c r="P310" s="361"/>
      <c r="Q310" s="361"/>
      <c r="R310" s="361"/>
      <c r="S310" s="361"/>
      <c r="T310" s="361"/>
      <c r="U310" s="361"/>
      <c r="V310" s="361"/>
      <c r="W310" s="361"/>
      <c r="X310" s="361"/>
      <c r="Y310" s="957"/>
      <c r="Z310" s="957"/>
      <c r="AA310" s="957"/>
      <c r="AB310" s="957"/>
      <c r="AC310" s="957"/>
      <c r="AD310" s="361"/>
    </row>
    <row r="311" spans="2:30" s="349" customFormat="1" ht="20.100000000000001" customHeight="1">
      <c r="B311" s="361"/>
      <c r="C311" s="361"/>
      <c r="D311" s="361"/>
      <c r="E311" s="361"/>
      <c r="F311" s="361"/>
      <c r="G311" s="361"/>
      <c r="H311" s="361"/>
      <c r="I311" s="361"/>
      <c r="J311" s="361"/>
      <c r="K311" s="361"/>
      <c r="L311" s="361"/>
      <c r="M311" s="361"/>
      <c r="N311" s="361"/>
      <c r="O311" s="361"/>
      <c r="P311" s="361"/>
      <c r="Q311" s="361"/>
      <c r="R311" s="361"/>
      <c r="S311" s="361"/>
      <c r="T311" s="361"/>
      <c r="U311" s="361"/>
      <c r="V311" s="361"/>
      <c r="W311" s="361"/>
      <c r="X311" s="361"/>
      <c r="Y311" s="957"/>
      <c r="Z311" s="957"/>
      <c r="AA311" s="957"/>
      <c r="AB311" s="957"/>
      <c r="AC311" s="957"/>
      <c r="AD311" s="361"/>
    </row>
    <row r="312" spans="2:30" s="349" customFormat="1" ht="20.100000000000001" customHeight="1">
      <c r="B312" s="361"/>
      <c r="C312" s="361"/>
      <c r="D312" s="361"/>
      <c r="E312" s="361"/>
      <c r="F312" s="361"/>
      <c r="G312" s="361"/>
      <c r="H312" s="361"/>
      <c r="I312" s="361"/>
      <c r="J312" s="361"/>
      <c r="K312" s="361"/>
      <c r="L312" s="361"/>
      <c r="M312" s="361"/>
      <c r="N312" s="361"/>
      <c r="O312" s="361"/>
      <c r="P312" s="361"/>
      <c r="Q312" s="361"/>
      <c r="R312" s="361"/>
      <c r="S312" s="361"/>
      <c r="T312" s="361"/>
      <c r="U312" s="361"/>
      <c r="V312" s="361"/>
      <c r="W312" s="361"/>
      <c r="X312" s="361"/>
      <c r="Y312" s="957"/>
      <c r="Z312" s="957"/>
      <c r="AA312" s="957"/>
      <c r="AB312" s="957"/>
      <c r="AC312" s="957"/>
      <c r="AD312" s="361"/>
    </row>
    <row r="313" spans="2:30" s="349" customFormat="1" ht="20.100000000000001" customHeight="1">
      <c r="B313" s="361"/>
      <c r="C313" s="361"/>
      <c r="D313" s="361"/>
      <c r="E313" s="361"/>
      <c r="F313" s="361"/>
      <c r="G313" s="361"/>
      <c r="H313" s="361"/>
      <c r="I313" s="361"/>
      <c r="J313" s="361"/>
      <c r="K313" s="361"/>
      <c r="L313" s="361"/>
      <c r="M313" s="361"/>
      <c r="N313" s="361"/>
      <c r="O313" s="361"/>
      <c r="P313" s="361"/>
      <c r="Q313" s="361"/>
      <c r="R313" s="361"/>
      <c r="S313" s="361"/>
      <c r="T313" s="361"/>
      <c r="U313" s="361"/>
      <c r="V313" s="361"/>
      <c r="W313" s="361"/>
      <c r="X313" s="361"/>
      <c r="Y313" s="957"/>
      <c r="Z313" s="957"/>
      <c r="AA313" s="957"/>
      <c r="AB313" s="957"/>
      <c r="AC313" s="957"/>
      <c r="AD313" s="361"/>
    </row>
    <row r="314" spans="2:30" s="349" customFormat="1" ht="20.100000000000001" customHeight="1">
      <c r="B314" s="361"/>
      <c r="C314" s="361"/>
      <c r="D314" s="361"/>
      <c r="E314" s="361"/>
      <c r="F314" s="361"/>
      <c r="G314" s="361"/>
      <c r="H314" s="361"/>
      <c r="I314" s="361"/>
      <c r="J314" s="361"/>
      <c r="K314" s="361"/>
      <c r="L314" s="361"/>
      <c r="M314" s="361"/>
      <c r="N314" s="361"/>
      <c r="O314" s="361"/>
      <c r="P314" s="361"/>
      <c r="Q314" s="361"/>
      <c r="R314" s="361"/>
      <c r="S314" s="361"/>
      <c r="T314" s="361"/>
      <c r="U314" s="361"/>
      <c r="V314" s="361"/>
      <c r="W314" s="361"/>
      <c r="X314" s="361"/>
      <c r="Y314" s="957"/>
      <c r="Z314" s="957"/>
      <c r="AA314" s="957"/>
      <c r="AB314" s="957"/>
      <c r="AC314" s="957"/>
      <c r="AD314" s="361"/>
    </row>
    <row r="315" spans="2:30" s="349" customFormat="1" ht="19.899999999999999" customHeight="1">
      <c r="B315" s="361"/>
      <c r="C315" s="361"/>
      <c r="D315" s="361"/>
      <c r="E315" s="361"/>
      <c r="F315" s="361"/>
      <c r="G315" s="361"/>
      <c r="H315" s="361"/>
      <c r="I315" s="361"/>
      <c r="J315" s="361"/>
      <c r="K315" s="361"/>
      <c r="L315" s="361"/>
      <c r="M315" s="361"/>
      <c r="N315" s="361"/>
      <c r="O315" s="361"/>
      <c r="P315" s="361"/>
      <c r="Q315" s="361"/>
      <c r="R315" s="361"/>
      <c r="S315" s="361"/>
      <c r="T315" s="361"/>
      <c r="U315" s="361"/>
      <c r="V315" s="361"/>
      <c r="W315" s="361"/>
      <c r="X315" s="361"/>
      <c r="Y315" s="957"/>
      <c r="Z315" s="957"/>
      <c r="AA315" s="957"/>
      <c r="AB315" s="957"/>
      <c r="AC315" s="957"/>
      <c r="AD315" s="361"/>
    </row>
    <row r="316" spans="2:30" s="349" customFormat="1" ht="20.100000000000001" customHeight="1">
      <c r="B316" s="361"/>
      <c r="C316" s="361"/>
      <c r="D316" s="361"/>
      <c r="E316" s="361"/>
      <c r="F316" s="361"/>
      <c r="G316" s="361"/>
      <c r="H316" s="361"/>
      <c r="I316" s="361"/>
      <c r="J316" s="361"/>
      <c r="K316" s="361"/>
      <c r="L316" s="361"/>
      <c r="M316" s="361"/>
      <c r="N316" s="361"/>
      <c r="O316" s="361"/>
      <c r="P316" s="361"/>
      <c r="Q316" s="361"/>
      <c r="R316" s="361"/>
      <c r="S316" s="361"/>
      <c r="T316" s="361"/>
      <c r="U316" s="361"/>
      <c r="V316" s="361"/>
      <c r="W316" s="361"/>
      <c r="X316" s="361"/>
      <c r="Y316" s="957"/>
      <c r="Z316" s="957"/>
      <c r="AA316" s="957"/>
      <c r="AB316" s="957"/>
      <c r="AC316" s="957"/>
      <c r="AD316" s="361"/>
    </row>
    <row r="317" spans="2:30" s="349" customFormat="1" ht="20.100000000000001" customHeight="1">
      <c r="B317" s="361"/>
      <c r="C317" s="361"/>
      <c r="D317" s="361"/>
      <c r="E317" s="361"/>
      <c r="F317" s="361"/>
      <c r="G317" s="361"/>
      <c r="H317" s="361"/>
      <c r="I317" s="361"/>
      <c r="J317" s="361"/>
      <c r="K317" s="361"/>
      <c r="L317" s="361"/>
      <c r="M317" s="361"/>
      <c r="N317" s="361"/>
      <c r="O317" s="361"/>
      <c r="P317" s="361"/>
      <c r="Q317" s="361"/>
      <c r="R317" s="361"/>
      <c r="S317" s="361"/>
      <c r="T317" s="361"/>
      <c r="U317" s="361"/>
      <c r="V317" s="361"/>
      <c r="W317" s="361"/>
      <c r="X317" s="361"/>
      <c r="Y317" s="957"/>
      <c r="Z317" s="957"/>
      <c r="AA317" s="957"/>
      <c r="AB317" s="957"/>
      <c r="AC317" s="957"/>
      <c r="AD317" s="361"/>
    </row>
    <row r="318" spans="2:30" s="349" customFormat="1" ht="20.100000000000001" customHeight="1">
      <c r="B318" s="361"/>
      <c r="C318" s="361"/>
      <c r="D318" s="361"/>
      <c r="E318" s="361"/>
      <c r="F318" s="361"/>
      <c r="G318" s="361"/>
      <c r="H318" s="361"/>
      <c r="I318" s="361"/>
      <c r="J318" s="361"/>
      <c r="K318" s="361"/>
      <c r="L318" s="361"/>
      <c r="M318" s="361"/>
      <c r="N318" s="361"/>
      <c r="O318" s="361"/>
      <c r="P318" s="361"/>
      <c r="Q318" s="361"/>
      <c r="R318" s="361"/>
      <c r="S318" s="361"/>
      <c r="T318" s="361"/>
      <c r="U318" s="361"/>
      <c r="V318" s="361"/>
      <c r="W318" s="361"/>
      <c r="X318" s="361"/>
      <c r="Y318" s="957"/>
      <c r="Z318" s="957"/>
      <c r="AA318" s="957"/>
      <c r="AB318" s="957"/>
      <c r="AC318" s="957"/>
      <c r="AD318" s="361"/>
    </row>
    <row r="319" spans="2:30" s="349" customFormat="1" ht="20.100000000000001" customHeight="1">
      <c r="B319" s="361"/>
      <c r="C319" s="361"/>
      <c r="D319" s="361"/>
      <c r="E319" s="361"/>
      <c r="F319" s="361"/>
      <c r="G319" s="361"/>
      <c r="H319" s="361"/>
      <c r="I319" s="361"/>
      <c r="J319" s="361"/>
      <c r="K319" s="361"/>
      <c r="L319" s="361"/>
      <c r="M319" s="361"/>
      <c r="N319" s="361"/>
      <c r="O319" s="361"/>
      <c r="P319" s="361"/>
      <c r="Q319" s="361"/>
      <c r="R319" s="361"/>
      <c r="S319" s="361"/>
      <c r="T319" s="361"/>
      <c r="U319" s="361"/>
      <c r="V319" s="361"/>
      <c r="W319" s="361"/>
      <c r="X319" s="361"/>
      <c r="Y319" s="957"/>
      <c r="Z319" s="957"/>
      <c r="AA319" s="957"/>
      <c r="AB319" s="957"/>
      <c r="AC319" s="957"/>
      <c r="AD319" s="361"/>
    </row>
    <row r="320" spans="2:30" s="349" customFormat="1" ht="20.100000000000001" customHeight="1">
      <c r="B320" s="361"/>
      <c r="C320" s="361"/>
      <c r="D320" s="361"/>
      <c r="E320" s="361"/>
      <c r="F320" s="361"/>
      <c r="G320" s="361"/>
      <c r="H320" s="361"/>
      <c r="I320" s="361"/>
      <c r="J320" s="361"/>
      <c r="K320" s="361"/>
      <c r="L320" s="361"/>
      <c r="M320" s="361"/>
      <c r="N320" s="361"/>
      <c r="O320" s="361"/>
      <c r="P320" s="361"/>
      <c r="Q320" s="361"/>
      <c r="R320" s="361"/>
      <c r="S320" s="361"/>
      <c r="T320" s="361"/>
      <c r="U320" s="361"/>
      <c r="V320" s="361"/>
      <c r="W320" s="361"/>
      <c r="X320" s="361"/>
      <c r="Y320" s="957"/>
      <c r="Z320" s="957"/>
      <c r="AA320" s="957"/>
      <c r="AB320" s="957"/>
      <c r="AC320" s="957"/>
      <c r="AD320" s="361"/>
    </row>
    <row r="321" spans="2:30" s="349" customFormat="1" ht="20.100000000000001" customHeight="1">
      <c r="B321" s="361"/>
      <c r="C321" s="361"/>
      <c r="D321" s="361"/>
      <c r="E321" s="361"/>
      <c r="F321" s="361"/>
      <c r="G321" s="361"/>
      <c r="H321" s="361"/>
      <c r="I321" s="361"/>
      <c r="J321" s="361"/>
      <c r="K321" s="361"/>
      <c r="L321" s="361"/>
      <c r="M321" s="361"/>
      <c r="N321" s="361"/>
      <c r="O321" s="361"/>
      <c r="P321" s="361"/>
      <c r="Q321" s="361"/>
      <c r="R321" s="361"/>
      <c r="S321" s="361"/>
      <c r="T321" s="361"/>
      <c r="U321" s="361"/>
      <c r="V321" s="361"/>
      <c r="W321" s="361"/>
      <c r="X321" s="361"/>
      <c r="Y321" s="957"/>
      <c r="Z321" s="957"/>
      <c r="AA321" s="957"/>
      <c r="AB321" s="957"/>
      <c r="AC321" s="957"/>
      <c r="AD321" s="361"/>
    </row>
    <row r="322" spans="2:30" s="349" customFormat="1" ht="20.100000000000001" customHeight="1">
      <c r="B322" s="361"/>
      <c r="C322" s="361"/>
      <c r="D322" s="361"/>
      <c r="E322" s="361"/>
      <c r="F322" s="361"/>
      <c r="G322" s="361"/>
      <c r="H322" s="361"/>
      <c r="I322" s="361"/>
      <c r="J322" s="361"/>
      <c r="K322" s="361"/>
      <c r="L322" s="361"/>
      <c r="M322" s="361"/>
      <c r="N322" s="361"/>
      <c r="O322" s="361"/>
      <c r="P322" s="361"/>
      <c r="Q322" s="361"/>
      <c r="R322" s="361"/>
      <c r="S322" s="361"/>
      <c r="T322" s="361"/>
      <c r="U322" s="361"/>
      <c r="V322" s="361"/>
      <c r="W322" s="361"/>
      <c r="X322" s="361"/>
      <c r="Y322" s="957"/>
      <c r="Z322" s="957"/>
      <c r="AA322" s="957"/>
      <c r="AB322" s="957"/>
      <c r="AC322" s="957"/>
      <c r="AD322" s="361"/>
    </row>
    <row r="323" spans="2:30" s="349" customFormat="1" ht="20.100000000000001" customHeight="1">
      <c r="B323" s="361"/>
      <c r="C323" s="361"/>
      <c r="D323" s="361"/>
      <c r="E323" s="361"/>
      <c r="F323" s="361"/>
      <c r="G323" s="361"/>
      <c r="H323" s="361"/>
      <c r="I323" s="361"/>
      <c r="J323" s="361"/>
      <c r="K323" s="361"/>
      <c r="L323" s="361"/>
      <c r="M323" s="361"/>
      <c r="N323" s="361"/>
      <c r="O323" s="361"/>
      <c r="P323" s="361"/>
      <c r="Q323" s="361"/>
      <c r="R323" s="361"/>
      <c r="S323" s="361"/>
      <c r="T323" s="361"/>
      <c r="U323" s="361"/>
      <c r="V323" s="361"/>
      <c r="W323" s="361"/>
      <c r="X323" s="361"/>
      <c r="Y323" s="957"/>
      <c r="Z323" s="957"/>
      <c r="AA323" s="957"/>
      <c r="AB323" s="957"/>
      <c r="AC323" s="957"/>
      <c r="AD323" s="361"/>
    </row>
    <row r="324" spans="2:30" s="349" customFormat="1" ht="20.100000000000001" customHeight="1">
      <c r="B324" s="361"/>
      <c r="C324" s="361"/>
      <c r="D324" s="361"/>
      <c r="E324" s="361"/>
      <c r="F324" s="361"/>
      <c r="G324" s="361"/>
      <c r="H324" s="361"/>
      <c r="I324" s="361"/>
      <c r="J324" s="361"/>
      <c r="K324" s="361"/>
      <c r="L324" s="361"/>
      <c r="M324" s="361"/>
      <c r="N324" s="361"/>
      <c r="O324" s="361"/>
      <c r="P324" s="361"/>
      <c r="Q324" s="361"/>
      <c r="R324" s="361"/>
      <c r="S324" s="361"/>
      <c r="T324" s="361"/>
      <c r="U324" s="361"/>
      <c r="V324" s="361"/>
      <c r="W324" s="361"/>
      <c r="X324" s="361"/>
      <c r="Y324" s="957"/>
      <c r="Z324" s="957"/>
      <c r="AA324" s="957"/>
      <c r="AB324" s="957"/>
      <c r="AC324" s="957"/>
      <c r="AD324" s="361"/>
    </row>
    <row r="325" spans="2:30" s="349" customFormat="1" ht="20.100000000000001" customHeight="1">
      <c r="B325" s="361"/>
      <c r="C325" s="361"/>
      <c r="D325" s="361"/>
      <c r="E325" s="361"/>
      <c r="F325" s="361"/>
      <c r="G325" s="361"/>
      <c r="H325" s="361"/>
      <c r="I325" s="361"/>
      <c r="J325" s="361"/>
      <c r="K325" s="361"/>
      <c r="L325" s="361"/>
      <c r="M325" s="361"/>
      <c r="N325" s="361"/>
      <c r="O325" s="361"/>
      <c r="P325" s="361"/>
      <c r="Q325" s="361"/>
      <c r="R325" s="361"/>
      <c r="S325" s="361"/>
      <c r="T325" s="361"/>
      <c r="U325" s="361"/>
      <c r="V325" s="361"/>
      <c r="W325" s="361"/>
      <c r="X325" s="361"/>
      <c r="Y325" s="957"/>
      <c r="Z325" s="957"/>
      <c r="AA325" s="957"/>
      <c r="AB325" s="957"/>
      <c r="AC325" s="957"/>
      <c r="AD325" s="361"/>
    </row>
    <row r="326" spans="2:30" s="349" customFormat="1" ht="20.100000000000001" customHeight="1">
      <c r="B326" s="361"/>
      <c r="C326" s="361"/>
      <c r="D326" s="361"/>
      <c r="E326" s="361"/>
      <c r="F326" s="361"/>
      <c r="G326" s="361"/>
      <c r="H326" s="361"/>
      <c r="I326" s="361"/>
      <c r="J326" s="361"/>
      <c r="K326" s="361"/>
      <c r="L326" s="361"/>
      <c r="M326" s="361"/>
      <c r="N326" s="361"/>
      <c r="O326" s="361"/>
      <c r="P326" s="361"/>
      <c r="Q326" s="361"/>
      <c r="R326" s="361"/>
      <c r="S326" s="361"/>
      <c r="T326" s="361"/>
      <c r="U326" s="361"/>
      <c r="V326" s="361"/>
      <c r="W326" s="361"/>
      <c r="X326" s="361"/>
      <c r="Y326" s="957"/>
      <c r="Z326" s="957"/>
      <c r="AA326" s="957"/>
      <c r="AB326" s="957"/>
      <c r="AC326" s="957"/>
      <c r="AD326" s="361"/>
    </row>
    <row r="327" spans="2:30" s="349" customFormat="1" ht="20.100000000000001" customHeight="1">
      <c r="B327" s="361"/>
      <c r="C327" s="361"/>
      <c r="D327" s="361"/>
      <c r="E327" s="361"/>
      <c r="F327" s="361"/>
      <c r="G327" s="361"/>
      <c r="H327" s="361"/>
      <c r="I327" s="361"/>
      <c r="J327" s="361"/>
      <c r="K327" s="361"/>
      <c r="L327" s="361"/>
      <c r="M327" s="361"/>
      <c r="N327" s="361"/>
      <c r="O327" s="361"/>
      <c r="P327" s="361"/>
      <c r="Q327" s="361"/>
      <c r="R327" s="361"/>
      <c r="S327" s="361"/>
      <c r="T327" s="361"/>
      <c r="U327" s="361"/>
      <c r="V327" s="361"/>
      <c r="W327" s="361"/>
      <c r="X327" s="361"/>
      <c r="Y327" s="957"/>
      <c r="Z327" s="957"/>
      <c r="AA327" s="957"/>
      <c r="AB327" s="957"/>
      <c r="AC327" s="957"/>
      <c r="AD327" s="361"/>
    </row>
    <row r="328" spans="2:30" s="349" customFormat="1" ht="20.100000000000001" customHeight="1">
      <c r="B328" s="361"/>
      <c r="C328" s="361"/>
      <c r="D328" s="361"/>
      <c r="E328" s="361"/>
      <c r="F328" s="361"/>
      <c r="G328" s="361"/>
      <c r="H328" s="361"/>
      <c r="I328" s="361"/>
      <c r="J328" s="361"/>
      <c r="K328" s="361"/>
      <c r="L328" s="361"/>
      <c r="M328" s="361"/>
      <c r="N328" s="361"/>
      <c r="O328" s="361"/>
      <c r="P328" s="361"/>
      <c r="Q328" s="361"/>
      <c r="R328" s="361"/>
      <c r="S328" s="361"/>
      <c r="T328" s="361"/>
      <c r="U328" s="361"/>
      <c r="V328" s="361"/>
      <c r="W328" s="361"/>
      <c r="X328" s="361"/>
      <c r="Y328" s="957"/>
      <c r="Z328" s="957"/>
      <c r="AA328" s="957"/>
      <c r="AB328" s="957"/>
      <c r="AC328" s="957"/>
      <c r="AD328" s="361"/>
    </row>
    <row r="329" spans="2:30" s="349" customFormat="1" ht="20.100000000000001" customHeight="1">
      <c r="B329" s="361"/>
      <c r="C329" s="361"/>
      <c r="D329" s="361"/>
      <c r="E329" s="361"/>
      <c r="F329" s="361"/>
      <c r="G329" s="361"/>
      <c r="H329" s="361"/>
      <c r="I329" s="361"/>
      <c r="J329" s="361"/>
      <c r="K329" s="361"/>
      <c r="L329" s="361"/>
      <c r="M329" s="361"/>
      <c r="N329" s="361"/>
      <c r="O329" s="361"/>
      <c r="P329" s="361"/>
      <c r="Q329" s="361"/>
      <c r="R329" s="361"/>
      <c r="S329" s="361"/>
      <c r="T329" s="361"/>
      <c r="U329" s="361"/>
      <c r="V329" s="361"/>
      <c r="W329" s="361"/>
      <c r="X329" s="361"/>
      <c r="Y329" s="957"/>
      <c r="Z329" s="957"/>
      <c r="AA329" s="957"/>
      <c r="AB329" s="957"/>
      <c r="AC329" s="957"/>
      <c r="AD329" s="361"/>
    </row>
    <row r="330" spans="2:30" ht="20.100000000000001" customHeight="1"/>
    <row r="331" spans="2:30" ht="9.9499999999999993" customHeight="1"/>
    <row r="332" spans="2:30" ht="20.100000000000001" customHeight="1"/>
    <row r="333" spans="2:30" ht="20.100000000000001" customHeight="1"/>
    <row r="334" spans="2:30" ht="20.100000000000001" customHeight="1"/>
    <row r="335" spans="2:30" ht="20.100000000000001" customHeight="1"/>
    <row r="336" spans="2:30" s="349" customFormat="1" ht="20.100000000000001" customHeight="1">
      <c r="B336" s="361"/>
      <c r="C336" s="361"/>
      <c r="D336" s="361"/>
      <c r="E336" s="361"/>
      <c r="F336" s="361"/>
      <c r="G336" s="361"/>
      <c r="H336" s="361"/>
      <c r="I336" s="361"/>
      <c r="J336" s="361"/>
      <c r="K336" s="361"/>
      <c r="L336" s="361"/>
      <c r="M336" s="361"/>
      <c r="N336" s="361"/>
      <c r="O336" s="361"/>
      <c r="P336" s="361"/>
      <c r="Q336" s="361"/>
      <c r="R336" s="361"/>
      <c r="S336" s="361"/>
      <c r="T336" s="361"/>
      <c r="U336" s="361"/>
      <c r="V336" s="361"/>
      <c r="W336" s="361"/>
      <c r="X336" s="361"/>
      <c r="Y336" s="957"/>
      <c r="Z336" s="957"/>
      <c r="AA336" s="957"/>
      <c r="AB336" s="957"/>
      <c r="AC336" s="957"/>
      <c r="AD336" s="361"/>
    </row>
    <row r="337" spans="2:30" s="349" customFormat="1" ht="20.100000000000001" customHeight="1">
      <c r="B337" s="361"/>
      <c r="C337" s="361"/>
      <c r="D337" s="361"/>
      <c r="E337" s="361"/>
      <c r="F337" s="361"/>
      <c r="G337" s="361"/>
      <c r="H337" s="361"/>
      <c r="I337" s="361"/>
      <c r="J337" s="361"/>
      <c r="K337" s="361"/>
      <c r="L337" s="361"/>
      <c r="M337" s="361"/>
      <c r="N337" s="361"/>
      <c r="O337" s="361"/>
      <c r="P337" s="361"/>
      <c r="Q337" s="361"/>
      <c r="R337" s="361"/>
      <c r="S337" s="361"/>
      <c r="T337" s="361"/>
      <c r="U337" s="361"/>
      <c r="V337" s="361"/>
      <c r="W337" s="361"/>
      <c r="X337" s="361"/>
      <c r="Y337" s="957"/>
      <c r="Z337" s="957"/>
      <c r="AA337" s="957"/>
      <c r="AB337" s="957"/>
      <c r="AC337" s="957"/>
      <c r="AD337" s="361"/>
    </row>
    <row r="338" spans="2:30" s="349" customFormat="1" ht="20.100000000000001" customHeight="1">
      <c r="B338" s="361"/>
      <c r="C338" s="361"/>
      <c r="D338" s="361"/>
      <c r="E338" s="361"/>
      <c r="F338" s="361"/>
      <c r="G338" s="361"/>
      <c r="H338" s="361"/>
      <c r="I338" s="361"/>
      <c r="J338" s="361"/>
      <c r="K338" s="361"/>
      <c r="L338" s="361"/>
      <c r="M338" s="361"/>
      <c r="N338" s="361"/>
      <c r="O338" s="361"/>
      <c r="P338" s="361"/>
      <c r="Q338" s="361"/>
      <c r="R338" s="361"/>
      <c r="S338" s="361"/>
      <c r="T338" s="361"/>
      <c r="U338" s="361"/>
      <c r="V338" s="361"/>
      <c r="W338" s="361"/>
      <c r="X338" s="361"/>
      <c r="Y338" s="957"/>
      <c r="Z338" s="957"/>
      <c r="AA338" s="957"/>
      <c r="AB338" s="957"/>
      <c r="AC338" s="957"/>
      <c r="AD338" s="361"/>
    </row>
    <row r="339" spans="2:30" s="349" customFormat="1" ht="20.100000000000001" customHeight="1">
      <c r="B339" s="361"/>
      <c r="C339" s="361"/>
      <c r="D339" s="361"/>
      <c r="E339" s="361"/>
      <c r="F339" s="361"/>
      <c r="G339" s="361"/>
      <c r="H339" s="361"/>
      <c r="I339" s="361"/>
      <c r="J339" s="361"/>
      <c r="K339" s="361"/>
      <c r="L339" s="361"/>
      <c r="M339" s="361"/>
      <c r="N339" s="361"/>
      <c r="O339" s="361"/>
      <c r="P339" s="361"/>
      <c r="Q339" s="361"/>
      <c r="R339" s="361"/>
      <c r="S339" s="361"/>
      <c r="T339" s="361"/>
      <c r="U339" s="361"/>
      <c r="V339" s="361"/>
      <c r="W339" s="361"/>
      <c r="X339" s="361"/>
      <c r="Y339" s="957"/>
      <c r="Z339" s="957"/>
      <c r="AA339" s="957"/>
      <c r="AB339" s="957"/>
      <c r="AC339" s="957"/>
      <c r="AD339" s="361"/>
    </row>
    <row r="340" spans="2:30" s="349" customFormat="1" ht="20.100000000000001" customHeight="1">
      <c r="B340" s="361"/>
      <c r="C340" s="361"/>
      <c r="D340" s="361"/>
      <c r="E340" s="361"/>
      <c r="F340" s="361"/>
      <c r="G340" s="361"/>
      <c r="H340" s="361"/>
      <c r="I340" s="361"/>
      <c r="J340" s="361"/>
      <c r="K340" s="361"/>
      <c r="L340" s="361"/>
      <c r="M340" s="361"/>
      <c r="N340" s="361"/>
      <c r="O340" s="361"/>
      <c r="P340" s="361"/>
      <c r="Q340" s="361"/>
      <c r="R340" s="361"/>
      <c r="S340" s="361"/>
      <c r="T340" s="361"/>
      <c r="U340" s="361"/>
      <c r="V340" s="361"/>
      <c r="W340" s="361"/>
      <c r="X340" s="361"/>
      <c r="Y340" s="957"/>
      <c r="Z340" s="957"/>
      <c r="AA340" s="957"/>
      <c r="AB340" s="957"/>
      <c r="AC340" s="957"/>
      <c r="AD340" s="361"/>
    </row>
    <row r="341" spans="2:30" s="349" customFormat="1" ht="20.100000000000001" customHeight="1">
      <c r="B341" s="361"/>
      <c r="C341" s="361"/>
      <c r="D341" s="361"/>
      <c r="E341" s="361"/>
      <c r="F341" s="361"/>
      <c r="G341" s="361"/>
      <c r="H341" s="361"/>
      <c r="I341" s="361"/>
      <c r="J341" s="361"/>
      <c r="K341" s="361"/>
      <c r="L341" s="361"/>
      <c r="M341" s="361"/>
      <c r="N341" s="361"/>
      <c r="O341" s="361"/>
      <c r="P341" s="361"/>
      <c r="Q341" s="361"/>
      <c r="R341" s="361"/>
      <c r="S341" s="361"/>
      <c r="T341" s="361"/>
      <c r="U341" s="361"/>
      <c r="V341" s="361"/>
      <c r="W341" s="361"/>
      <c r="X341" s="361"/>
      <c r="Y341" s="957"/>
      <c r="Z341" s="957"/>
      <c r="AA341" s="957"/>
      <c r="AB341" s="957"/>
      <c r="AC341" s="957"/>
      <c r="AD341" s="361"/>
    </row>
    <row r="342" spans="2:30" s="349" customFormat="1" ht="20.100000000000001" customHeight="1">
      <c r="B342" s="361"/>
      <c r="C342" s="361"/>
      <c r="D342" s="361"/>
      <c r="E342" s="361"/>
      <c r="F342" s="361"/>
      <c r="G342" s="361"/>
      <c r="H342" s="361"/>
      <c r="I342" s="361"/>
      <c r="J342" s="361"/>
      <c r="K342" s="361"/>
      <c r="L342" s="361"/>
      <c r="M342" s="361"/>
      <c r="N342" s="361"/>
      <c r="O342" s="361"/>
      <c r="P342" s="361"/>
      <c r="Q342" s="361"/>
      <c r="R342" s="361"/>
      <c r="S342" s="361"/>
      <c r="T342" s="361"/>
      <c r="U342" s="361"/>
      <c r="V342" s="361"/>
      <c r="W342" s="361"/>
      <c r="X342" s="361"/>
      <c r="Y342" s="957"/>
      <c r="Z342" s="957"/>
      <c r="AA342" s="957"/>
      <c r="AB342" s="957"/>
      <c r="AC342" s="957"/>
      <c r="AD342" s="361"/>
    </row>
    <row r="343" spans="2:30" s="349" customFormat="1" ht="20.100000000000001" customHeight="1">
      <c r="B343" s="361"/>
      <c r="C343" s="361"/>
      <c r="D343" s="361"/>
      <c r="E343" s="361"/>
      <c r="F343" s="361"/>
      <c r="G343" s="361"/>
      <c r="H343" s="361"/>
      <c r="I343" s="361"/>
      <c r="J343" s="361"/>
      <c r="K343" s="361"/>
      <c r="L343" s="361"/>
      <c r="M343" s="361"/>
      <c r="N343" s="361"/>
      <c r="O343" s="361"/>
      <c r="P343" s="361"/>
      <c r="Q343" s="361"/>
      <c r="R343" s="361"/>
      <c r="S343" s="361"/>
      <c r="T343" s="361"/>
      <c r="U343" s="361"/>
      <c r="V343" s="361"/>
      <c r="W343" s="361"/>
      <c r="X343" s="361"/>
      <c r="Y343" s="957"/>
      <c r="Z343" s="957"/>
      <c r="AA343" s="957"/>
      <c r="AB343" s="957"/>
      <c r="AC343" s="957"/>
      <c r="AD343" s="361"/>
    </row>
    <row r="344" spans="2:30" s="349" customFormat="1" ht="20.100000000000001" customHeight="1">
      <c r="B344" s="361"/>
      <c r="C344" s="361"/>
      <c r="D344" s="361"/>
      <c r="E344" s="361"/>
      <c r="F344" s="361"/>
      <c r="G344" s="361"/>
      <c r="H344" s="361"/>
      <c r="I344" s="361"/>
      <c r="J344" s="361"/>
      <c r="K344" s="361"/>
      <c r="L344" s="361"/>
      <c r="M344" s="361"/>
      <c r="N344" s="361"/>
      <c r="O344" s="361"/>
      <c r="P344" s="361"/>
      <c r="Q344" s="361"/>
      <c r="R344" s="361"/>
      <c r="S344" s="361"/>
      <c r="T344" s="361"/>
      <c r="U344" s="361"/>
      <c r="V344" s="361"/>
      <c r="W344" s="361"/>
      <c r="X344" s="361"/>
      <c r="Y344" s="957"/>
      <c r="Z344" s="957"/>
      <c r="AA344" s="957"/>
      <c r="AB344" s="957"/>
      <c r="AC344" s="957"/>
      <c r="AD344" s="361"/>
    </row>
    <row r="345" spans="2:30" s="349" customFormat="1" ht="20.100000000000001" customHeight="1">
      <c r="B345" s="361"/>
      <c r="C345" s="361"/>
      <c r="D345" s="361"/>
      <c r="E345" s="361"/>
      <c r="F345" s="361"/>
      <c r="G345" s="361"/>
      <c r="H345" s="361"/>
      <c r="I345" s="361"/>
      <c r="J345" s="361"/>
      <c r="K345" s="361"/>
      <c r="L345" s="361"/>
      <c r="M345" s="361"/>
      <c r="N345" s="361"/>
      <c r="O345" s="361"/>
      <c r="P345" s="361"/>
      <c r="Q345" s="361"/>
      <c r="R345" s="361"/>
      <c r="S345" s="361"/>
      <c r="T345" s="361"/>
      <c r="U345" s="361"/>
      <c r="V345" s="361"/>
      <c r="W345" s="361"/>
      <c r="X345" s="361"/>
      <c r="Y345" s="957"/>
      <c r="Z345" s="957"/>
      <c r="AA345" s="957"/>
      <c r="AB345" s="957"/>
      <c r="AC345" s="957"/>
      <c r="AD345" s="361"/>
    </row>
    <row r="346" spans="2:30" s="349" customFormat="1" ht="20.100000000000001" customHeight="1">
      <c r="B346" s="361"/>
      <c r="C346" s="361"/>
      <c r="D346" s="361"/>
      <c r="E346" s="361"/>
      <c r="F346" s="361"/>
      <c r="G346" s="361"/>
      <c r="H346" s="361"/>
      <c r="I346" s="361"/>
      <c r="J346" s="361"/>
      <c r="K346" s="361"/>
      <c r="L346" s="361"/>
      <c r="M346" s="361"/>
      <c r="N346" s="361"/>
      <c r="O346" s="361"/>
      <c r="P346" s="361"/>
      <c r="Q346" s="361"/>
      <c r="R346" s="361"/>
      <c r="S346" s="361"/>
      <c r="T346" s="361"/>
      <c r="U346" s="361"/>
      <c r="V346" s="361"/>
      <c r="W346" s="361"/>
      <c r="X346" s="361"/>
      <c r="Y346" s="957"/>
      <c r="Z346" s="957"/>
      <c r="AA346" s="957"/>
      <c r="AB346" s="957"/>
      <c r="AC346" s="957"/>
      <c r="AD346" s="361"/>
    </row>
    <row r="347" spans="2:30" s="349" customFormat="1" ht="20.100000000000001" customHeight="1">
      <c r="B347" s="361"/>
      <c r="C347" s="361"/>
      <c r="D347" s="361"/>
      <c r="E347" s="361"/>
      <c r="F347" s="361"/>
      <c r="G347" s="361"/>
      <c r="H347" s="361"/>
      <c r="I347" s="361"/>
      <c r="J347" s="361"/>
      <c r="K347" s="361"/>
      <c r="L347" s="361"/>
      <c r="M347" s="361"/>
      <c r="N347" s="361"/>
      <c r="O347" s="361"/>
      <c r="P347" s="361"/>
      <c r="Q347" s="361"/>
      <c r="R347" s="361"/>
      <c r="S347" s="361"/>
      <c r="T347" s="361"/>
      <c r="U347" s="361"/>
      <c r="V347" s="361"/>
      <c r="W347" s="361"/>
      <c r="X347" s="361"/>
      <c r="Y347" s="957"/>
      <c r="Z347" s="957"/>
      <c r="AA347" s="957"/>
      <c r="AB347" s="957"/>
      <c r="AC347" s="957"/>
      <c r="AD347" s="361"/>
    </row>
    <row r="348" spans="2:30" s="349" customFormat="1" ht="20.100000000000001" customHeight="1">
      <c r="B348" s="361"/>
      <c r="C348" s="361"/>
      <c r="D348" s="361"/>
      <c r="E348" s="361"/>
      <c r="F348" s="361"/>
      <c r="G348" s="361"/>
      <c r="H348" s="361"/>
      <c r="I348" s="361"/>
      <c r="J348" s="361"/>
      <c r="K348" s="361"/>
      <c r="L348" s="361"/>
      <c r="M348" s="361"/>
      <c r="N348" s="361"/>
      <c r="O348" s="361"/>
      <c r="P348" s="361"/>
      <c r="Q348" s="361"/>
      <c r="R348" s="361"/>
      <c r="S348" s="361"/>
      <c r="T348" s="361"/>
      <c r="U348" s="361"/>
      <c r="V348" s="361"/>
      <c r="W348" s="361"/>
      <c r="X348" s="361"/>
      <c r="Y348" s="957"/>
      <c r="Z348" s="957"/>
      <c r="AA348" s="957"/>
      <c r="AB348" s="957"/>
      <c r="AC348" s="957"/>
      <c r="AD348" s="361"/>
    </row>
    <row r="349" spans="2:30" s="349" customFormat="1" ht="20.100000000000001" customHeight="1">
      <c r="B349" s="361"/>
      <c r="C349" s="361"/>
      <c r="D349" s="361"/>
      <c r="E349" s="361"/>
      <c r="F349" s="361"/>
      <c r="G349" s="361"/>
      <c r="H349" s="361"/>
      <c r="I349" s="361"/>
      <c r="J349" s="361"/>
      <c r="K349" s="361"/>
      <c r="L349" s="361"/>
      <c r="M349" s="361"/>
      <c r="N349" s="361"/>
      <c r="O349" s="361"/>
      <c r="P349" s="361"/>
      <c r="Q349" s="361"/>
      <c r="R349" s="361"/>
      <c r="S349" s="361"/>
      <c r="T349" s="361"/>
      <c r="U349" s="361"/>
      <c r="V349" s="361"/>
      <c r="W349" s="361"/>
      <c r="X349" s="361"/>
      <c r="Y349" s="957"/>
      <c r="Z349" s="957"/>
      <c r="AA349" s="957"/>
      <c r="AB349" s="957"/>
      <c r="AC349" s="957"/>
      <c r="AD349" s="361"/>
    </row>
    <row r="350" spans="2:30" s="349" customFormat="1" ht="20.100000000000001" customHeight="1">
      <c r="B350" s="361"/>
      <c r="C350" s="361"/>
      <c r="D350" s="361"/>
      <c r="E350" s="361"/>
      <c r="F350" s="361"/>
      <c r="G350" s="361"/>
      <c r="H350" s="361"/>
      <c r="I350" s="361"/>
      <c r="J350" s="361"/>
      <c r="K350" s="361"/>
      <c r="L350" s="361"/>
      <c r="M350" s="361"/>
      <c r="N350" s="361"/>
      <c r="O350" s="361"/>
      <c r="P350" s="361"/>
      <c r="Q350" s="361"/>
      <c r="R350" s="361"/>
      <c r="S350" s="361"/>
      <c r="T350" s="361"/>
      <c r="U350" s="361"/>
      <c r="V350" s="361"/>
      <c r="W350" s="361"/>
      <c r="X350" s="361"/>
      <c r="Y350" s="957"/>
      <c r="Z350" s="957"/>
      <c r="AA350" s="957"/>
      <c r="AB350" s="957"/>
      <c r="AC350" s="957"/>
      <c r="AD350" s="361"/>
    </row>
    <row r="351" spans="2:30" s="349" customFormat="1" ht="20.100000000000001" customHeight="1">
      <c r="B351" s="361"/>
      <c r="C351" s="361"/>
      <c r="D351" s="361"/>
      <c r="E351" s="361"/>
      <c r="F351" s="361"/>
      <c r="G351" s="361"/>
      <c r="H351" s="361"/>
      <c r="I351" s="361"/>
      <c r="J351" s="361"/>
      <c r="K351" s="361"/>
      <c r="L351" s="361"/>
      <c r="M351" s="361"/>
      <c r="N351" s="361"/>
      <c r="O351" s="361"/>
      <c r="P351" s="361"/>
      <c r="Q351" s="361"/>
      <c r="R351" s="361"/>
      <c r="S351" s="361"/>
      <c r="T351" s="361"/>
      <c r="U351" s="361"/>
      <c r="V351" s="361"/>
      <c r="W351" s="361"/>
      <c r="X351" s="361"/>
      <c r="Y351" s="957"/>
      <c r="Z351" s="957"/>
      <c r="AA351" s="957"/>
      <c r="AB351" s="957"/>
      <c r="AC351" s="957"/>
      <c r="AD351" s="361"/>
    </row>
    <row r="352" spans="2:30" s="349" customFormat="1" ht="20.100000000000001" customHeight="1">
      <c r="B352" s="361"/>
      <c r="C352" s="361"/>
      <c r="D352" s="361"/>
      <c r="E352" s="361"/>
      <c r="F352" s="361"/>
      <c r="G352" s="361"/>
      <c r="H352" s="361"/>
      <c r="I352" s="361"/>
      <c r="J352" s="361"/>
      <c r="K352" s="361"/>
      <c r="L352" s="361"/>
      <c r="M352" s="361"/>
      <c r="N352" s="361"/>
      <c r="O352" s="361"/>
      <c r="P352" s="361"/>
      <c r="Q352" s="361"/>
      <c r="R352" s="361"/>
      <c r="S352" s="361"/>
      <c r="T352" s="361"/>
      <c r="U352" s="361"/>
      <c r="V352" s="361"/>
      <c r="W352" s="361"/>
      <c r="X352" s="361"/>
      <c r="Y352" s="957"/>
      <c r="Z352" s="957"/>
      <c r="AA352" s="957"/>
      <c r="AB352" s="957"/>
      <c r="AC352" s="957"/>
      <c r="AD352" s="361"/>
    </row>
    <row r="353" spans="2:30" s="349" customFormat="1" ht="20.100000000000001" customHeight="1">
      <c r="B353" s="361"/>
      <c r="C353" s="361"/>
      <c r="D353" s="361"/>
      <c r="E353" s="361"/>
      <c r="F353" s="361"/>
      <c r="G353" s="361"/>
      <c r="H353" s="361"/>
      <c r="I353" s="361"/>
      <c r="J353" s="361"/>
      <c r="K353" s="361"/>
      <c r="L353" s="361"/>
      <c r="M353" s="361"/>
      <c r="N353" s="361"/>
      <c r="O353" s="361"/>
      <c r="P353" s="361"/>
      <c r="Q353" s="361"/>
      <c r="R353" s="361"/>
      <c r="S353" s="361"/>
      <c r="T353" s="361"/>
      <c r="U353" s="361"/>
      <c r="V353" s="361"/>
      <c r="W353" s="361"/>
      <c r="X353" s="361"/>
      <c r="Y353" s="957"/>
      <c r="Z353" s="957"/>
      <c r="AA353" s="957"/>
      <c r="AB353" s="957"/>
      <c r="AC353" s="957"/>
      <c r="AD353" s="361"/>
    </row>
    <row r="354" spans="2:30" s="349" customFormat="1" ht="20.100000000000001" customHeight="1">
      <c r="B354" s="361"/>
      <c r="C354" s="361"/>
      <c r="D354" s="361"/>
      <c r="E354" s="361"/>
      <c r="F354" s="361"/>
      <c r="G354" s="361"/>
      <c r="H354" s="361"/>
      <c r="I354" s="361"/>
      <c r="J354" s="361"/>
      <c r="K354" s="361"/>
      <c r="L354" s="361"/>
      <c r="M354" s="361"/>
      <c r="N354" s="361"/>
      <c r="O354" s="361"/>
      <c r="P354" s="361"/>
      <c r="Q354" s="361"/>
      <c r="R354" s="361"/>
      <c r="S354" s="361"/>
      <c r="T354" s="361"/>
      <c r="U354" s="361"/>
      <c r="V354" s="361"/>
      <c r="W354" s="361"/>
      <c r="X354" s="361"/>
      <c r="Y354" s="957"/>
      <c r="Z354" s="957"/>
      <c r="AA354" s="957"/>
      <c r="AB354" s="957"/>
      <c r="AC354" s="957"/>
      <c r="AD354" s="361"/>
    </row>
    <row r="355" spans="2:30" s="349" customFormat="1" ht="20.100000000000001" customHeight="1">
      <c r="B355" s="361"/>
      <c r="C355" s="361"/>
      <c r="D355" s="361"/>
      <c r="E355" s="361"/>
      <c r="F355" s="361"/>
      <c r="G355" s="361"/>
      <c r="H355" s="361"/>
      <c r="I355" s="361"/>
      <c r="J355" s="361"/>
      <c r="K355" s="361"/>
      <c r="L355" s="361"/>
      <c r="M355" s="361"/>
      <c r="N355" s="361"/>
      <c r="O355" s="361"/>
      <c r="P355" s="361"/>
      <c r="Q355" s="361"/>
      <c r="R355" s="361"/>
      <c r="S355" s="361"/>
      <c r="T355" s="361"/>
      <c r="U355" s="361"/>
      <c r="V355" s="361"/>
      <c r="W355" s="361"/>
      <c r="X355" s="361"/>
      <c r="Y355" s="957"/>
      <c r="Z355" s="957"/>
      <c r="AA355" s="957"/>
      <c r="AB355" s="957"/>
      <c r="AC355" s="957"/>
      <c r="AD355" s="361"/>
    </row>
    <row r="356" spans="2:30" s="349" customFormat="1" ht="20.100000000000001" customHeight="1">
      <c r="B356" s="361"/>
      <c r="C356" s="361"/>
      <c r="D356" s="361"/>
      <c r="E356" s="361"/>
      <c r="F356" s="361"/>
      <c r="G356" s="361"/>
      <c r="H356" s="361"/>
      <c r="I356" s="361"/>
      <c r="J356" s="361"/>
      <c r="K356" s="361"/>
      <c r="L356" s="361"/>
      <c r="M356" s="361"/>
      <c r="N356" s="361"/>
      <c r="O356" s="361"/>
      <c r="P356" s="361"/>
      <c r="Q356" s="361"/>
      <c r="R356" s="361"/>
      <c r="S356" s="361"/>
      <c r="T356" s="361"/>
      <c r="U356" s="361"/>
      <c r="V356" s="361"/>
      <c r="W356" s="361"/>
      <c r="X356" s="361"/>
      <c r="Y356" s="957"/>
      <c r="Z356" s="957"/>
      <c r="AA356" s="957"/>
      <c r="AB356" s="957"/>
      <c r="AC356" s="957"/>
      <c r="AD356" s="361"/>
    </row>
    <row r="357" spans="2:30" s="349" customFormat="1" ht="20.100000000000001" customHeight="1">
      <c r="B357" s="361"/>
      <c r="C357" s="361"/>
      <c r="D357" s="361"/>
      <c r="E357" s="361"/>
      <c r="F357" s="361"/>
      <c r="G357" s="361"/>
      <c r="H357" s="361"/>
      <c r="I357" s="361"/>
      <c r="J357" s="361"/>
      <c r="K357" s="361"/>
      <c r="L357" s="361"/>
      <c r="M357" s="361"/>
      <c r="N357" s="361"/>
      <c r="O357" s="361"/>
      <c r="P357" s="361"/>
      <c r="Q357" s="361"/>
      <c r="R357" s="361"/>
      <c r="S357" s="361"/>
      <c r="T357" s="361"/>
      <c r="U357" s="361"/>
      <c r="V357" s="361"/>
      <c r="W357" s="361"/>
      <c r="X357" s="361"/>
      <c r="Y357" s="957"/>
      <c r="Z357" s="957"/>
      <c r="AA357" s="957"/>
      <c r="AB357" s="957"/>
      <c r="AC357" s="957"/>
      <c r="AD357" s="361"/>
    </row>
    <row r="358" spans="2:30" s="349" customFormat="1" ht="20.100000000000001" customHeight="1">
      <c r="B358" s="361"/>
      <c r="C358" s="361"/>
      <c r="D358" s="361"/>
      <c r="E358" s="361"/>
      <c r="F358" s="361"/>
      <c r="G358" s="361"/>
      <c r="H358" s="361"/>
      <c r="I358" s="361"/>
      <c r="J358" s="361"/>
      <c r="K358" s="361"/>
      <c r="L358" s="361"/>
      <c r="M358" s="361"/>
      <c r="N358" s="361"/>
      <c r="O358" s="361"/>
      <c r="P358" s="361"/>
      <c r="Q358" s="361"/>
      <c r="R358" s="361"/>
      <c r="S358" s="361"/>
      <c r="T358" s="361"/>
      <c r="U358" s="361"/>
      <c r="V358" s="361"/>
      <c r="W358" s="361"/>
      <c r="X358" s="361"/>
      <c r="Y358" s="957"/>
      <c r="Z358" s="957"/>
      <c r="AA358" s="957"/>
      <c r="AB358" s="957"/>
      <c r="AC358" s="957"/>
      <c r="AD358" s="361"/>
    </row>
    <row r="359" spans="2:30" s="349" customFormat="1" ht="20.100000000000001" customHeight="1">
      <c r="B359" s="361"/>
      <c r="C359" s="361"/>
      <c r="D359" s="361"/>
      <c r="E359" s="361"/>
      <c r="F359" s="361"/>
      <c r="G359" s="361"/>
      <c r="H359" s="361"/>
      <c r="I359" s="361"/>
      <c r="J359" s="361"/>
      <c r="K359" s="361"/>
      <c r="L359" s="361"/>
      <c r="M359" s="361"/>
      <c r="N359" s="361"/>
      <c r="O359" s="361"/>
      <c r="P359" s="361"/>
      <c r="Q359" s="361"/>
      <c r="R359" s="361"/>
      <c r="S359" s="361"/>
      <c r="T359" s="361"/>
      <c r="U359" s="361"/>
      <c r="V359" s="361"/>
      <c r="W359" s="361"/>
      <c r="X359" s="361"/>
      <c r="Y359" s="957"/>
      <c r="Z359" s="957"/>
      <c r="AA359" s="957"/>
      <c r="AB359" s="957"/>
      <c r="AC359" s="957"/>
      <c r="AD359" s="361"/>
    </row>
    <row r="360" spans="2:30" s="349" customFormat="1" ht="20.100000000000001" customHeight="1">
      <c r="B360" s="361"/>
      <c r="C360" s="361"/>
      <c r="D360" s="361"/>
      <c r="E360" s="361"/>
      <c r="F360" s="361"/>
      <c r="G360" s="361"/>
      <c r="H360" s="361"/>
      <c r="I360" s="361"/>
      <c r="J360" s="361"/>
      <c r="K360" s="361"/>
      <c r="L360" s="361"/>
      <c r="M360" s="361"/>
      <c r="N360" s="361"/>
      <c r="O360" s="361"/>
      <c r="P360" s="361"/>
      <c r="Q360" s="361"/>
      <c r="R360" s="361"/>
      <c r="S360" s="361"/>
      <c r="T360" s="361"/>
      <c r="U360" s="361"/>
      <c r="V360" s="361"/>
      <c r="W360" s="361"/>
      <c r="X360" s="361"/>
      <c r="Y360" s="957"/>
      <c r="Z360" s="957"/>
      <c r="AA360" s="957"/>
      <c r="AB360" s="957"/>
      <c r="AC360" s="957"/>
      <c r="AD360" s="361"/>
    </row>
    <row r="361" spans="2:30" s="349" customFormat="1" ht="20.100000000000001" customHeight="1">
      <c r="B361" s="361"/>
      <c r="C361" s="361"/>
      <c r="D361" s="361"/>
      <c r="E361" s="361"/>
      <c r="F361" s="361"/>
      <c r="G361" s="361"/>
      <c r="H361" s="361"/>
      <c r="I361" s="361"/>
      <c r="J361" s="361"/>
      <c r="K361" s="361"/>
      <c r="L361" s="361"/>
      <c r="M361" s="361"/>
      <c r="N361" s="361"/>
      <c r="O361" s="361"/>
      <c r="P361" s="361"/>
      <c r="Q361" s="361"/>
      <c r="R361" s="361"/>
      <c r="S361" s="361"/>
      <c r="T361" s="361"/>
      <c r="U361" s="361"/>
      <c r="V361" s="361"/>
      <c r="W361" s="361"/>
      <c r="X361" s="361"/>
      <c r="Y361" s="957"/>
      <c r="Z361" s="957"/>
      <c r="AA361" s="957"/>
      <c r="AB361" s="957"/>
      <c r="AC361" s="957"/>
      <c r="AD361" s="361"/>
    </row>
    <row r="362" spans="2:30" s="349" customFormat="1" ht="20.100000000000001" customHeight="1">
      <c r="B362" s="361"/>
      <c r="C362" s="361"/>
      <c r="D362" s="361"/>
      <c r="E362" s="361"/>
      <c r="F362" s="361"/>
      <c r="G362" s="361"/>
      <c r="H362" s="361"/>
      <c r="I362" s="361"/>
      <c r="J362" s="361"/>
      <c r="K362" s="361"/>
      <c r="L362" s="361"/>
      <c r="M362" s="361"/>
      <c r="N362" s="361"/>
      <c r="O362" s="361"/>
      <c r="P362" s="361"/>
      <c r="Q362" s="361"/>
      <c r="R362" s="361"/>
      <c r="S362" s="361"/>
      <c r="T362" s="361"/>
      <c r="U362" s="361"/>
      <c r="V362" s="361"/>
      <c r="W362" s="361"/>
      <c r="X362" s="361"/>
      <c r="Y362" s="957"/>
      <c r="Z362" s="957"/>
      <c r="AA362" s="957"/>
      <c r="AB362" s="957"/>
      <c r="AC362" s="957"/>
      <c r="AD362" s="361"/>
    </row>
    <row r="363" spans="2:30" s="349" customFormat="1" ht="20.100000000000001" customHeight="1">
      <c r="B363" s="361"/>
      <c r="C363" s="361"/>
      <c r="D363" s="361"/>
      <c r="E363" s="361"/>
      <c r="F363" s="361"/>
      <c r="G363" s="361"/>
      <c r="H363" s="361"/>
      <c r="I363" s="361"/>
      <c r="J363" s="361"/>
      <c r="K363" s="361"/>
      <c r="L363" s="361"/>
      <c r="M363" s="361"/>
      <c r="N363" s="361"/>
      <c r="O363" s="361"/>
      <c r="P363" s="361"/>
      <c r="Q363" s="361"/>
      <c r="R363" s="361"/>
      <c r="S363" s="361"/>
      <c r="T363" s="361"/>
      <c r="U363" s="361"/>
      <c r="V363" s="361"/>
      <c r="W363" s="361"/>
      <c r="X363" s="361"/>
      <c r="Y363" s="957"/>
      <c r="Z363" s="957"/>
      <c r="AA363" s="957"/>
      <c r="AB363" s="957"/>
      <c r="AC363" s="957"/>
      <c r="AD363" s="361"/>
    </row>
    <row r="364" spans="2:30" s="349" customFormat="1" ht="20.100000000000001" customHeight="1">
      <c r="B364" s="361"/>
      <c r="C364" s="361"/>
      <c r="D364" s="361"/>
      <c r="E364" s="361"/>
      <c r="F364" s="361"/>
      <c r="G364" s="361"/>
      <c r="H364" s="361"/>
      <c r="I364" s="361"/>
      <c r="J364" s="361"/>
      <c r="K364" s="361"/>
      <c r="L364" s="361"/>
      <c r="M364" s="361"/>
      <c r="N364" s="361"/>
      <c r="O364" s="361"/>
      <c r="P364" s="361"/>
      <c r="Q364" s="361"/>
      <c r="R364" s="361"/>
      <c r="S364" s="361"/>
      <c r="T364" s="361"/>
      <c r="U364" s="361"/>
      <c r="V364" s="361"/>
      <c r="W364" s="361"/>
      <c r="X364" s="361"/>
      <c r="Y364" s="957"/>
      <c r="Z364" s="957"/>
      <c r="AA364" s="957"/>
      <c r="AB364" s="957"/>
      <c r="AC364" s="957"/>
      <c r="AD364" s="361"/>
    </row>
    <row r="365" spans="2:30" s="349" customFormat="1" ht="20.100000000000001" customHeight="1">
      <c r="B365" s="361"/>
      <c r="C365" s="361"/>
      <c r="D365" s="361"/>
      <c r="E365" s="361"/>
      <c r="F365" s="361"/>
      <c r="G365" s="361"/>
      <c r="H365" s="361"/>
      <c r="I365" s="361"/>
      <c r="J365" s="361"/>
      <c r="K365" s="361"/>
      <c r="L365" s="361"/>
      <c r="M365" s="361"/>
      <c r="N365" s="361"/>
      <c r="O365" s="361"/>
      <c r="P365" s="361"/>
      <c r="Q365" s="361"/>
      <c r="R365" s="361"/>
      <c r="S365" s="361"/>
      <c r="T365" s="361"/>
      <c r="U365" s="361"/>
      <c r="V365" s="361"/>
      <c r="W365" s="361"/>
      <c r="X365" s="361"/>
      <c r="Y365" s="957"/>
      <c r="Z365" s="957"/>
      <c r="AA365" s="957"/>
      <c r="AB365" s="957"/>
      <c r="AC365" s="957"/>
      <c r="AD365" s="361"/>
    </row>
    <row r="366" spans="2:30" s="349" customFormat="1" ht="20.100000000000001" customHeight="1">
      <c r="B366" s="361"/>
      <c r="C366" s="361"/>
      <c r="D366" s="361"/>
      <c r="E366" s="361"/>
      <c r="F366" s="361"/>
      <c r="G366" s="361"/>
      <c r="H366" s="361"/>
      <c r="I366" s="361"/>
      <c r="J366" s="361"/>
      <c r="K366" s="361"/>
      <c r="L366" s="361"/>
      <c r="M366" s="361"/>
      <c r="N366" s="361"/>
      <c r="O366" s="361"/>
      <c r="P366" s="361"/>
      <c r="Q366" s="361"/>
      <c r="R366" s="361"/>
      <c r="S366" s="361"/>
      <c r="T366" s="361"/>
      <c r="U366" s="361"/>
      <c r="V366" s="361"/>
      <c r="W366" s="361"/>
      <c r="X366" s="361"/>
      <c r="Y366" s="957"/>
      <c r="Z366" s="957"/>
      <c r="AA366" s="957"/>
      <c r="AB366" s="957"/>
      <c r="AC366" s="957"/>
      <c r="AD366" s="361"/>
    </row>
    <row r="367" spans="2:30" s="349" customFormat="1" ht="20.100000000000001" customHeight="1">
      <c r="B367" s="361"/>
      <c r="C367" s="361"/>
      <c r="D367" s="361"/>
      <c r="E367" s="361"/>
      <c r="F367" s="361"/>
      <c r="G367" s="361"/>
      <c r="H367" s="361"/>
      <c r="I367" s="361"/>
      <c r="J367" s="361"/>
      <c r="K367" s="361"/>
      <c r="L367" s="361"/>
      <c r="M367" s="361"/>
      <c r="N367" s="361"/>
      <c r="O367" s="361"/>
      <c r="P367" s="361"/>
      <c r="Q367" s="361"/>
      <c r="R367" s="361"/>
      <c r="S367" s="361"/>
      <c r="T367" s="361"/>
      <c r="U367" s="361"/>
      <c r="V367" s="361"/>
      <c r="W367" s="361"/>
      <c r="X367" s="361"/>
      <c r="Y367" s="957"/>
      <c r="Z367" s="957"/>
      <c r="AA367" s="957"/>
      <c r="AB367" s="957"/>
      <c r="AC367" s="957"/>
      <c r="AD367" s="361"/>
    </row>
    <row r="368" spans="2:30" s="349" customFormat="1" ht="20.100000000000001" customHeight="1">
      <c r="B368" s="361"/>
      <c r="C368" s="361"/>
      <c r="D368" s="361"/>
      <c r="E368" s="361"/>
      <c r="F368" s="361"/>
      <c r="G368" s="361"/>
      <c r="H368" s="361"/>
      <c r="I368" s="361"/>
      <c r="J368" s="361"/>
      <c r="K368" s="361"/>
      <c r="L368" s="361"/>
      <c r="M368" s="361"/>
      <c r="N368" s="361"/>
      <c r="O368" s="361"/>
      <c r="P368" s="361"/>
      <c r="Q368" s="361"/>
      <c r="R368" s="361"/>
      <c r="S368" s="361"/>
      <c r="T368" s="361"/>
      <c r="U368" s="361"/>
      <c r="V368" s="361"/>
      <c r="W368" s="361"/>
      <c r="X368" s="361"/>
      <c r="Y368" s="957"/>
      <c r="Z368" s="957"/>
      <c r="AA368" s="957"/>
      <c r="AB368" s="957"/>
      <c r="AC368" s="957"/>
      <c r="AD368" s="361"/>
    </row>
    <row r="369" spans="2:30" s="349" customFormat="1" ht="20.100000000000001" customHeight="1">
      <c r="B369" s="361"/>
      <c r="C369" s="361"/>
      <c r="D369" s="361"/>
      <c r="E369" s="361"/>
      <c r="F369" s="361"/>
      <c r="G369" s="361"/>
      <c r="H369" s="361"/>
      <c r="I369" s="361"/>
      <c r="J369" s="361"/>
      <c r="K369" s="361"/>
      <c r="L369" s="361"/>
      <c r="M369" s="361"/>
      <c r="N369" s="361"/>
      <c r="O369" s="361"/>
      <c r="P369" s="361"/>
      <c r="Q369" s="361"/>
      <c r="R369" s="361"/>
      <c r="S369" s="361"/>
      <c r="T369" s="361"/>
      <c r="U369" s="361"/>
      <c r="V369" s="361"/>
      <c r="W369" s="361"/>
      <c r="X369" s="361"/>
      <c r="Y369" s="957"/>
      <c r="Z369" s="957"/>
      <c r="AA369" s="957"/>
      <c r="AB369" s="957"/>
      <c r="AC369" s="957"/>
      <c r="AD369" s="361"/>
    </row>
    <row r="370" spans="2:30" s="349" customFormat="1" ht="20.100000000000001" customHeight="1">
      <c r="B370" s="361"/>
      <c r="C370" s="361"/>
      <c r="D370" s="361"/>
      <c r="E370" s="361"/>
      <c r="F370" s="361"/>
      <c r="G370" s="361"/>
      <c r="H370" s="361"/>
      <c r="I370" s="361"/>
      <c r="J370" s="361"/>
      <c r="K370" s="361"/>
      <c r="L370" s="361"/>
      <c r="M370" s="361"/>
      <c r="N370" s="361"/>
      <c r="O370" s="361"/>
      <c r="P370" s="361"/>
      <c r="Q370" s="361"/>
      <c r="R370" s="361"/>
      <c r="S370" s="361"/>
      <c r="T370" s="361"/>
      <c r="U370" s="361"/>
      <c r="V370" s="361"/>
      <c r="W370" s="361"/>
      <c r="X370" s="361"/>
      <c r="Y370" s="957"/>
      <c r="Z370" s="957"/>
      <c r="AA370" s="957"/>
      <c r="AB370" s="957"/>
      <c r="AC370" s="957"/>
      <c r="AD370" s="361"/>
    </row>
    <row r="371" spans="2:30" s="349" customFormat="1" ht="20.100000000000001" customHeight="1">
      <c r="B371" s="361"/>
      <c r="C371" s="361"/>
      <c r="D371" s="361"/>
      <c r="E371" s="361"/>
      <c r="F371" s="361"/>
      <c r="G371" s="361"/>
      <c r="H371" s="361"/>
      <c r="I371" s="361"/>
      <c r="J371" s="361"/>
      <c r="K371" s="361"/>
      <c r="L371" s="361"/>
      <c r="M371" s="361"/>
      <c r="N371" s="361"/>
      <c r="O371" s="361"/>
      <c r="P371" s="361"/>
      <c r="Q371" s="361"/>
      <c r="R371" s="361"/>
      <c r="S371" s="361"/>
      <c r="T371" s="361"/>
      <c r="U371" s="361"/>
      <c r="V371" s="361"/>
      <c r="W371" s="361"/>
      <c r="X371" s="361"/>
      <c r="Y371" s="957"/>
      <c r="Z371" s="957"/>
      <c r="AA371" s="957"/>
      <c r="AB371" s="957"/>
      <c r="AC371" s="957"/>
      <c r="AD371" s="361"/>
    </row>
    <row r="372" spans="2:30" s="349" customFormat="1" ht="20.100000000000001" customHeight="1">
      <c r="B372" s="361"/>
      <c r="C372" s="361"/>
      <c r="D372" s="361"/>
      <c r="E372" s="361"/>
      <c r="F372" s="361"/>
      <c r="G372" s="361"/>
      <c r="H372" s="361"/>
      <c r="I372" s="361"/>
      <c r="J372" s="361"/>
      <c r="K372" s="361"/>
      <c r="L372" s="361"/>
      <c r="M372" s="361"/>
      <c r="N372" s="361"/>
      <c r="O372" s="361"/>
      <c r="P372" s="361"/>
      <c r="Q372" s="361"/>
      <c r="R372" s="361"/>
      <c r="S372" s="361"/>
      <c r="T372" s="361"/>
      <c r="U372" s="361"/>
      <c r="V372" s="361"/>
      <c r="W372" s="361"/>
      <c r="X372" s="361"/>
      <c r="Y372" s="957"/>
      <c r="Z372" s="957"/>
      <c r="AA372" s="957"/>
      <c r="AB372" s="957"/>
      <c r="AC372" s="957"/>
      <c r="AD372" s="361"/>
    </row>
    <row r="373" spans="2:30" ht="20.100000000000001" customHeight="1"/>
    <row r="374" spans="2:30" ht="9.9499999999999993" customHeight="1"/>
    <row r="375" spans="2:30" ht="20.100000000000001" customHeight="1"/>
    <row r="376" spans="2:30" ht="20.100000000000001" customHeight="1"/>
    <row r="377" spans="2:30" ht="20.100000000000001" customHeight="1"/>
    <row r="378" spans="2:30" s="349" customFormat="1" ht="20.100000000000001" customHeight="1">
      <c r="B378" s="361"/>
      <c r="C378" s="361"/>
      <c r="D378" s="361"/>
      <c r="E378" s="361"/>
      <c r="F378" s="361"/>
      <c r="G378" s="361"/>
      <c r="H378" s="361"/>
      <c r="I378" s="361"/>
      <c r="J378" s="361"/>
      <c r="K378" s="361"/>
      <c r="L378" s="361"/>
      <c r="M378" s="361"/>
      <c r="N378" s="361"/>
      <c r="O378" s="361"/>
      <c r="P378" s="361"/>
      <c r="Q378" s="361"/>
      <c r="R378" s="361"/>
      <c r="S378" s="361"/>
      <c r="T378" s="361"/>
      <c r="U378" s="361"/>
      <c r="V378" s="361"/>
      <c r="W378" s="361"/>
      <c r="X378" s="361"/>
      <c r="Y378" s="957"/>
      <c r="Z378" s="957"/>
      <c r="AA378" s="957"/>
      <c r="AB378" s="957"/>
      <c r="AC378" s="957"/>
      <c r="AD378" s="361"/>
    </row>
    <row r="379" spans="2:30" s="349" customFormat="1" ht="20.100000000000001" customHeight="1">
      <c r="B379" s="361"/>
      <c r="C379" s="361"/>
      <c r="D379" s="361"/>
      <c r="E379" s="361"/>
      <c r="F379" s="361"/>
      <c r="G379" s="361"/>
      <c r="H379" s="361"/>
      <c r="I379" s="361"/>
      <c r="J379" s="361"/>
      <c r="K379" s="361"/>
      <c r="L379" s="361"/>
      <c r="M379" s="361"/>
      <c r="N379" s="361"/>
      <c r="O379" s="361"/>
      <c r="P379" s="361"/>
      <c r="Q379" s="361"/>
      <c r="R379" s="361"/>
      <c r="S379" s="361"/>
      <c r="T379" s="361"/>
      <c r="U379" s="361"/>
      <c r="V379" s="361"/>
      <c r="W379" s="361"/>
      <c r="X379" s="361"/>
      <c r="Y379" s="957"/>
      <c r="Z379" s="957"/>
      <c r="AA379" s="957"/>
      <c r="AB379" s="957"/>
      <c r="AC379" s="957"/>
      <c r="AD379" s="361"/>
    </row>
    <row r="380" spans="2:30" s="349" customFormat="1" ht="20.100000000000001" customHeight="1">
      <c r="B380" s="361"/>
      <c r="C380" s="361"/>
      <c r="D380" s="361"/>
      <c r="E380" s="361"/>
      <c r="F380" s="361"/>
      <c r="G380" s="361"/>
      <c r="H380" s="361"/>
      <c r="I380" s="361"/>
      <c r="J380" s="361"/>
      <c r="K380" s="361"/>
      <c r="L380" s="361"/>
      <c r="M380" s="361"/>
      <c r="N380" s="361"/>
      <c r="O380" s="361"/>
      <c r="P380" s="361"/>
      <c r="Q380" s="361"/>
      <c r="R380" s="361"/>
      <c r="S380" s="361"/>
      <c r="T380" s="361"/>
      <c r="U380" s="361"/>
      <c r="V380" s="361"/>
      <c r="W380" s="361"/>
      <c r="X380" s="361"/>
      <c r="Y380" s="957"/>
      <c r="Z380" s="957"/>
      <c r="AA380" s="957"/>
      <c r="AB380" s="957"/>
      <c r="AC380" s="957"/>
      <c r="AD380" s="361"/>
    </row>
    <row r="381" spans="2:30" s="349" customFormat="1" ht="20.100000000000001" customHeight="1">
      <c r="B381" s="361"/>
      <c r="C381" s="361"/>
      <c r="D381" s="361"/>
      <c r="E381" s="361"/>
      <c r="F381" s="361"/>
      <c r="G381" s="361"/>
      <c r="H381" s="361"/>
      <c r="I381" s="361"/>
      <c r="J381" s="361"/>
      <c r="K381" s="361"/>
      <c r="L381" s="361"/>
      <c r="M381" s="361"/>
      <c r="N381" s="361"/>
      <c r="O381" s="361"/>
      <c r="P381" s="361"/>
      <c r="Q381" s="361"/>
      <c r="R381" s="361"/>
      <c r="S381" s="361"/>
      <c r="T381" s="361"/>
      <c r="U381" s="361"/>
      <c r="V381" s="361"/>
      <c r="W381" s="361"/>
      <c r="X381" s="361"/>
      <c r="Y381" s="957"/>
      <c r="Z381" s="957"/>
      <c r="AA381" s="957"/>
      <c r="AB381" s="957"/>
      <c r="AC381" s="957"/>
      <c r="AD381" s="361"/>
    </row>
    <row r="382" spans="2:30" s="349" customFormat="1" ht="20.100000000000001" customHeight="1">
      <c r="B382" s="361"/>
      <c r="C382" s="361"/>
      <c r="D382" s="361"/>
      <c r="E382" s="361"/>
      <c r="F382" s="361"/>
      <c r="G382" s="361"/>
      <c r="H382" s="361"/>
      <c r="I382" s="361"/>
      <c r="J382" s="361"/>
      <c r="K382" s="361"/>
      <c r="L382" s="361"/>
      <c r="M382" s="361"/>
      <c r="N382" s="361"/>
      <c r="O382" s="361"/>
      <c r="P382" s="361"/>
      <c r="Q382" s="361"/>
      <c r="R382" s="361"/>
      <c r="S382" s="361"/>
      <c r="T382" s="361"/>
      <c r="U382" s="361"/>
      <c r="V382" s="361"/>
      <c r="W382" s="361"/>
      <c r="X382" s="361"/>
      <c r="Y382" s="957"/>
      <c r="Z382" s="957"/>
      <c r="AA382" s="957"/>
      <c r="AB382" s="957"/>
      <c r="AC382" s="957"/>
      <c r="AD382" s="361"/>
    </row>
    <row r="383" spans="2:30" s="349" customFormat="1" ht="20.100000000000001" customHeight="1">
      <c r="B383" s="361"/>
      <c r="C383" s="361"/>
      <c r="D383" s="361"/>
      <c r="E383" s="361"/>
      <c r="F383" s="361"/>
      <c r="G383" s="361"/>
      <c r="H383" s="361"/>
      <c r="I383" s="361"/>
      <c r="J383" s="361"/>
      <c r="K383" s="361"/>
      <c r="L383" s="361"/>
      <c r="M383" s="361"/>
      <c r="N383" s="361"/>
      <c r="O383" s="361"/>
      <c r="P383" s="361"/>
      <c r="Q383" s="361"/>
      <c r="R383" s="361"/>
      <c r="S383" s="361"/>
      <c r="T383" s="361"/>
      <c r="U383" s="361"/>
      <c r="V383" s="361"/>
      <c r="W383" s="361"/>
      <c r="X383" s="361"/>
      <c r="Y383" s="957"/>
      <c r="Z383" s="957"/>
      <c r="AA383" s="957"/>
      <c r="AB383" s="957"/>
      <c r="AC383" s="957"/>
      <c r="AD383" s="361"/>
    </row>
    <row r="384" spans="2:30" s="349" customFormat="1" ht="20.100000000000001" customHeight="1">
      <c r="B384" s="361"/>
      <c r="C384" s="361"/>
      <c r="D384" s="361"/>
      <c r="E384" s="361"/>
      <c r="F384" s="361"/>
      <c r="G384" s="361"/>
      <c r="H384" s="361"/>
      <c r="I384" s="361"/>
      <c r="J384" s="361"/>
      <c r="K384" s="361"/>
      <c r="L384" s="361"/>
      <c r="M384" s="361"/>
      <c r="N384" s="361"/>
      <c r="O384" s="361"/>
      <c r="P384" s="361"/>
      <c r="Q384" s="361"/>
      <c r="R384" s="361"/>
      <c r="S384" s="361"/>
      <c r="T384" s="361"/>
      <c r="U384" s="361"/>
      <c r="V384" s="361"/>
      <c r="W384" s="361"/>
      <c r="X384" s="361"/>
      <c r="Y384" s="957"/>
      <c r="Z384" s="957"/>
      <c r="AA384" s="957"/>
      <c r="AB384" s="957"/>
      <c r="AC384" s="957"/>
      <c r="AD384" s="361"/>
    </row>
    <row r="385" spans="2:30" s="349" customFormat="1" ht="20.100000000000001" customHeight="1">
      <c r="B385" s="361"/>
      <c r="C385" s="361"/>
      <c r="D385" s="361"/>
      <c r="E385" s="361"/>
      <c r="F385" s="361"/>
      <c r="G385" s="361"/>
      <c r="H385" s="361"/>
      <c r="I385" s="361"/>
      <c r="J385" s="361"/>
      <c r="K385" s="361"/>
      <c r="L385" s="361"/>
      <c r="M385" s="361"/>
      <c r="N385" s="361"/>
      <c r="O385" s="361"/>
      <c r="P385" s="361"/>
      <c r="Q385" s="361"/>
      <c r="R385" s="361"/>
      <c r="S385" s="361"/>
      <c r="T385" s="361"/>
      <c r="U385" s="361"/>
      <c r="V385" s="361"/>
      <c r="W385" s="361"/>
      <c r="X385" s="361"/>
      <c r="Y385" s="957"/>
      <c r="Z385" s="957"/>
      <c r="AA385" s="957"/>
      <c r="AB385" s="957"/>
      <c r="AC385" s="957"/>
      <c r="AD385" s="361"/>
    </row>
    <row r="386" spans="2:30" s="349" customFormat="1" ht="20.100000000000001" customHeight="1">
      <c r="B386" s="361"/>
      <c r="C386" s="361"/>
      <c r="D386" s="361"/>
      <c r="E386" s="361"/>
      <c r="F386" s="361"/>
      <c r="G386" s="361"/>
      <c r="H386" s="361"/>
      <c r="I386" s="361"/>
      <c r="J386" s="361"/>
      <c r="K386" s="361"/>
      <c r="L386" s="361"/>
      <c r="M386" s="361"/>
      <c r="N386" s="361"/>
      <c r="O386" s="361"/>
      <c r="P386" s="361"/>
      <c r="Q386" s="361"/>
      <c r="R386" s="361"/>
      <c r="S386" s="361"/>
      <c r="T386" s="361"/>
      <c r="U386" s="361"/>
      <c r="V386" s="361"/>
      <c r="W386" s="361"/>
      <c r="X386" s="361"/>
      <c r="Y386" s="957"/>
      <c r="Z386" s="957"/>
      <c r="AA386" s="957"/>
      <c r="AB386" s="957"/>
      <c r="AC386" s="957"/>
      <c r="AD386" s="361"/>
    </row>
    <row r="387" spans="2:30" s="349" customFormat="1" ht="20.100000000000001" customHeight="1">
      <c r="B387" s="361"/>
      <c r="C387" s="361"/>
      <c r="D387" s="361"/>
      <c r="E387" s="361"/>
      <c r="F387" s="361"/>
      <c r="G387" s="361"/>
      <c r="H387" s="361"/>
      <c r="I387" s="361"/>
      <c r="J387" s="361"/>
      <c r="K387" s="361"/>
      <c r="L387" s="361"/>
      <c r="M387" s="361"/>
      <c r="N387" s="361"/>
      <c r="O387" s="361"/>
      <c r="P387" s="361"/>
      <c r="Q387" s="361"/>
      <c r="R387" s="361"/>
      <c r="S387" s="361"/>
      <c r="T387" s="361"/>
      <c r="U387" s="361"/>
      <c r="V387" s="361"/>
      <c r="W387" s="361"/>
      <c r="X387" s="361"/>
      <c r="Y387" s="957"/>
      <c r="Z387" s="957"/>
      <c r="AA387" s="957"/>
      <c r="AB387" s="957"/>
      <c r="AC387" s="957"/>
      <c r="AD387" s="361"/>
    </row>
    <row r="388" spans="2:30" s="349" customFormat="1" ht="20.100000000000001" customHeight="1">
      <c r="B388" s="361"/>
      <c r="C388" s="361"/>
      <c r="D388" s="361"/>
      <c r="E388" s="361"/>
      <c r="F388" s="361"/>
      <c r="G388" s="361"/>
      <c r="H388" s="361"/>
      <c r="I388" s="361"/>
      <c r="J388" s="361"/>
      <c r="K388" s="361"/>
      <c r="L388" s="361"/>
      <c r="M388" s="361"/>
      <c r="N388" s="361"/>
      <c r="O388" s="361"/>
      <c r="P388" s="361"/>
      <c r="Q388" s="361"/>
      <c r="R388" s="361"/>
      <c r="S388" s="361"/>
      <c r="T388" s="361"/>
      <c r="U388" s="361"/>
      <c r="V388" s="361"/>
      <c r="W388" s="361"/>
      <c r="X388" s="361"/>
      <c r="Y388" s="957"/>
      <c r="Z388" s="957"/>
      <c r="AA388" s="957"/>
      <c r="AB388" s="957"/>
      <c r="AC388" s="957"/>
      <c r="AD388" s="361"/>
    </row>
    <row r="389" spans="2:30" s="349" customFormat="1" ht="20.100000000000001" customHeight="1">
      <c r="B389" s="361"/>
      <c r="C389" s="361"/>
      <c r="D389" s="361"/>
      <c r="E389" s="361"/>
      <c r="F389" s="361"/>
      <c r="G389" s="361"/>
      <c r="H389" s="361"/>
      <c r="I389" s="361"/>
      <c r="J389" s="361"/>
      <c r="K389" s="361"/>
      <c r="L389" s="361"/>
      <c r="M389" s="361"/>
      <c r="N389" s="361"/>
      <c r="O389" s="361"/>
      <c r="P389" s="361"/>
      <c r="Q389" s="361"/>
      <c r="R389" s="361"/>
      <c r="S389" s="361"/>
      <c r="T389" s="361"/>
      <c r="U389" s="361"/>
      <c r="V389" s="361"/>
      <c r="W389" s="361"/>
      <c r="X389" s="361"/>
      <c r="Y389" s="957"/>
      <c r="Z389" s="957"/>
      <c r="AA389" s="957"/>
      <c r="AB389" s="957"/>
      <c r="AC389" s="957"/>
      <c r="AD389" s="361"/>
    </row>
    <row r="390" spans="2:30" s="349" customFormat="1" ht="20.100000000000001" customHeight="1">
      <c r="B390" s="361"/>
      <c r="C390" s="361"/>
      <c r="D390" s="361"/>
      <c r="E390" s="361"/>
      <c r="F390" s="361"/>
      <c r="G390" s="361"/>
      <c r="H390" s="361"/>
      <c r="I390" s="361"/>
      <c r="J390" s="361"/>
      <c r="K390" s="361"/>
      <c r="L390" s="361"/>
      <c r="M390" s="361"/>
      <c r="N390" s="361"/>
      <c r="O390" s="361"/>
      <c r="P390" s="361"/>
      <c r="Q390" s="361"/>
      <c r="R390" s="361"/>
      <c r="S390" s="361"/>
      <c r="T390" s="361"/>
      <c r="U390" s="361"/>
      <c r="V390" s="361"/>
      <c r="W390" s="361"/>
      <c r="X390" s="361"/>
      <c r="Y390" s="957"/>
      <c r="Z390" s="957"/>
      <c r="AA390" s="957"/>
      <c r="AB390" s="957"/>
      <c r="AC390" s="957"/>
      <c r="AD390" s="361"/>
    </row>
    <row r="391" spans="2:30" s="349" customFormat="1" ht="20.100000000000001" customHeight="1">
      <c r="B391" s="361"/>
      <c r="C391" s="361"/>
      <c r="D391" s="361"/>
      <c r="E391" s="361"/>
      <c r="F391" s="361"/>
      <c r="G391" s="361"/>
      <c r="H391" s="361"/>
      <c r="I391" s="361"/>
      <c r="J391" s="361"/>
      <c r="K391" s="361"/>
      <c r="L391" s="361"/>
      <c r="M391" s="361"/>
      <c r="N391" s="361"/>
      <c r="O391" s="361"/>
      <c r="P391" s="361"/>
      <c r="Q391" s="361"/>
      <c r="R391" s="361"/>
      <c r="S391" s="361"/>
      <c r="T391" s="361"/>
      <c r="U391" s="361"/>
      <c r="V391" s="361"/>
      <c r="W391" s="361"/>
      <c r="X391" s="361"/>
      <c r="Y391" s="957"/>
      <c r="Z391" s="957"/>
      <c r="AA391" s="957"/>
      <c r="AB391" s="957"/>
      <c r="AC391" s="957"/>
      <c r="AD391" s="361"/>
    </row>
    <row r="392" spans="2:30" s="349" customFormat="1" ht="20.100000000000001" customHeight="1">
      <c r="B392" s="361"/>
      <c r="C392" s="361"/>
      <c r="D392" s="361"/>
      <c r="E392" s="361"/>
      <c r="F392" s="361"/>
      <c r="G392" s="361"/>
      <c r="H392" s="361"/>
      <c r="I392" s="361"/>
      <c r="J392" s="361"/>
      <c r="K392" s="361"/>
      <c r="L392" s="361"/>
      <c r="M392" s="361"/>
      <c r="N392" s="361"/>
      <c r="O392" s="361"/>
      <c r="P392" s="361"/>
      <c r="Q392" s="361"/>
      <c r="R392" s="361"/>
      <c r="S392" s="361"/>
      <c r="T392" s="361"/>
      <c r="U392" s="361"/>
      <c r="V392" s="361"/>
      <c r="W392" s="361"/>
      <c r="X392" s="361"/>
      <c r="Y392" s="957"/>
      <c r="Z392" s="957"/>
      <c r="AA392" s="957"/>
      <c r="AB392" s="957"/>
      <c r="AC392" s="957"/>
      <c r="AD392" s="361"/>
    </row>
    <row r="393" spans="2:30" s="349" customFormat="1" ht="20.100000000000001" customHeight="1">
      <c r="B393" s="361"/>
      <c r="C393" s="361"/>
      <c r="D393" s="361"/>
      <c r="E393" s="361"/>
      <c r="F393" s="361"/>
      <c r="G393" s="361"/>
      <c r="H393" s="361"/>
      <c r="I393" s="361"/>
      <c r="J393" s="361"/>
      <c r="K393" s="361"/>
      <c r="L393" s="361"/>
      <c r="M393" s="361"/>
      <c r="N393" s="361"/>
      <c r="O393" s="361"/>
      <c r="P393" s="361"/>
      <c r="Q393" s="361"/>
      <c r="R393" s="361"/>
      <c r="S393" s="361"/>
      <c r="T393" s="361"/>
      <c r="U393" s="361"/>
      <c r="V393" s="361"/>
      <c r="W393" s="361"/>
      <c r="X393" s="361"/>
      <c r="Y393" s="957"/>
      <c r="Z393" s="957"/>
      <c r="AA393" s="957"/>
      <c r="AB393" s="957"/>
      <c r="AC393" s="957"/>
      <c r="AD393" s="361"/>
    </row>
    <row r="394" spans="2:30" s="349" customFormat="1" ht="20.100000000000001" customHeight="1">
      <c r="B394" s="361"/>
      <c r="C394" s="361"/>
      <c r="D394" s="361"/>
      <c r="E394" s="361"/>
      <c r="F394" s="361"/>
      <c r="G394" s="361"/>
      <c r="H394" s="361"/>
      <c r="I394" s="361"/>
      <c r="J394" s="361"/>
      <c r="K394" s="361"/>
      <c r="L394" s="361"/>
      <c r="M394" s="361"/>
      <c r="N394" s="361"/>
      <c r="O394" s="361"/>
      <c r="P394" s="361"/>
      <c r="Q394" s="361"/>
      <c r="R394" s="361"/>
      <c r="S394" s="361"/>
      <c r="T394" s="361"/>
      <c r="U394" s="361"/>
      <c r="V394" s="361"/>
      <c r="W394" s="361"/>
      <c r="X394" s="361"/>
      <c r="Y394" s="957"/>
      <c r="Z394" s="957"/>
      <c r="AA394" s="957"/>
      <c r="AB394" s="957"/>
      <c r="AC394" s="957"/>
      <c r="AD394" s="361"/>
    </row>
    <row r="395" spans="2:30" s="349" customFormat="1" ht="20.100000000000001" customHeight="1">
      <c r="B395" s="361"/>
      <c r="C395" s="361"/>
      <c r="D395" s="361"/>
      <c r="E395" s="361"/>
      <c r="F395" s="361"/>
      <c r="G395" s="361"/>
      <c r="H395" s="361"/>
      <c r="I395" s="361"/>
      <c r="J395" s="361"/>
      <c r="K395" s="361"/>
      <c r="L395" s="361"/>
      <c r="M395" s="361"/>
      <c r="N395" s="361"/>
      <c r="O395" s="361"/>
      <c r="P395" s="361"/>
      <c r="Q395" s="361"/>
      <c r="R395" s="361"/>
      <c r="S395" s="361"/>
      <c r="T395" s="361"/>
      <c r="U395" s="361"/>
      <c r="V395" s="361"/>
      <c r="W395" s="361"/>
      <c r="X395" s="361"/>
      <c r="Y395" s="957"/>
      <c r="Z395" s="957"/>
      <c r="AA395" s="957"/>
      <c r="AB395" s="957"/>
      <c r="AC395" s="957"/>
      <c r="AD395" s="361"/>
    </row>
    <row r="396" spans="2:30" s="349" customFormat="1" ht="20.100000000000001" customHeight="1">
      <c r="B396" s="361"/>
      <c r="C396" s="361"/>
      <c r="D396" s="361"/>
      <c r="E396" s="361"/>
      <c r="F396" s="361"/>
      <c r="G396" s="361"/>
      <c r="H396" s="361"/>
      <c r="I396" s="361"/>
      <c r="J396" s="361"/>
      <c r="K396" s="361"/>
      <c r="L396" s="361"/>
      <c r="M396" s="361"/>
      <c r="N396" s="361"/>
      <c r="O396" s="361"/>
      <c r="P396" s="361"/>
      <c r="Q396" s="361"/>
      <c r="R396" s="361"/>
      <c r="S396" s="361"/>
      <c r="T396" s="361"/>
      <c r="U396" s="361"/>
      <c r="V396" s="361"/>
      <c r="W396" s="361"/>
      <c r="X396" s="361"/>
      <c r="Y396" s="957"/>
      <c r="Z396" s="957"/>
      <c r="AA396" s="957"/>
      <c r="AB396" s="957"/>
      <c r="AC396" s="957"/>
      <c r="AD396" s="361"/>
    </row>
    <row r="397" spans="2:30" s="349" customFormat="1" ht="20.100000000000001" customHeight="1">
      <c r="B397" s="361"/>
      <c r="C397" s="361"/>
      <c r="D397" s="361"/>
      <c r="E397" s="361"/>
      <c r="F397" s="361"/>
      <c r="G397" s="361"/>
      <c r="H397" s="361"/>
      <c r="I397" s="361"/>
      <c r="J397" s="361"/>
      <c r="K397" s="361"/>
      <c r="L397" s="361"/>
      <c r="M397" s="361"/>
      <c r="N397" s="361"/>
      <c r="O397" s="361"/>
      <c r="P397" s="361"/>
      <c r="Q397" s="361"/>
      <c r="R397" s="361"/>
      <c r="S397" s="361"/>
      <c r="T397" s="361"/>
      <c r="U397" s="361"/>
      <c r="V397" s="361"/>
      <c r="W397" s="361"/>
      <c r="X397" s="361"/>
      <c r="Y397" s="957"/>
      <c r="Z397" s="957"/>
      <c r="AA397" s="957"/>
      <c r="AB397" s="957"/>
      <c r="AC397" s="957"/>
      <c r="AD397" s="361"/>
    </row>
    <row r="398" spans="2:30" s="349" customFormat="1" ht="20.100000000000001" customHeight="1">
      <c r="B398" s="361"/>
      <c r="C398" s="361"/>
      <c r="D398" s="361"/>
      <c r="E398" s="361"/>
      <c r="F398" s="361"/>
      <c r="G398" s="361"/>
      <c r="H398" s="361"/>
      <c r="I398" s="361"/>
      <c r="J398" s="361"/>
      <c r="K398" s="361"/>
      <c r="L398" s="361"/>
      <c r="M398" s="361"/>
      <c r="N398" s="361"/>
      <c r="O398" s="361"/>
      <c r="P398" s="361"/>
      <c r="Q398" s="361"/>
      <c r="R398" s="361"/>
      <c r="S398" s="361"/>
      <c r="T398" s="361"/>
      <c r="U398" s="361"/>
      <c r="V398" s="361"/>
      <c r="W398" s="361"/>
      <c r="X398" s="361"/>
      <c r="Y398" s="957"/>
      <c r="Z398" s="957"/>
      <c r="AA398" s="957"/>
      <c r="AB398" s="957"/>
      <c r="AC398" s="957"/>
      <c r="AD398" s="361"/>
    </row>
    <row r="399" spans="2:30" s="349" customFormat="1" ht="20.100000000000001" customHeight="1">
      <c r="B399" s="361"/>
      <c r="C399" s="361"/>
      <c r="D399" s="361"/>
      <c r="E399" s="361"/>
      <c r="F399" s="361"/>
      <c r="G399" s="361"/>
      <c r="H399" s="361"/>
      <c r="I399" s="361"/>
      <c r="J399" s="361"/>
      <c r="K399" s="361"/>
      <c r="L399" s="361"/>
      <c r="M399" s="361"/>
      <c r="N399" s="361"/>
      <c r="O399" s="361"/>
      <c r="P399" s="361"/>
      <c r="Q399" s="361"/>
      <c r="R399" s="361"/>
      <c r="S399" s="361"/>
      <c r="T399" s="361"/>
      <c r="U399" s="361"/>
      <c r="V399" s="361"/>
      <c r="W399" s="361"/>
      <c r="X399" s="361"/>
      <c r="Y399" s="957"/>
      <c r="Z399" s="957"/>
      <c r="AA399" s="957"/>
      <c r="AB399" s="957"/>
      <c r="AC399" s="957"/>
      <c r="AD399" s="361"/>
    </row>
    <row r="400" spans="2:30" s="349" customFormat="1" ht="20.100000000000001" customHeight="1">
      <c r="B400" s="361"/>
      <c r="C400" s="361"/>
      <c r="D400" s="361"/>
      <c r="E400" s="361"/>
      <c r="F400" s="361"/>
      <c r="G400" s="361"/>
      <c r="H400" s="361"/>
      <c r="I400" s="361"/>
      <c r="J400" s="361"/>
      <c r="K400" s="361"/>
      <c r="L400" s="361"/>
      <c r="M400" s="361"/>
      <c r="N400" s="361"/>
      <c r="O400" s="361"/>
      <c r="P400" s="361"/>
      <c r="Q400" s="361"/>
      <c r="R400" s="361"/>
      <c r="S400" s="361"/>
      <c r="T400" s="361"/>
      <c r="U400" s="361"/>
      <c r="V400" s="361"/>
      <c r="W400" s="361"/>
      <c r="X400" s="361"/>
      <c r="Y400" s="957"/>
      <c r="Z400" s="957"/>
      <c r="AA400" s="957"/>
      <c r="AB400" s="957"/>
      <c r="AC400" s="957"/>
      <c r="AD400" s="361"/>
    </row>
    <row r="401" spans="2:30" s="349" customFormat="1" ht="20.100000000000001" customHeight="1">
      <c r="B401" s="361"/>
      <c r="C401" s="361"/>
      <c r="D401" s="361"/>
      <c r="E401" s="361"/>
      <c r="F401" s="361"/>
      <c r="G401" s="361"/>
      <c r="H401" s="361"/>
      <c r="I401" s="361"/>
      <c r="J401" s="361"/>
      <c r="K401" s="361"/>
      <c r="L401" s="361"/>
      <c r="M401" s="361"/>
      <c r="N401" s="361"/>
      <c r="O401" s="361"/>
      <c r="P401" s="361"/>
      <c r="Q401" s="361"/>
      <c r="R401" s="361"/>
      <c r="S401" s="361"/>
      <c r="T401" s="361"/>
      <c r="U401" s="361"/>
      <c r="V401" s="361"/>
      <c r="W401" s="361"/>
      <c r="X401" s="361"/>
      <c r="Y401" s="957"/>
      <c r="Z401" s="957"/>
      <c r="AA401" s="957"/>
      <c r="AB401" s="957"/>
      <c r="AC401" s="957"/>
      <c r="AD401" s="361"/>
    </row>
    <row r="402" spans="2:30" s="349" customFormat="1" ht="20.100000000000001" customHeight="1">
      <c r="B402" s="361"/>
      <c r="C402" s="361"/>
      <c r="D402" s="361"/>
      <c r="E402" s="361"/>
      <c r="F402" s="361"/>
      <c r="G402" s="361"/>
      <c r="H402" s="361"/>
      <c r="I402" s="361"/>
      <c r="J402" s="361"/>
      <c r="K402" s="361"/>
      <c r="L402" s="361"/>
      <c r="M402" s="361"/>
      <c r="N402" s="361"/>
      <c r="O402" s="361"/>
      <c r="P402" s="361"/>
      <c r="Q402" s="361"/>
      <c r="R402" s="361"/>
      <c r="S402" s="361"/>
      <c r="T402" s="361"/>
      <c r="U402" s="361"/>
      <c r="V402" s="361"/>
      <c r="W402" s="361"/>
      <c r="X402" s="361"/>
      <c r="Y402" s="957"/>
      <c r="Z402" s="957"/>
      <c r="AA402" s="957"/>
      <c r="AB402" s="957"/>
      <c r="AC402" s="957"/>
      <c r="AD402" s="361"/>
    </row>
    <row r="403" spans="2:30" s="349" customFormat="1" ht="20.100000000000001" customHeight="1">
      <c r="B403" s="361"/>
      <c r="C403" s="361"/>
      <c r="D403" s="361"/>
      <c r="E403" s="361"/>
      <c r="F403" s="361"/>
      <c r="G403" s="361"/>
      <c r="H403" s="361"/>
      <c r="I403" s="361"/>
      <c r="J403" s="361"/>
      <c r="K403" s="361"/>
      <c r="L403" s="361"/>
      <c r="M403" s="361"/>
      <c r="N403" s="361"/>
      <c r="O403" s="361"/>
      <c r="P403" s="361"/>
      <c r="Q403" s="361"/>
      <c r="R403" s="361"/>
      <c r="S403" s="361"/>
      <c r="T403" s="361"/>
      <c r="U403" s="361"/>
      <c r="V403" s="361"/>
      <c r="W403" s="361"/>
      <c r="X403" s="361"/>
      <c r="Y403" s="957"/>
      <c r="Z403" s="957"/>
      <c r="AA403" s="957"/>
      <c r="AB403" s="957"/>
      <c r="AC403" s="957"/>
      <c r="AD403" s="361"/>
    </row>
    <row r="404" spans="2:30" s="349" customFormat="1" ht="20.100000000000001" customHeight="1">
      <c r="B404" s="361"/>
      <c r="C404" s="361"/>
      <c r="D404" s="361"/>
      <c r="E404" s="361"/>
      <c r="F404" s="361"/>
      <c r="G404" s="361"/>
      <c r="H404" s="361"/>
      <c r="I404" s="361"/>
      <c r="J404" s="361"/>
      <c r="K404" s="361"/>
      <c r="L404" s="361"/>
      <c r="M404" s="361"/>
      <c r="N404" s="361"/>
      <c r="O404" s="361"/>
      <c r="P404" s="361"/>
      <c r="Q404" s="361"/>
      <c r="R404" s="361"/>
      <c r="S404" s="361"/>
      <c r="T404" s="361"/>
      <c r="U404" s="361"/>
      <c r="V404" s="361"/>
      <c r="W404" s="361"/>
      <c r="X404" s="361"/>
      <c r="Y404" s="957"/>
      <c r="Z404" s="957"/>
      <c r="AA404" s="957"/>
      <c r="AB404" s="957"/>
      <c r="AC404" s="957"/>
      <c r="AD404" s="361"/>
    </row>
    <row r="405" spans="2:30" s="349" customFormat="1" ht="20.100000000000001" customHeight="1">
      <c r="B405" s="361"/>
      <c r="C405" s="361"/>
      <c r="D405" s="361"/>
      <c r="E405" s="361"/>
      <c r="F405" s="361"/>
      <c r="G405" s="361"/>
      <c r="H405" s="361"/>
      <c r="I405" s="361"/>
      <c r="J405" s="361"/>
      <c r="K405" s="361"/>
      <c r="L405" s="361"/>
      <c r="M405" s="361"/>
      <c r="N405" s="361"/>
      <c r="O405" s="361"/>
      <c r="P405" s="361"/>
      <c r="Q405" s="361"/>
      <c r="R405" s="361"/>
      <c r="S405" s="361"/>
      <c r="T405" s="361"/>
      <c r="U405" s="361"/>
      <c r="V405" s="361"/>
      <c r="W405" s="361"/>
      <c r="X405" s="361"/>
      <c r="Y405" s="957"/>
      <c r="Z405" s="957"/>
      <c r="AA405" s="957"/>
      <c r="AB405" s="957"/>
      <c r="AC405" s="957"/>
      <c r="AD405" s="361"/>
    </row>
    <row r="406" spans="2:30" s="349" customFormat="1" ht="20.100000000000001" customHeight="1">
      <c r="B406" s="361"/>
      <c r="C406" s="361"/>
      <c r="D406" s="361"/>
      <c r="E406" s="361"/>
      <c r="F406" s="361"/>
      <c r="G406" s="361"/>
      <c r="H406" s="361"/>
      <c r="I406" s="361"/>
      <c r="J406" s="361"/>
      <c r="K406" s="361"/>
      <c r="L406" s="361"/>
      <c r="M406" s="361"/>
      <c r="N406" s="361"/>
      <c r="O406" s="361"/>
      <c r="P406" s="361"/>
      <c r="Q406" s="361"/>
      <c r="R406" s="361"/>
      <c r="S406" s="361"/>
      <c r="T406" s="361"/>
      <c r="U406" s="361"/>
      <c r="V406" s="361"/>
      <c r="W406" s="361"/>
      <c r="X406" s="361"/>
      <c r="Y406" s="957"/>
      <c r="Z406" s="957"/>
      <c r="AA406" s="957"/>
      <c r="AB406" s="957"/>
      <c r="AC406" s="957"/>
      <c r="AD406" s="361"/>
    </row>
    <row r="407" spans="2:30" s="349" customFormat="1" ht="20.100000000000001" customHeight="1">
      <c r="B407" s="361"/>
      <c r="C407" s="361"/>
      <c r="D407" s="361"/>
      <c r="E407" s="361"/>
      <c r="F407" s="361"/>
      <c r="G407" s="361"/>
      <c r="H407" s="361"/>
      <c r="I407" s="361"/>
      <c r="J407" s="361"/>
      <c r="K407" s="361"/>
      <c r="L407" s="361"/>
      <c r="M407" s="361"/>
      <c r="N407" s="361"/>
      <c r="O407" s="361"/>
      <c r="P407" s="361"/>
      <c r="Q407" s="361"/>
      <c r="R407" s="361"/>
      <c r="S407" s="361"/>
      <c r="T407" s="361"/>
      <c r="U407" s="361"/>
      <c r="V407" s="361"/>
      <c r="W407" s="361"/>
      <c r="X407" s="361"/>
      <c r="Y407" s="957"/>
      <c r="Z407" s="957"/>
      <c r="AA407" s="957"/>
      <c r="AB407" s="957"/>
      <c r="AC407" s="957"/>
      <c r="AD407" s="361"/>
    </row>
    <row r="408" spans="2:30" s="349" customFormat="1" ht="20.100000000000001" customHeight="1">
      <c r="B408" s="361"/>
      <c r="C408" s="361"/>
      <c r="D408" s="361"/>
      <c r="E408" s="361"/>
      <c r="F408" s="361"/>
      <c r="G408" s="361"/>
      <c r="H408" s="361"/>
      <c r="I408" s="361"/>
      <c r="J408" s="361"/>
      <c r="K408" s="361"/>
      <c r="L408" s="361"/>
      <c r="M408" s="361"/>
      <c r="N408" s="361"/>
      <c r="O408" s="361"/>
      <c r="P408" s="361"/>
      <c r="Q408" s="361"/>
      <c r="R408" s="361"/>
      <c r="S408" s="361"/>
      <c r="T408" s="361"/>
      <c r="U408" s="361"/>
      <c r="V408" s="361"/>
      <c r="W408" s="361"/>
      <c r="X408" s="361"/>
      <c r="Y408" s="957"/>
      <c r="Z408" s="957"/>
      <c r="AA408" s="957"/>
      <c r="AB408" s="957"/>
      <c r="AC408" s="957"/>
      <c r="AD408" s="361"/>
    </row>
    <row r="409" spans="2:30" s="349" customFormat="1" ht="20.100000000000001" customHeight="1">
      <c r="B409" s="361"/>
      <c r="C409" s="361"/>
      <c r="D409" s="361"/>
      <c r="E409" s="361"/>
      <c r="F409" s="361"/>
      <c r="G409" s="361"/>
      <c r="H409" s="361"/>
      <c r="I409" s="361"/>
      <c r="J409" s="361"/>
      <c r="K409" s="361"/>
      <c r="L409" s="361"/>
      <c r="M409" s="361"/>
      <c r="N409" s="361"/>
      <c r="O409" s="361"/>
      <c r="P409" s="361"/>
      <c r="Q409" s="361"/>
      <c r="R409" s="361"/>
      <c r="S409" s="361"/>
      <c r="T409" s="361"/>
      <c r="U409" s="361"/>
      <c r="V409" s="361"/>
      <c r="W409" s="361"/>
      <c r="X409" s="361"/>
      <c r="Y409" s="957"/>
      <c r="Z409" s="957"/>
      <c r="AA409" s="957"/>
      <c r="AB409" s="957"/>
      <c r="AC409" s="957"/>
      <c r="AD409" s="361"/>
    </row>
    <row r="410" spans="2:30" s="349" customFormat="1" ht="20.100000000000001" customHeight="1">
      <c r="B410" s="361"/>
      <c r="C410" s="361"/>
      <c r="D410" s="361"/>
      <c r="E410" s="361"/>
      <c r="F410" s="361"/>
      <c r="G410" s="361"/>
      <c r="H410" s="361"/>
      <c r="I410" s="361"/>
      <c r="J410" s="361"/>
      <c r="K410" s="361"/>
      <c r="L410" s="361"/>
      <c r="M410" s="361"/>
      <c r="N410" s="361"/>
      <c r="O410" s="361"/>
      <c r="P410" s="361"/>
      <c r="Q410" s="361"/>
      <c r="R410" s="361"/>
      <c r="S410" s="361"/>
      <c r="T410" s="361"/>
      <c r="U410" s="361"/>
      <c r="V410" s="361"/>
      <c r="W410" s="361"/>
      <c r="X410" s="361"/>
      <c r="Y410" s="957"/>
      <c r="Z410" s="957"/>
      <c r="AA410" s="957"/>
      <c r="AB410" s="957"/>
      <c r="AC410" s="957"/>
      <c r="AD410" s="361"/>
    </row>
    <row r="411" spans="2:30" s="349" customFormat="1" ht="20.100000000000001" customHeight="1">
      <c r="B411" s="361"/>
      <c r="C411" s="361"/>
      <c r="D411" s="361"/>
      <c r="E411" s="361"/>
      <c r="F411" s="361"/>
      <c r="G411" s="361"/>
      <c r="H411" s="361"/>
      <c r="I411" s="361"/>
      <c r="J411" s="361"/>
      <c r="K411" s="361"/>
      <c r="L411" s="361"/>
      <c r="M411" s="361"/>
      <c r="N411" s="361"/>
      <c r="O411" s="361"/>
      <c r="P411" s="361"/>
      <c r="Q411" s="361"/>
      <c r="R411" s="361"/>
      <c r="S411" s="361"/>
      <c r="T411" s="361"/>
      <c r="U411" s="361"/>
      <c r="V411" s="361"/>
      <c r="W411" s="361"/>
      <c r="X411" s="361"/>
      <c r="Y411" s="957"/>
      <c r="Z411" s="957"/>
      <c r="AA411" s="957"/>
      <c r="AB411" s="957"/>
      <c r="AC411" s="957"/>
      <c r="AD411" s="361"/>
    </row>
    <row r="412" spans="2:30" s="349" customFormat="1" ht="20.100000000000001" customHeight="1">
      <c r="B412" s="361"/>
      <c r="C412" s="361"/>
      <c r="D412" s="361"/>
      <c r="E412" s="361"/>
      <c r="F412" s="361"/>
      <c r="G412" s="361"/>
      <c r="H412" s="361"/>
      <c r="I412" s="361"/>
      <c r="J412" s="361"/>
      <c r="K412" s="361"/>
      <c r="L412" s="361"/>
      <c r="M412" s="361"/>
      <c r="N412" s="361"/>
      <c r="O412" s="361"/>
      <c r="P412" s="361"/>
      <c r="Q412" s="361"/>
      <c r="R412" s="361"/>
      <c r="S412" s="361"/>
      <c r="T412" s="361"/>
      <c r="U412" s="361"/>
      <c r="V412" s="361"/>
      <c r="W412" s="361"/>
      <c r="X412" s="361"/>
      <c r="Y412" s="957"/>
      <c r="Z412" s="957"/>
      <c r="AA412" s="957"/>
      <c r="AB412" s="957"/>
      <c r="AC412" s="957"/>
      <c r="AD412" s="361"/>
    </row>
    <row r="413" spans="2:30" s="349" customFormat="1" ht="20.100000000000001" customHeight="1">
      <c r="B413" s="361"/>
      <c r="C413" s="361"/>
      <c r="D413" s="361"/>
      <c r="E413" s="361"/>
      <c r="F413" s="361"/>
      <c r="G413" s="361"/>
      <c r="H413" s="361"/>
      <c r="I413" s="361"/>
      <c r="J413" s="361"/>
      <c r="K413" s="361"/>
      <c r="L413" s="361"/>
      <c r="M413" s="361"/>
      <c r="N413" s="361"/>
      <c r="O413" s="361"/>
      <c r="P413" s="361"/>
      <c r="Q413" s="361"/>
      <c r="R413" s="361"/>
      <c r="S413" s="361"/>
      <c r="T413" s="361"/>
      <c r="U413" s="361"/>
      <c r="V413" s="361"/>
      <c r="W413" s="361"/>
      <c r="X413" s="361"/>
      <c r="Y413" s="957"/>
      <c r="Z413" s="957"/>
      <c r="AA413" s="957"/>
      <c r="AB413" s="957"/>
      <c r="AC413" s="957"/>
      <c r="AD413" s="361"/>
    </row>
    <row r="414" spans="2:30" s="349" customFormat="1" ht="20.100000000000001" customHeight="1">
      <c r="B414" s="361"/>
      <c r="C414" s="361"/>
      <c r="D414" s="361"/>
      <c r="E414" s="361"/>
      <c r="F414" s="361"/>
      <c r="G414" s="361"/>
      <c r="H414" s="361"/>
      <c r="I414" s="361"/>
      <c r="J414" s="361"/>
      <c r="K414" s="361"/>
      <c r="L414" s="361"/>
      <c r="M414" s="361"/>
      <c r="N414" s="361"/>
      <c r="O414" s="361"/>
      <c r="P414" s="361"/>
      <c r="Q414" s="361"/>
      <c r="R414" s="361"/>
      <c r="S414" s="361"/>
      <c r="T414" s="361"/>
      <c r="U414" s="361"/>
      <c r="V414" s="361"/>
      <c r="W414" s="361"/>
      <c r="X414" s="361"/>
      <c r="Y414" s="957"/>
      <c r="Z414" s="957"/>
      <c r="AA414" s="957"/>
      <c r="AB414" s="957"/>
      <c r="AC414" s="957"/>
      <c r="AD414" s="361"/>
    </row>
    <row r="415" spans="2:30" ht="20.100000000000001" customHeight="1"/>
    <row r="416" spans="2:30" ht="9.9499999999999993" customHeight="1"/>
    <row r="417" spans="2:30" ht="20.100000000000001" customHeight="1"/>
    <row r="418" spans="2:30" ht="20.100000000000001" customHeight="1"/>
    <row r="419" spans="2:30" ht="20.100000000000001" customHeight="1"/>
    <row r="420" spans="2:30" s="349" customFormat="1" ht="20.100000000000001" customHeight="1">
      <c r="B420" s="361"/>
      <c r="C420" s="361"/>
      <c r="D420" s="361"/>
      <c r="E420" s="361"/>
      <c r="F420" s="361"/>
      <c r="G420" s="361"/>
      <c r="H420" s="361"/>
      <c r="I420" s="361"/>
      <c r="J420" s="361"/>
      <c r="K420" s="361"/>
      <c r="L420" s="361"/>
      <c r="M420" s="361"/>
      <c r="N420" s="361"/>
      <c r="O420" s="361"/>
      <c r="P420" s="361"/>
      <c r="Q420" s="361"/>
      <c r="R420" s="361"/>
      <c r="S420" s="361"/>
      <c r="T420" s="361"/>
      <c r="U420" s="361"/>
      <c r="V420" s="361"/>
      <c r="W420" s="361"/>
      <c r="X420" s="361"/>
      <c r="Y420" s="957"/>
      <c r="Z420" s="957"/>
      <c r="AA420" s="957"/>
      <c r="AB420" s="957"/>
      <c r="AC420" s="957"/>
      <c r="AD420" s="361"/>
    </row>
    <row r="421" spans="2:30" s="349" customFormat="1" ht="20.100000000000001" customHeight="1">
      <c r="B421" s="361"/>
      <c r="C421" s="361"/>
      <c r="D421" s="361"/>
      <c r="E421" s="361"/>
      <c r="F421" s="361"/>
      <c r="G421" s="361"/>
      <c r="H421" s="361"/>
      <c r="I421" s="361"/>
      <c r="J421" s="361"/>
      <c r="K421" s="361"/>
      <c r="L421" s="361"/>
      <c r="M421" s="361"/>
      <c r="N421" s="361"/>
      <c r="O421" s="361"/>
      <c r="P421" s="361"/>
      <c r="Q421" s="361"/>
      <c r="R421" s="361"/>
      <c r="S421" s="361"/>
      <c r="T421" s="361"/>
      <c r="U421" s="361"/>
      <c r="V421" s="361"/>
      <c r="W421" s="361"/>
      <c r="X421" s="361"/>
      <c r="Y421" s="957"/>
      <c r="Z421" s="957"/>
      <c r="AA421" s="957"/>
      <c r="AB421" s="957"/>
      <c r="AC421" s="957"/>
      <c r="AD421" s="361"/>
    </row>
    <row r="422" spans="2:30" s="349" customFormat="1" ht="20.100000000000001" customHeight="1">
      <c r="B422" s="361"/>
      <c r="C422" s="361"/>
      <c r="D422" s="361"/>
      <c r="E422" s="361"/>
      <c r="F422" s="361"/>
      <c r="G422" s="361"/>
      <c r="H422" s="361"/>
      <c r="I422" s="361"/>
      <c r="J422" s="361"/>
      <c r="K422" s="361"/>
      <c r="L422" s="361"/>
      <c r="M422" s="361"/>
      <c r="N422" s="361"/>
      <c r="O422" s="361"/>
      <c r="P422" s="361"/>
      <c r="Q422" s="361"/>
      <c r="R422" s="361"/>
      <c r="S422" s="361"/>
      <c r="T422" s="361"/>
      <c r="U422" s="361"/>
      <c r="V422" s="361"/>
      <c r="W422" s="361"/>
      <c r="X422" s="361"/>
      <c r="Y422" s="957"/>
      <c r="Z422" s="957"/>
      <c r="AA422" s="957"/>
      <c r="AB422" s="957"/>
      <c r="AC422" s="957"/>
      <c r="AD422" s="361"/>
    </row>
    <row r="423" spans="2:30" s="349" customFormat="1" ht="20.100000000000001" customHeight="1">
      <c r="B423" s="361"/>
      <c r="C423" s="361"/>
      <c r="D423" s="361"/>
      <c r="E423" s="361"/>
      <c r="F423" s="361"/>
      <c r="G423" s="361"/>
      <c r="H423" s="361"/>
      <c r="I423" s="361"/>
      <c r="J423" s="361"/>
      <c r="K423" s="361"/>
      <c r="L423" s="361"/>
      <c r="M423" s="361"/>
      <c r="N423" s="361"/>
      <c r="O423" s="361"/>
      <c r="P423" s="361"/>
      <c r="Q423" s="361"/>
      <c r="R423" s="361"/>
      <c r="S423" s="361"/>
      <c r="T423" s="361"/>
      <c r="U423" s="361"/>
      <c r="V423" s="361"/>
      <c r="W423" s="361"/>
      <c r="X423" s="361"/>
      <c r="Y423" s="957"/>
      <c r="Z423" s="957"/>
      <c r="AA423" s="957"/>
      <c r="AB423" s="957"/>
      <c r="AC423" s="957"/>
      <c r="AD423" s="361"/>
    </row>
    <row r="424" spans="2:30" s="349" customFormat="1" ht="20.100000000000001" customHeight="1">
      <c r="B424" s="361"/>
      <c r="C424" s="361"/>
      <c r="D424" s="361"/>
      <c r="E424" s="361"/>
      <c r="F424" s="361"/>
      <c r="G424" s="361"/>
      <c r="H424" s="361"/>
      <c r="I424" s="361"/>
      <c r="J424" s="361"/>
      <c r="K424" s="361"/>
      <c r="L424" s="361"/>
      <c r="M424" s="361"/>
      <c r="N424" s="361"/>
      <c r="O424" s="361"/>
      <c r="P424" s="361"/>
      <c r="Q424" s="361"/>
      <c r="R424" s="361"/>
      <c r="S424" s="361"/>
      <c r="T424" s="361"/>
      <c r="U424" s="361"/>
      <c r="V424" s="361"/>
      <c r="W424" s="361"/>
      <c r="X424" s="361"/>
      <c r="Y424" s="957"/>
      <c r="Z424" s="957"/>
      <c r="AA424" s="957"/>
      <c r="AB424" s="957"/>
      <c r="AC424" s="957"/>
      <c r="AD424" s="361"/>
    </row>
    <row r="425" spans="2:30" s="349" customFormat="1" ht="20.100000000000001" customHeight="1">
      <c r="B425" s="361"/>
      <c r="C425" s="361"/>
      <c r="D425" s="361"/>
      <c r="E425" s="361"/>
      <c r="F425" s="361"/>
      <c r="G425" s="361"/>
      <c r="H425" s="361"/>
      <c r="I425" s="361"/>
      <c r="J425" s="361"/>
      <c r="K425" s="361"/>
      <c r="L425" s="361"/>
      <c r="M425" s="361"/>
      <c r="N425" s="361"/>
      <c r="O425" s="361"/>
      <c r="P425" s="361"/>
      <c r="Q425" s="361"/>
      <c r="R425" s="361"/>
      <c r="S425" s="361"/>
      <c r="T425" s="361"/>
      <c r="U425" s="361"/>
      <c r="V425" s="361"/>
      <c r="W425" s="361"/>
      <c r="X425" s="361"/>
      <c r="Y425" s="957"/>
      <c r="Z425" s="957"/>
      <c r="AA425" s="957"/>
      <c r="AB425" s="957"/>
      <c r="AC425" s="957"/>
      <c r="AD425" s="361"/>
    </row>
    <row r="426" spans="2:30" s="349" customFormat="1" ht="20.100000000000001" customHeight="1">
      <c r="B426" s="361"/>
      <c r="C426" s="361"/>
      <c r="D426" s="361"/>
      <c r="E426" s="361"/>
      <c r="F426" s="361"/>
      <c r="G426" s="361"/>
      <c r="H426" s="361"/>
      <c r="I426" s="361"/>
      <c r="J426" s="361"/>
      <c r="K426" s="361"/>
      <c r="L426" s="361"/>
      <c r="M426" s="361"/>
      <c r="N426" s="361"/>
      <c r="O426" s="361"/>
      <c r="P426" s="361"/>
      <c r="Q426" s="361"/>
      <c r="R426" s="361"/>
      <c r="S426" s="361"/>
      <c r="T426" s="361"/>
      <c r="U426" s="361"/>
      <c r="V426" s="361"/>
      <c r="W426" s="361"/>
      <c r="X426" s="361"/>
      <c r="Y426" s="957"/>
      <c r="Z426" s="957"/>
      <c r="AA426" s="957"/>
      <c r="AB426" s="957"/>
      <c r="AC426" s="957"/>
      <c r="AD426" s="361"/>
    </row>
    <row r="427" spans="2:30" s="349" customFormat="1" ht="20.100000000000001" customHeight="1">
      <c r="B427" s="361"/>
      <c r="C427" s="361"/>
      <c r="D427" s="361"/>
      <c r="E427" s="361"/>
      <c r="F427" s="361"/>
      <c r="G427" s="361"/>
      <c r="H427" s="361"/>
      <c r="I427" s="361"/>
      <c r="J427" s="361"/>
      <c r="K427" s="361"/>
      <c r="L427" s="361"/>
      <c r="M427" s="361"/>
      <c r="N427" s="361"/>
      <c r="O427" s="361"/>
      <c r="P427" s="361"/>
      <c r="Q427" s="361"/>
      <c r="R427" s="361"/>
      <c r="S427" s="361"/>
      <c r="T427" s="361"/>
      <c r="U427" s="361"/>
      <c r="V427" s="361"/>
      <c r="W427" s="361"/>
      <c r="X427" s="361"/>
      <c r="Y427" s="957"/>
      <c r="Z427" s="957"/>
      <c r="AA427" s="957"/>
      <c r="AB427" s="957"/>
      <c r="AC427" s="957"/>
      <c r="AD427" s="361"/>
    </row>
    <row r="428" spans="2:30" s="349" customFormat="1" ht="20.100000000000001" customHeight="1">
      <c r="B428" s="361"/>
      <c r="C428" s="361"/>
      <c r="D428" s="361"/>
      <c r="E428" s="361"/>
      <c r="F428" s="361"/>
      <c r="G428" s="361"/>
      <c r="H428" s="361"/>
      <c r="I428" s="361"/>
      <c r="J428" s="361"/>
      <c r="K428" s="361"/>
      <c r="L428" s="361"/>
      <c r="M428" s="361"/>
      <c r="N428" s="361"/>
      <c r="O428" s="361"/>
      <c r="P428" s="361"/>
      <c r="Q428" s="361"/>
      <c r="R428" s="361"/>
      <c r="S428" s="361"/>
      <c r="T428" s="361"/>
      <c r="U428" s="361"/>
      <c r="V428" s="361"/>
      <c r="W428" s="361"/>
      <c r="X428" s="361"/>
      <c r="Y428" s="957"/>
      <c r="Z428" s="957"/>
      <c r="AA428" s="957"/>
      <c r="AB428" s="957"/>
      <c r="AC428" s="957"/>
      <c r="AD428" s="361"/>
    </row>
    <row r="429" spans="2:30" s="349" customFormat="1" ht="20.100000000000001" customHeight="1">
      <c r="B429" s="361"/>
      <c r="C429" s="361"/>
      <c r="D429" s="361"/>
      <c r="E429" s="361"/>
      <c r="F429" s="361"/>
      <c r="G429" s="361"/>
      <c r="H429" s="361"/>
      <c r="I429" s="361"/>
      <c r="J429" s="361"/>
      <c r="K429" s="361"/>
      <c r="L429" s="361"/>
      <c r="M429" s="361"/>
      <c r="N429" s="361"/>
      <c r="O429" s="361"/>
      <c r="P429" s="361"/>
      <c r="Q429" s="361"/>
      <c r="R429" s="361"/>
      <c r="S429" s="361"/>
      <c r="T429" s="361"/>
      <c r="U429" s="361"/>
      <c r="V429" s="361"/>
      <c r="W429" s="361"/>
      <c r="X429" s="361"/>
      <c r="Y429" s="957"/>
      <c r="Z429" s="957"/>
      <c r="AA429" s="957"/>
      <c r="AB429" s="957"/>
      <c r="AC429" s="957"/>
      <c r="AD429" s="361"/>
    </row>
    <row r="430" spans="2:30" s="349" customFormat="1" ht="20.100000000000001" customHeight="1">
      <c r="B430" s="361"/>
      <c r="C430" s="361"/>
      <c r="D430" s="361"/>
      <c r="E430" s="361"/>
      <c r="F430" s="361"/>
      <c r="G430" s="361"/>
      <c r="H430" s="361"/>
      <c r="I430" s="361"/>
      <c r="J430" s="361"/>
      <c r="K430" s="361"/>
      <c r="L430" s="361"/>
      <c r="M430" s="361"/>
      <c r="N430" s="361"/>
      <c r="O430" s="361"/>
      <c r="P430" s="361"/>
      <c r="Q430" s="361"/>
      <c r="R430" s="361"/>
      <c r="S430" s="361"/>
      <c r="T430" s="361"/>
      <c r="U430" s="361"/>
      <c r="V430" s="361"/>
      <c r="W430" s="361"/>
      <c r="X430" s="361"/>
      <c r="Y430" s="957"/>
      <c r="Z430" s="957"/>
      <c r="AA430" s="957"/>
      <c r="AB430" s="957"/>
      <c r="AC430" s="957"/>
      <c r="AD430" s="361"/>
    </row>
    <row r="431" spans="2:30" s="349" customFormat="1" ht="20.100000000000001" customHeight="1">
      <c r="B431" s="361"/>
      <c r="C431" s="361"/>
      <c r="D431" s="361"/>
      <c r="E431" s="361"/>
      <c r="F431" s="361"/>
      <c r="G431" s="361"/>
      <c r="H431" s="361"/>
      <c r="I431" s="361"/>
      <c r="J431" s="361"/>
      <c r="K431" s="361"/>
      <c r="L431" s="361"/>
      <c r="M431" s="361"/>
      <c r="N431" s="361"/>
      <c r="O431" s="361"/>
      <c r="P431" s="361"/>
      <c r="Q431" s="361"/>
      <c r="R431" s="361"/>
      <c r="S431" s="361"/>
      <c r="T431" s="361"/>
      <c r="U431" s="361"/>
      <c r="V431" s="361"/>
      <c r="W431" s="361"/>
      <c r="X431" s="361"/>
      <c r="Y431" s="957"/>
      <c r="Z431" s="957"/>
      <c r="AA431" s="957"/>
      <c r="AB431" s="957"/>
      <c r="AC431" s="957"/>
      <c r="AD431" s="361"/>
    </row>
    <row r="432" spans="2:30" s="349" customFormat="1" ht="20.100000000000001" customHeight="1">
      <c r="B432" s="361"/>
      <c r="C432" s="361"/>
      <c r="D432" s="361"/>
      <c r="E432" s="361"/>
      <c r="F432" s="361"/>
      <c r="G432" s="361"/>
      <c r="H432" s="361"/>
      <c r="I432" s="361"/>
      <c r="J432" s="361"/>
      <c r="K432" s="361"/>
      <c r="L432" s="361"/>
      <c r="M432" s="361"/>
      <c r="N432" s="361"/>
      <c r="O432" s="361"/>
      <c r="P432" s="361"/>
      <c r="Q432" s="361"/>
      <c r="R432" s="361"/>
      <c r="S432" s="361"/>
      <c r="T432" s="361"/>
      <c r="U432" s="361"/>
      <c r="V432" s="361"/>
      <c r="W432" s="361"/>
      <c r="X432" s="361"/>
      <c r="Y432" s="957"/>
      <c r="Z432" s="957"/>
      <c r="AA432" s="957"/>
      <c r="AB432" s="957"/>
      <c r="AC432" s="957"/>
      <c r="AD432" s="361"/>
    </row>
    <row r="433" spans="2:30" s="349" customFormat="1" ht="20.100000000000001" customHeight="1">
      <c r="B433" s="361"/>
      <c r="C433" s="361"/>
      <c r="D433" s="361"/>
      <c r="E433" s="361"/>
      <c r="F433" s="361"/>
      <c r="G433" s="361"/>
      <c r="H433" s="361"/>
      <c r="I433" s="361"/>
      <c r="J433" s="361"/>
      <c r="K433" s="361"/>
      <c r="L433" s="361"/>
      <c r="M433" s="361"/>
      <c r="N433" s="361"/>
      <c r="O433" s="361"/>
      <c r="P433" s="361"/>
      <c r="Q433" s="361"/>
      <c r="R433" s="361"/>
      <c r="S433" s="361"/>
      <c r="T433" s="361"/>
      <c r="U433" s="361"/>
      <c r="V433" s="361"/>
      <c r="W433" s="361"/>
      <c r="X433" s="361"/>
      <c r="Y433" s="957"/>
      <c r="Z433" s="957"/>
      <c r="AA433" s="957"/>
      <c r="AB433" s="957"/>
      <c r="AC433" s="957"/>
      <c r="AD433" s="361"/>
    </row>
    <row r="434" spans="2:30" s="349" customFormat="1" ht="20.100000000000001" customHeight="1">
      <c r="B434" s="361"/>
      <c r="C434" s="361"/>
      <c r="D434" s="361"/>
      <c r="E434" s="361"/>
      <c r="F434" s="361"/>
      <c r="G434" s="361"/>
      <c r="H434" s="361"/>
      <c r="I434" s="361"/>
      <c r="J434" s="361"/>
      <c r="K434" s="361"/>
      <c r="L434" s="361"/>
      <c r="M434" s="361"/>
      <c r="N434" s="361"/>
      <c r="O434" s="361"/>
      <c r="P434" s="361"/>
      <c r="Q434" s="361"/>
      <c r="R434" s="361"/>
      <c r="S434" s="361"/>
      <c r="T434" s="361"/>
      <c r="U434" s="361"/>
      <c r="V434" s="361"/>
      <c r="W434" s="361"/>
      <c r="X434" s="361"/>
      <c r="Y434" s="957"/>
      <c r="Z434" s="957"/>
      <c r="AA434" s="957"/>
      <c r="AB434" s="957"/>
      <c r="AC434" s="957"/>
      <c r="AD434" s="361"/>
    </row>
    <row r="435" spans="2:30" s="349" customFormat="1" ht="20.100000000000001" customHeight="1">
      <c r="B435" s="361"/>
      <c r="C435" s="361"/>
      <c r="D435" s="361"/>
      <c r="E435" s="361"/>
      <c r="F435" s="361"/>
      <c r="G435" s="361"/>
      <c r="H435" s="361"/>
      <c r="I435" s="361"/>
      <c r="J435" s="361"/>
      <c r="K435" s="361"/>
      <c r="L435" s="361"/>
      <c r="M435" s="361"/>
      <c r="N435" s="361"/>
      <c r="O435" s="361"/>
      <c r="P435" s="361"/>
      <c r="Q435" s="361"/>
      <c r="R435" s="361"/>
      <c r="S435" s="361"/>
      <c r="T435" s="361"/>
      <c r="U435" s="361"/>
      <c r="V435" s="361"/>
      <c r="W435" s="361"/>
      <c r="X435" s="361"/>
      <c r="Y435" s="957"/>
      <c r="Z435" s="957"/>
      <c r="AA435" s="957"/>
      <c r="AB435" s="957"/>
      <c r="AC435" s="957"/>
      <c r="AD435" s="361"/>
    </row>
    <row r="436" spans="2:30" s="349" customFormat="1" ht="20.100000000000001" customHeight="1">
      <c r="B436" s="361"/>
      <c r="C436" s="361"/>
      <c r="D436" s="361"/>
      <c r="E436" s="361"/>
      <c r="F436" s="361"/>
      <c r="G436" s="361"/>
      <c r="H436" s="361"/>
      <c r="I436" s="361"/>
      <c r="J436" s="361"/>
      <c r="K436" s="361"/>
      <c r="L436" s="361"/>
      <c r="M436" s="361"/>
      <c r="N436" s="361"/>
      <c r="O436" s="361"/>
      <c r="P436" s="361"/>
      <c r="Q436" s="361"/>
      <c r="R436" s="361"/>
      <c r="S436" s="361"/>
      <c r="T436" s="361"/>
      <c r="U436" s="361"/>
      <c r="V436" s="361"/>
      <c r="W436" s="361"/>
      <c r="X436" s="361"/>
      <c r="Y436" s="957"/>
      <c r="Z436" s="957"/>
      <c r="AA436" s="957"/>
      <c r="AB436" s="957"/>
      <c r="AC436" s="957"/>
      <c r="AD436" s="361"/>
    </row>
    <row r="437" spans="2:30" s="349" customFormat="1" ht="20.100000000000001" customHeight="1">
      <c r="B437" s="361"/>
      <c r="C437" s="361"/>
      <c r="D437" s="361"/>
      <c r="E437" s="361"/>
      <c r="F437" s="361"/>
      <c r="G437" s="361"/>
      <c r="H437" s="361"/>
      <c r="I437" s="361"/>
      <c r="J437" s="361"/>
      <c r="K437" s="361"/>
      <c r="L437" s="361"/>
      <c r="M437" s="361"/>
      <c r="N437" s="361"/>
      <c r="O437" s="361"/>
      <c r="P437" s="361"/>
      <c r="Q437" s="361"/>
      <c r="R437" s="361"/>
      <c r="S437" s="361"/>
      <c r="T437" s="361"/>
      <c r="U437" s="361"/>
      <c r="V437" s="361"/>
      <c r="W437" s="361"/>
      <c r="X437" s="361"/>
      <c r="Y437" s="957"/>
      <c r="Z437" s="957"/>
      <c r="AA437" s="957"/>
      <c r="AB437" s="957"/>
      <c r="AC437" s="957"/>
      <c r="AD437" s="361"/>
    </row>
    <row r="438" spans="2:30" s="349" customFormat="1" ht="20.100000000000001" customHeight="1">
      <c r="B438" s="361"/>
      <c r="C438" s="361"/>
      <c r="D438" s="361"/>
      <c r="E438" s="361"/>
      <c r="F438" s="361"/>
      <c r="G438" s="361"/>
      <c r="H438" s="361"/>
      <c r="I438" s="361"/>
      <c r="J438" s="361"/>
      <c r="K438" s="361"/>
      <c r="L438" s="361"/>
      <c r="M438" s="361"/>
      <c r="N438" s="361"/>
      <c r="O438" s="361"/>
      <c r="P438" s="361"/>
      <c r="Q438" s="361"/>
      <c r="R438" s="361"/>
      <c r="S438" s="361"/>
      <c r="T438" s="361"/>
      <c r="U438" s="361"/>
      <c r="V438" s="361"/>
      <c r="W438" s="361"/>
      <c r="X438" s="361"/>
      <c r="Y438" s="957"/>
      <c r="Z438" s="957"/>
      <c r="AA438" s="957"/>
      <c r="AB438" s="957"/>
      <c r="AC438" s="957"/>
      <c r="AD438" s="361"/>
    </row>
    <row r="439" spans="2:30" s="349" customFormat="1" ht="20.100000000000001" customHeight="1">
      <c r="B439" s="361"/>
      <c r="C439" s="361"/>
      <c r="D439" s="361"/>
      <c r="E439" s="361"/>
      <c r="F439" s="361"/>
      <c r="G439" s="361"/>
      <c r="H439" s="361"/>
      <c r="I439" s="361"/>
      <c r="J439" s="361"/>
      <c r="K439" s="361"/>
      <c r="L439" s="361"/>
      <c r="M439" s="361"/>
      <c r="N439" s="361"/>
      <c r="O439" s="361"/>
      <c r="P439" s="361"/>
      <c r="Q439" s="361"/>
      <c r="R439" s="361"/>
      <c r="S439" s="361"/>
      <c r="T439" s="361"/>
      <c r="U439" s="361"/>
      <c r="V439" s="361"/>
      <c r="W439" s="361"/>
      <c r="X439" s="361"/>
      <c r="Y439" s="957"/>
      <c r="Z439" s="957"/>
      <c r="AA439" s="957"/>
      <c r="AB439" s="957"/>
      <c r="AC439" s="957"/>
      <c r="AD439" s="361"/>
    </row>
    <row r="440" spans="2:30" s="349" customFormat="1" ht="20.100000000000001" customHeight="1">
      <c r="B440" s="361"/>
      <c r="C440" s="361"/>
      <c r="D440" s="361"/>
      <c r="E440" s="361"/>
      <c r="F440" s="361"/>
      <c r="G440" s="361"/>
      <c r="H440" s="361"/>
      <c r="I440" s="361"/>
      <c r="J440" s="361"/>
      <c r="K440" s="361"/>
      <c r="L440" s="361"/>
      <c r="M440" s="361"/>
      <c r="N440" s="361"/>
      <c r="O440" s="361"/>
      <c r="P440" s="361"/>
      <c r="Q440" s="361"/>
      <c r="R440" s="361"/>
      <c r="S440" s="361"/>
      <c r="T440" s="361"/>
      <c r="U440" s="361"/>
      <c r="V440" s="361"/>
      <c r="W440" s="361"/>
      <c r="X440" s="361"/>
      <c r="Y440" s="957"/>
      <c r="Z440" s="957"/>
      <c r="AA440" s="957"/>
      <c r="AB440" s="957"/>
      <c r="AC440" s="957"/>
      <c r="AD440" s="361"/>
    </row>
    <row r="441" spans="2:30" s="349" customFormat="1" ht="20.100000000000001" customHeight="1">
      <c r="B441" s="361"/>
      <c r="C441" s="361"/>
      <c r="D441" s="361"/>
      <c r="E441" s="361"/>
      <c r="F441" s="361"/>
      <c r="G441" s="361"/>
      <c r="H441" s="361"/>
      <c r="I441" s="361"/>
      <c r="J441" s="361"/>
      <c r="K441" s="361"/>
      <c r="L441" s="361"/>
      <c r="M441" s="361"/>
      <c r="N441" s="361"/>
      <c r="O441" s="361"/>
      <c r="P441" s="361"/>
      <c r="Q441" s="361"/>
      <c r="R441" s="361"/>
      <c r="S441" s="361"/>
      <c r="T441" s="361"/>
      <c r="U441" s="361"/>
      <c r="V441" s="361"/>
      <c r="W441" s="361"/>
      <c r="X441" s="361"/>
      <c r="Y441" s="957"/>
      <c r="Z441" s="957"/>
      <c r="AA441" s="957"/>
      <c r="AB441" s="957"/>
      <c r="AC441" s="957"/>
      <c r="AD441" s="361"/>
    </row>
    <row r="442" spans="2:30" s="349" customFormat="1" ht="20.100000000000001" customHeight="1">
      <c r="B442" s="361"/>
      <c r="C442" s="361"/>
      <c r="D442" s="361"/>
      <c r="E442" s="361"/>
      <c r="F442" s="361"/>
      <c r="G442" s="361"/>
      <c r="H442" s="361"/>
      <c r="I442" s="361"/>
      <c r="J442" s="361"/>
      <c r="K442" s="361"/>
      <c r="L442" s="361"/>
      <c r="M442" s="361"/>
      <c r="N442" s="361"/>
      <c r="O442" s="361"/>
      <c r="P442" s="361"/>
      <c r="Q442" s="361"/>
      <c r="R442" s="361"/>
      <c r="S442" s="361"/>
      <c r="T442" s="361"/>
      <c r="U442" s="361"/>
      <c r="V442" s="361"/>
      <c r="W442" s="361"/>
      <c r="X442" s="361"/>
      <c r="Y442" s="957"/>
      <c r="Z442" s="957"/>
      <c r="AA442" s="957"/>
      <c r="AB442" s="957"/>
      <c r="AC442" s="957"/>
      <c r="AD442" s="361"/>
    </row>
    <row r="443" spans="2:30" s="349" customFormat="1" ht="20.100000000000001" customHeight="1">
      <c r="B443" s="361"/>
      <c r="C443" s="361"/>
      <c r="D443" s="361"/>
      <c r="E443" s="361"/>
      <c r="F443" s="361"/>
      <c r="G443" s="361"/>
      <c r="H443" s="361"/>
      <c r="I443" s="361"/>
      <c r="J443" s="361"/>
      <c r="K443" s="361"/>
      <c r="L443" s="361"/>
      <c r="M443" s="361"/>
      <c r="N443" s="361"/>
      <c r="O443" s="361"/>
      <c r="P443" s="361"/>
      <c r="Q443" s="361"/>
      <c r="R443" s="361"/>
      <c r="S443" s="361"/>
      <c r="T443" s="361"/>
      <c r="U443" s="361"/>
      <c r="V443" s="361"/>
      <c r="W443" s="361"/>
      <c r="X443" s="361"/>
      <c r="Y443" s="957"/>
      <c r="Z443" s="957"/>
      <c r="AA443" s="957"/>
      <c r="AB443" s="957"/>
      <c r="AC443" s="957"/>
      <c r="AD443" s="361"/>
    </row>
    <row r="444" spans="2:30" s="349" customFormat="1" ht="20.100000000000001" customHeight="1">
      <c r="B444" s="361"/>
      <c r="C444" s="361"/>
      <c r="D444" s="361"/>
      <c r="E444" s="361"/>
      <c r="F444" s="361"/>
      <c r="G444" s="361"/>
      <c r="H444" s="361"/>
      <c r="I444" s="361"/>
      <c r="J444" s="361"/>
      <c r="K444" s="361"/>
      <c r="L444" s="361"/>
      <c r="M444" s="361"/>
      <c r="N444" s="361"/>
      <c r="O444" s="361"/>
      <c r="P444" s="361"/>
      <c r="Q444" s="361"/>
      <c r="R444" s="361"/>
      <c r="S444" s="361"/>
      <c r="T444" s="361"/>
      <c r="U444" s="361"/>
      <c r="V444" s="361"/>
      <c r="W444" s="361"/>
      <c r="X444" s="361"/>
      <c r="Y444" s="957"/>
      <c r="Z444" s="957"/>
      <c r="AA444" s="957"/>
      <c r="AB444" s="957"/>
      <c r="AC444" s="957"/>
      <c r="AD444" s="361"/>
    </row>
    <row r="445" spans="2:30" s="349" customFormat="1" ht="20.100000000000001" customHeight="1">
      <c r="B445" s="361"/>
      <c r="C445" s="361"/>
      <c r="D445" s="361"/>
      <c r="E445" s="361"/>
      <c r="F445" s="361"/>
      <c r="G445" s="361"/>
      <c r="H445" s="361"/>
      <c r="I445" s="361"/>
      <c r="J445" s="361"/>
      <c r="K445" s="361"/>
      <c r="L445" s="361"/>
      <c r="M445" s="361"/>
      <c r="N445" s="361"/>
      <c r="O445" s="361"/>
      <c r="P445" s="361"/>
      <c r="Q445" s="361"/>
      <c r="R445" s="361"/>
      <c r="S445" s="361"/>
      <c r="T445" s="361"/>
      <c r="U445" s="361"/>
      <c r="V445" s="361"/>
      <c r="W445" s="361"/>
      <c r="X445" s="361"/>
      <c r="Y445" s="957"/>
      <c r="Z445" s="957"/>
      <c r="AA445" s="957"/>
      <c r="AB445" s="957"/>
      <c r="AC445" s="957"/>
      <c r="AD445" s="361"/>
    </row>
    <row r="446" spans="2:30" s="349" customFormat="1" ht="20.100000000000001" customHeight="1">
      <c r="B446" s="361"/>
      <c r="C446" s="361"/>
      <c r="D446" s="361"/>
      <c r="E446" s="361"/>
      <c r="F446" s="361"/>
      <c r="G446" s="361"/>
      <c r="H446" s="361"/>
      <c r="I446" s="361"/>
      <c r="J446" s="361"/>
      <c r="K446" s="361"/>
      <c r="L446" s="361"/>
      <c r="M446" s="361"/>
      <c r="N446" s="361"/>
      <c r="O446" s="361"/>
      <c r="P446" s="361"/>
      <c r="Q446" s="361"/>
      <c r="R446" s="361"/>
      <c r="S446" s="361"/>
      <c r="T446" s="361"/>
      <c r="U446" s="361"/>
      <c r="V446" s="361"/>
      <c r="W446" s="361"/>
      <c r="X446" s="361"/>
      <c r="Y446" s="957"/>
      <c r="Z446" s="957"/>
      <c r="AA446" s="957"/>
      <c r="AB446" s="957"/>
      <c r="AC446" s="957"/>
      <c r="AD446" s="361"/>
    </row>
    <row r="447" spans="2:30" s="349" customFormat="1" ht="20.100000000000001" customHeight="1">
      <c r="B447" s="361"/>
      <c r="C447" s="361"/>
      <c r="D447" s="361"/>
      <c r="E447" s="361"/>
      <c r="F447" s="361"/>
      <c r="G447" s="361"/>
      <c r="H447" s="361"/>
      <c r="I447" s="361"/>
      <c r="J447" s="361"/>
      <c r="K447" s="361"/>
      <c r="L447" s="361"/>
      <c r="M447" s="361"/>
      <c r="N447" s="361"/>
      <c r="O447" s="361"/>
      <c r="P447" s="361"/>
      <c r="Q447" s="361"/>
      <c r="R447" s="361"/>
      <c r="S447" s="361"/>
      <c r="T447" s="361"/>
      <c r="U447" s="361"/>
      <c r="V447" s="361"/>
      <c r="W447" s="361"/>
      <c r="X447" s="361"/>
      <c r="Y447" s="957"/>
      <c r="Z447" s="957"/>
      <c r="AA447" s="957"/>
      <c r="AB447" s="957"/>
      <c r="AC447" s="957"/>
      <c r="AD447" s="361"/>
    </row>
    <row r="448" spans="2:30" s="349" customFormat="1" ht="20.100000000000001" customHeight="1">
      <c r="B448" s="361"/>
      <c r="C448" s="361"/>
      <c r="D448" s="361"/>
      <c r="E448" s="361"/>
      <c r="F448" s="361"/>
      <c r="G448" s="361"/>
      <c r="H448" s="361"/>
      <c r="I448" s="361"/>
      <c r="J448" s="361"/>
      <c r="K448" s="361"/>
      <c r="L448" s="361"/>
      <c r="M448" s="361"/>
      <c r="N448" s="361"/>
      <c r="O448" s="361"/>
      <c r="P448" s="361"/>
      <c r="Q448" s="361"/>
      <c r="R448" s="361"/>
      <c r="S448" s="361"/>
      <c r="T448" s="361"/>
      <c r="U448" s="361"/>
      <c r="V448" s="361"/>
      <c r="W448" s="361"/>
      <c r="X448" s="361"/>
      <c r="Y448" s="957"/>
      <c r="Z448" s="957"/>
      <c r="AA448" s="957"/>
      <c r="AB448" s="957"/>
      <c r="AC448" s="957"/>
      <c r="AD448" s="361"/>
    </row>
    <row r="449" spans="2:30" s="349" customFormat="1" ht="20.100000000000001" customHeight="1">
      <c r="B449" s="361"/>
      <c r="C449" s="361"/>
      <c r="D449" s="361"/>
      <c r="E449" s="361"/>
      <c r="F449" s="361"/>
      <c r="G449" s="361"/>
      <c r="H449" s="361"/>
      <c r="I449" s="361"/>
      <c r="J449" s="361"/>
      <c r="K449" s="361"/>
      <c r="L449" s="361"/>
      <c r="M449" s="361"/>
      <c r="N449" s="361"/>
      <c r="O449" s="361"/>
      <c r="P449" s="361"/>
      <c r="Q449" s="361"/>
      <c r="R449" s="361"/>
      <c r="S449" s="361"/>
      <c r="T449" s="361"/>
      <c r="U449" s="361"/>
      <c r="V449" s="361"/>
      <c r="W449" s="361"/>
      <c r="X449" s="361"/>
      <c r="Y449" s="957"/>
      <c r="Z449" s="957"/>
      <c r="AA449" s="957"/>
      <c r="AB449" s="957"/>
      <c r="AC449" s="957"/>
      <c r="AD449" s="361"/>
    </row>
    <row r="450" spans="2:30" s="349" customFormat="1" ht="20.100000000000001" customHeight="1">
      <c r="B450" s="361"/>
      <c r="C450" s="361"/>
      <c r="D450" s="361"/>
      <c r="E450" s="361"/>
      <c r="F450" s="361"/>
      <c r="G450" s="361"/>
      <c r="H450" s="361"/>
      <c r="I450" s="361"/>
      <c r="J450" s="361"/>
      <c r="K450" s="361"/>
      <c r="L450" s="361"/>
      <c r="M450" s="361"/>
      <c r="N450" s="361"/>
      <c r="O450" s="361"/>
      <c r="P450" s="361"/>
      <c r="Q450" s="361"/>
      <c r="R450" s="361"/>
      <c r="S450" s="361"/>
      <c r="T450" s="361"/>
      <c r="U450" s="361"/>
      <c r="V450" s="361"/>
      <c r="W450" s="361"/>
      <c r="X450" s="361"/>
      <c r="Y450" s="957"/>
      <c r="Z450" s="957"/>
      <c r="AA450" s="957"/>
      <c r="AB450" s="957"/>
      <c r="AC450" s="957"/>
      <c r="AD450" s="361"/>
    </row>
    <row r="451" spans="2:30" s="349" customFormat="1" ht="20.100000000000001" customHeight="1">
      <c r="B451" s="361"/>
      <c r="C451" s="361"/>
      <c r="D451" s="361"/>
      <c r="E451" s="361"/>
      <c r="F451" s="361"/>
      <c r="G451" s="361"/>
      <c r="H451" s="361"/>
      <c r="I451" s="361"/>
      <c r="J451" s="361"/>
      <c r="K451" s="361"/>
      <c r="L451" s="361"/>
      <c r="M451" s="361"/>
      <c r="N451" s="361"/>
      <c r="O451" s="361"/>
      <c r="P451" s="361"/>
      <c r="Q451" s="361"/>
      <c r="R451" s="361"/>
      <c r="S451" s="361"/>
      <c r="T451" s="361"/>
      <c r="U451" s="361"/>
      <c r="V451" s="361"/>
      <c r="W451" s="361"/>
      <c r="X451" s="361"/>
      <c r="Y451" s="957"/>
      <c r="Z451" s="957"/>
      <c r="AA451" s="957"/>
      <c r="AB451" s="957"/>
      <c r="AC451" s="957"/>
      <c r="AD451" s="361"/>
    </row>
    <row r="452" spans="2:30" s="349" customFormat="1" ht="20.100000000000001" customHeight="1">
      <c r="B452" s="361"/>
      <c r="C452" s="361"/>
      <c r="D452" s="361"/>
      <c r="E452" s="361"/>
      <c r="F452" s="361"/>
      <c r="G452" s="361"/>
      <c r="H452" s="361"/>
      <c r="I452" s="361"/>
      <c r="J452" s="361"/>
      <c r="K452" s="361"/>
      <c r="L452" s="361"/>
      <c r="M452" s="361"/>
      <c r="N452" s="361"/>
      <c r="O452" s="361"/>
      <c r="P452" s="361"/>
      <c r="Q452" s="361"/>
      <c r="R452" s="361"/>
      <c r="S452" s="361"/>
      <c r="T452" s="361"/>
      <c r="U452" s="361"/>
      <c r="V452" s="361"/>
      <c r="W452" s="361"/>
      <c r="X452" s="361"/>
      <c r="Y452" s="957"/>
      <c r="Z452" s="957"/>
      <c r="AA452" s="957"/>
      <c r="AB452" s="957"/>
      <c r="AC452" s="957"/>
      <c r="AD452" s="361"/>
    </row>
    <row r="453" spans="2:30" s="349" customFormat="1" ht="20.100000000000001" customHeight="1">
      <c r="B453" s="361"/>
      <c r="C453" s="361"/>
      <c r="D453" s="361"/>
      <c r="E453" s="361"/>
      <c r="F453" s="361"/>
      <c r="G453" s="361"/>
      <c r="H453" s="361"/>
      <c r="I453" s="361"/>
      <c r="J453" s="361"/>
      <c r="K453" s="361"/>
      <c r="L453" s="361"/>
      <c r="M453" s="361"/>
      <c r="N453" s="361"/>
      <c r="O453" s="361"/>
      <c r="P453" s="361"/>
      <c r="Q453" s="361"/>
      <c r="R453" s="361"/>
      <c r="S453" s="361"/>
      <c r="T453" s="361"/>
      <c r="U453" s="361"/>
      <c r="V453" s="361"/>
      <c r="W453" s="361"/>
      <c r="X453" s="361"/>
      <c r="Y453" s="957"/>
      <c r="Z453" s="957"/>
      <c r="AA453" s="957"/>
      <c r="AB453" s="957"/>
      <c r="AC453" s="957"/>
      <c r="AD453" s="361"/>
    </row>
    <row r="454" spans="2:30" s="349" customFormat="1" ht="20.100000000000001" customHeight="1">
      <c r="B454" s="361"/>
      <c r="C454" s="361"/>
      <c r="D454" s="361"/>
      <c r="E454" s="361"/>
      <c r="F454" s="361"/>
      <c r="G454" s="361"/>
      <c r="H454" s="361"/>
      <c r="I454" s="361"/>
      <c r="J454" s="361"/>
      <c r="K454" s="361"/>
      <c r="L454" s="361"/>
      <c r="M454" s="361"/>
      <c r="N454" s="361"/>
      <c r="O454" s="361"/>
      <c r="P454" s="361"/>
      <c r="Q454" s="361"/>
      <c r="R454" s="361"/>
      <c r="S454" s="361"/>
      <c r="T454" s="361"/>
      <c r="U454" s="361"/>
      <c r="V454" s="361"/>
      <c r="W454" s="361"/>
      <c r="X454" s="361"/>
      <c r="Y454" s="957"/>
      <c r="Z454" s="957"/>
      <c r="AA454" s="957"/>
      <c r="AB454" s="957"/>
      <c r="AC454" s="957"/>
      <c r="AD454" s="361"/>
    </row>
    <row r="455" spans="2:30" s="349" customFormat="1" ht="20.100000000000001" customHeight="1">
      <c r="B455" s="361"/>
      <c r="C455" s="361"/>
      <c r="D455" s="361"/>
      <c r="E455" s="361"/>
      <c r="F455" s="361"/>
      <c r="G455" s="361"/>
      <c r="H455" s="361"/>
      <c r="I455" s="361"/>
      <c r="J455" s="361"/>
      <c r="K455" s="361"/>
      <c r="L455" s="361"/>
      <c r="M455" s="361"/>
      <c r="N455" s="361"/>
      <c r="O455" s="361"/>
      <c r="P455" s="361"/>
      <c r="Q455" s="361"/>
      <c r="R455" s="361"/>
      <c r="S455" s="361"/>
      <c r="T455" s="361"/>
      <c r="U455" s="361"/>
      <c r="V455" s="361"/>
      <c r="W455" s="361"/>
      <c r="X455" s="361"/>
      <c r="Y455" s="957"/>
      <c r="Z455" s="957"/>
      <c r="AA455" s="957"/>
      <c r="AB455" s="957"/>
      <c r="AC455" s="957"/>
      <c r="AD455" s="361"/>
    </row>
    <row r="456" spans="2:30" s="349" customFormat="1" ht="20.100000000000001" customHeight="1">
      <c r="B456" s="361"/>
      <c r="C456" s="361"/>
      <c r="D456" s="361"/>
      <c r="E456" s="361"/>
      <c r="F456" s="361"/>
      <c r="G456" s="361"/>
      <c r="H456" s="361"/>
      <c r="I456" s="361"/>
      <c r="J456" s="361"/>
      <c r="K456" s="361"/>
      <c r="L456" s="361"/>
      <c r="M456" s="361"/>
      <c r="N456" s="361"/>
      <c r="O456" s="361"/>
      <c r="P456" s="361"/>
      <c r="Q456" s="361"/>
      <c r="R456" s="361"/>
      <c r="S456" s="361"/>
      <c r="T456" s="361"/>
      <c r="U456" s="361"/>
      <c r="V456" s="361"/>
      <c r="W456" s="361"/>
      <c r="X456" s="361"/>
      <c r="Y456" s="957"/>
      <c r="Z456" s="957"/>
      <c r="AA456" s="957"/>
      <c r="AB456" s="957"/>
      <c r="AC456" s="957"/>
      <c r="AD456" s="361"/>
    </row>
    <row r="457" spans="2:30" ht="20.100000000000001" customHeight="1"/>
    <row r="458" spans="2:30" ht="9.9499999999999993" customHeight="1"/>
    <row r="459" spans="2:30" ht="20.100000000000001" customHeight="1"/>
    <row r="460" spans="2:30" ht="20.100000000000001" customHeight="1"/>
    <row r="461" spans="2:30" ht="20.100000000000001" customHeight="1"/>
    <row r="462" spans="2:30" s="349" customFormat="1" ht="20.100000000000001" customHeight="1">
      <c r="B462" s="361"/>
      <c r="C462" s="361"/>
      <c r="D462" s="361"/>
      <c r="E462" s="361"/>
      <c r="F462" s="361"/>
      <c r="G462" s="361"/>
      <c r="H462" s="361"/>
      <c r="I462" s="361"/>
      <c r="J462" s="361"/>
      <c r="K462" s="361"/>
      <c r="L462" s="361"/>
      <c r="M462" s="361"/>
      <c r="N462" s="361"/>
      <c r="O462" s="361"/>
      <c r="P462" s="361"/>
      <c r="Q462" s="361"/>
      <c r="R462" s="361"/>
      <c r="S462" s="361"/>
      <c r="T462" s="361"/>
      <c r="U462" s="361"/>
      <c r="V462" s="361"/>
      <c r="W462" s="361"/>
      <c r="X462" s="361"/>
      <c r="Y462" s="957"/>
      <c r="Z462" s="957"/>
      <c r="AA462" s="957"/>
      <c r="AB462" s="957"/>
      <c r="AC462" s="957"/>
      <c r="AD462" s="361"/>
    </row>
    <row r="463" spans="2:30" s="349" customFormat="1" ht="20.100000000000001" customHeight="1">
      <c r="B463" s="361"/>
      <c r="C463" s="361"/>
      <c r="D463" s="361"/>
      <c r="E463" s="361"/>
      <c r="F463" s="361"/>
      <c r="G463" s="361"/>
      <c r="H463" s="361"/>
      <c r="I463" s="361"/>
      <c r="J463" s="361"/>
      <c r="K463" s="361"/>
      <c r="L463" s="361"/>
      <c r="M463" s="361"/>
      <c r="N463" s="361"/>
      <c r="O463" s="361"/>
      <c r="P463" s="361"/>
      <c r="Q463" s="361"/>
      <c r="R463" s="361"/>
      <c r="S463" s="361"/>
      <c r="T463" s="361"/>
      <c r="U463" s="361"/>
      <c r="V463" s="361"/>
      <c r="W463" s="361"/>
      <c r="X463" s="361"/>
      <c r="Y463" s="957"/>
      <c r="Z463" s="957"/>
      <c r="AA463" s="957"/>
      <c r="AB463" s="957"/>
      <c r="AC463" s="957"/>
      <c r="AD463" s="361"/>
    </row>
    <row r="464" spans="2:30" s="349" customFormat="1" ht="20.100000000000001" customHeight="1">
      <c r="B464" s="361"/>
      <c r="C464" s="361"/>
      <c r="D464" s="361"/>
      <c r="E464" s="361"/>
      <c r="F464" s="361"/>
      <c r="G464" s="361"/>
      <c r="H464" s="361"/>
      <c r="I464" s="361"/>
      <c r="J464" s="361"/>
      <c r="K464" s="361"/>
      <c r="L464" s="361"/>
      <c r="M464" s="361"/>
      <c r="N464" s="361"/>
      <c r="O464" s="361"/>
      <c r="P464" s="361"/>
      <c r="Q464" s="361"/>
      <c r="R464" s="361"/>
      <c r="S464" s="361"/>
      <c r="T464" s="361"/>
      <c r="U464" s="361"/>
      <c r="V464" s="361"/>
      <c r="W464" s="361"/>
      <c r="X464" s="361"/>
      <c r="Y464" s="957"/>
      <c r="Z464" s="957"/>
      <c r="AA464" s="957"/>
      <c r="AB464" s="957"/>
      <c r="AC464" s="957"/>
      <c r="AD464" s="361"/>
    </row>
    <row r="465" spans="2:30" s="349" customFormat="1" ht="20.100000000000001" customHeight="1">
      <c r="B465" s="361"/>
      <c r="C465" s="361"/>
      <c r="D465" s="361"/>
      <c r="E465" s="361"/>
      <c r="F465" s="361"/>
      <c r="G465" s="361"/>
      <c r="H465" s="361"/>
      <c r="I465" s="361"/>
      <c r="J465" s="361"/>
      <c r="K465" s="361"/>
      <c r="L465" s="361"/>
      <c r="M465" s="361"/>
      <c r="N465" s="361"/>
      <c r="O465" s="361"/>
      <c r="P465" s="361"/>
      <c r="Q465" s="361"/>
      <c r="R465" s="361"/>
      <c r="S465" s="361"/>
      <c r="T465" s="361"/>
      <c r="U465" s="361"/>
      <c r="V465" s="361"/>
      <c r="W465" s="361"/>
      <c r="X465" s="361"/>
      <c r="Y465" s="957"/>
      <c r="Z465" s="957"/>
      <c r="AA465" s="957"/>
      <c r="AB465" s="957"/>
      <c r="AC465" s="957"/>
      <c r="AD465" s="361"/>
    </row>
    <row r="466" spans="2:30" s="349" customFormat="1" ht="20.100000000000001" customHeight="1">
      <c r="B466" s="361"/>
      <c r="C466" s="361"/>
      <c r="D466" s="361"/>
      <c r="E466" s="361"/>
      <c r="F466" s="361"/>
      <c r="G466" s="361"/>
      <c r="H466" s="361"/>
      <c r="I466" s="361"/>
      <c r="J466" s="361"/>
      <c r="K466" s="361"/>
      <c r="L466" s="361"/>
      <c r="M466" s="361"/>
      <c r="N466" s="361"/>
      <c r="O466" s="361"/>
      <c r="P466" s="361"/>
      <c r="Q466" s="361"/>
      <c r="R466" s="361"/>
      <c r="S466" s="361"/>
      <c r="T466" s="361"/>
      <c r="U466" s="361"/>
      <c r="V466" s="361"/>
      <c r="W466" s="361"/>
      <c r="X466" s="361"/>
      <c r="Y466" s="957"/>
      <c r="Z466" s="957"/>
      <c r="AA466" s="957"/>
      <c r="AB466" s="957"/>
      <c r="AC466" s="957"/>
      <c r="AD466" s="361"/>
    </row>
    <row r="467" spans="2:30" s="349" customFormat="1" ht="20.100000000000001" customHeight="1">
      <c r="B467" s="361"/>
      <c r="C467" s="361"/>
      <c r="D467" s="361"/>
      <c r="E467" s="361"/>
      <c r="F467" s="361"/>
      <c r="G467" s="361"/>
      <c r="H467" s="361"/>
      <c r="I467" s="361"/>
      <c r="J467" s="361"/>
      <c r="K467" s="361"/>
      <c r="L467" s="361"/>
      <c r="M467" s="361"/>
      <c r="N467" s="361"/>
      <c r="O467" s="361"/>
      <c r="P467" s="361"/>
      <c r="Q467" s="361"/>
      <c r="R467" s="361"/>
      <c r="S467" s="361"/>
      <c r="T467" s="361"/>
      <c r="U467" s="361"/>
      <c r="V467" s="361"/>
      <c r="W467" s="361"/>
      <c r="X467" s="361"/>
      <c r="Y467" s="957"/>
      <c r="Z467" s="957"/>
      <c r="AA467" s="957"/>
      <c r="AB467" s="957"/>
      <c r="AC467" s="957"/>
      <c r="AD467" s="361"/>
    </row>
    <row r="468" spans="2:30" s="349" customFormat="1" ht="20.100000000000001" customHeight="1">
      <c r="B468" s="361"/>
      <c r="C468" s="361"/>
      <c r="D468" s="361"/>
      <c r="E468" s="361"/>
      <c r="F468" s="361"/>
      <c r="G468" s="361"/>
      <c r="H468" s="361"/>
      <c r="I468" s="361"/>
      <c r="J468" s="361"/>
      <c r="K468" s="361"/>
      <c r="L468" s="361"/>
      <c r="M468" s="361"/>
      <c r="N468" s="361"/>
      <c r="O468" s="361"/>
      <c r="P468" s="361"/>
      <c r="Q468" s="361"/>
      <c r="R468" s="361"/>
      <c r="S468" s="361"/>
      <c r="T468" s="361"/>
      <c r="U468" s="361"/>
      <c r="V468" s="361"/>
      <c r="W468" s="361"/>
      <c r="X468" s="361"/>
      <c r="Y468" s="957"/>
      <c r="Z468" s="957"/>
      <c r="AA468" s="957"/>
      <c r="AB468" s="957"/>
      <c r="AC468" s="957"/>
      <c r="AD468" s="361"/>
    </row>
    <row r="469" spans="2:30" s="349" customFormat="1" ht="20.100000000000001" customHeight="1">
      <c r="B469" s="361"/>
      <c r="C469" s="361"/>
      <c r="D469" s="361"/>
      <c r="E469" s="361"/>
      <c r="F469" s="361"/>
      <c r="G469" s="361"/>
      <c r="H469" s="361"/>
      <c r="I469" s="361"/>
      <c r="J469" s="361"/>
      <c r="K469" s="361"/>
      <c r="L469" s="361"/>
      <c r="M469" s="361"/>
      <c r="N469" s="361"/>
      <c r="O469" s="361"/>
      <c r="P469" s="361"/>
      <c r="Q469" s="361"/>
      <c r="R469" s="361"/>
      <c r="S469" s="361"/>
      <c r="T469" s="361"/>
      <c r="U469" s="361"/>
      <c r="V469" s="361"/>
      <c r="W469" s="361"/>
      <c r="X469" s="361"/>
      <c r="Y469" s="957"/>
      <c r="Z469" s="957"/>
      <c r="AA469" s="957"/>
      <c r="AB469" s="957"/>
      <c r="AC469" s="957"/>
      <c r="AD469" s="361"/>
    </row>
    <row r="470" spans="2:30" s="349" customFormat="1" ht="20.100000000000001" customHeight="1">
      <c r="B470" s="361"/>
      <c r="C470" s="361"/>
      <c r="D470" s="361"/>
      <c r="E470" s="361"/>
      <c r="F470" s="361"/>
      <c r="G470" s="361"/>
      <c r="H470" s="361"/>
      <c r="I470" s="361"/>
      <c r="J470" s="361"/>
      <c r="K470" s="361"/>
      <c r="L470" s="361"/>
      <c r="M470" s="361"/>
      <c r="N470" s="361"/>
      <c r="O470" s="361"/>
      <c r="P470" s="361"/>
      <c r="Q470" s="361"/>
      <c r="R470" s="361"/>
      <c r="S470" s="361"/>
      <c r="T470" s="361"/>
      <c r="U470" s="361"/>
      <c r="V470" s="361"/>
      <c r="W470" s="361"/>
      <c r="X470" s="361"/>
      <c r="Y470" s="957"/>
      <c r="Z470" s="957"/>
      <c r="AA470" s="957"/>
      <c r="AB470" s="957"/>
      <c r="AC470" s="957"/>
      <c r="AD470" s="361"/>
    </row>
    <row r="471" spans="2:30" s="349" customFormat="1" ht="20.100000000000001" customHeight="1">
      <c r="B471" s="361"/>
      <c r="C471" s="361"/>
      <c r="D471" s="361"/>
      <c r="E471" s="361"/>
      <c r="F471" s="361"/>
      <c r="G471" s="361"/>
      <c r="H471" s="361"/>
      <c r="I471" s="361"/>
      <c r="J471" s="361"/>
      <c r="K471" s="361"/>
      <c r="L471" s="361"/>
      <c r="M471" s="361"/>
      <c r="N471" s="361"/>
      <c r="O471" s="361"/>
      <c r="P471" s="361"/>
      <c r="Q471" s="361"/>
      <c r="R471" s="361"/>
      <c r="S471" s="361"/>
      <c r="T471" s="361"/>
      <c r="U471" s="361"/>
      <c r="V471" s="361"/>
      <c r="W471" s="361"/>
      <c r="X471" s="361"/>
      <c r="Y471" s="957"/>
      <c r="Z471" s="957"/>
      <c r="AA471" s="957"/>
      <c r="AB471" s="957"/>
      <c r="AC471" s="957"/>
      <c r="AD471" s="361"/>
    </row>
    <row r="472" spans="2:30" s="349" customFormat="1" ht="20.100000000000001" customHeight="1">
      <c r="B472" s="361"/>
      <c r="C472" s="361"/>
      <c r="D472" s="361"/>
      <c r="E472" s="361"/>
      <c r="F472" s="361"/>
      <c r="G472" s="361"/>
      <c r="H472" s="361"/>
      <c r="I472" s="361"/>
      <c r="J472" s="361"/>
      <c r="K472" s="361"/>
      <c r="L472" s="361"/>
      <c r="M472" s="361"/>
      <c r="N472" s="361"/>
      <c r="O472" s="361"/>
      <c r="P472" s="361"/>
      <c r="Q472" s="361"/>
      <c r="R472" s="361"/>
      <c r="S472" s="361"/>
      <c r="T472" s="361"/>
      <c r="U472" s="361"/>
      <c r="V472" s="361"/>
      <c r="W472" s="361"/>
      <c r="X472" s="361"/>
      <c r="Y472" s="957"/>
      <c r="Z472" s="957"/>
      <c r="AA472" s="957"/>
      <c r="AB472" s="957"/>
      <c r="AC472" s="957"/>
      <c r="AD472" s="361"/>
    </row>
    <row r="473" spans="2:30" s="349" customFormat="1" ht="20.100000000000001" customHeight="1">
      <c r="B473" s="361"/>
      <c r="C473" s="361"/>
      <c r="D473" s="361"/>
      <c r="E473" s="361"/>
      <c r="F473" s="361"/>
      <c r="G473" s="361"/>
      <c r="H473" s="361"/>
      <c r="I473" s="361"/>
      <c r="J473" s="361"/>
      <c r="K473" s="361"/>
      <c r="L473" s="361"/>
      <c r="M473" s="361"/>
      <c r="N473" s="361"/>
      <c r="O473" s="361"/>
      <c r="P473" s="361"/>
      <c r="Q473" s="361"/>
      <c r="R473" s="361"/>
      <c r="S473" s="361"/>
      <c r="T473" s="361"/>
      <c r="U473" s="361"/>
      <c r="V473" s="361"/>
      <c r="W473" s="361"/>
      <c r="X473" s="361"/>
      <c r="Y473" s="957"/>
      <c r="Z473" s="957"/>
      <c r="AA473" s="957"/>
      <c r="AB473" s="957"/>
      <c r="AC473" s="957"/>
      <c r="AD473" s="361"/>
    </row>
    <row r="474" spans="2:30" s="349" customFormat="1" ht="20.100000000000001" customHeight="1">
      <c r="B474" s="361"/>
      <c r="C474" s="361"/>
      <c r="D474" s="361"/>
      <c r="E474" s="361"/>
      <c r="F474" s="361"/>
      <c r="G474" s="361"/>
      <c r="H474" s="361"/>
      <c r="I474" s="361"/>
      <c r="J474" s="361"/>
      <c r="K474" s="361"/>
      <c r="L474" s="361"/>
      <c r="M474" s="361"/>
      <c r="N474" s="361"/>
      <c r="O474" s="361"/>
      <c r="P474" s="361"/>
      <c r="Q474" s="361"/>
      <c r="R474" s="361"/>
      <c r="S474" s="361"/>
      <c r="T474" s="361"/>
      <c r="U474" s="361"/>
      <c r="V474" s="361"/>
      <c r="W474" s="361"/>
      <c r="X474" s="361"/>
      <c r="Y474" s="957"/>
      <c r="Z474" s="957"/>
      <c r="AA474" s="957"/>
      <c r="AB474" s="957"/>
      <c r="AC474" s="957"/>
      <c r="AD474" s="361"/>
    </row>
    <row r="475" spans="2:30" s="349" customFormat="1" ht="20.100000000000001" customHeight="1">
      <c r="B475" s="361"/>
      <c r="C475" s="361"/>
      <c r="D475" s="361"/>
      <c r="E475" s="361"/>
      <c r="F475" s="361"/>
      <c r="G475" s="361"/>
      <c r="H475" s="361"/>
      <c r="I475" s="361"/>
      <c r="J475" s="361"/>
      <c r="K475" s="361"/>
      <c r="L475" s="361"/>
      <c r="M475" s="361"/>
      <c r="N475" s="361"/>
      <c r="O475" s="361"/>
      <c r="P475" s="361"/>
      <c r="Q475" s="361"/>
      <c r="R475" s="361"/>
      <c r="S475" s="361"/>
      <c r="T475" s="361"/>
      <c r="U475" s="361"/>
      <c r="V475" s="361"/>
      <c r="W475" s="361"/>
      <c r="X475" s="361"/>
      <c r="Y475" s="957"/>
      <c r="Z475" s="957"/>
      <c r="AA475" s="957"/>
      <c r="AB475" s="957"/>
      <c r="AC475" s="957"/>
      <c r="AD475" s="361"/>
    </row>
    <row r="476" spans="2:30" s="349" customFormat="1" ht="20.100000000000001" customHeight="1">
      <c r="B476" s="361"/>
      <c r="C476" s="361"/>
      <c r="D476" s="361"/>
      <c r="E476" s="361"/>
      <c r="F476" s="361"/>
      <c r="G476" s="361"/>
      <c r="H476" s="361"/>
      <c r="I476" s="361"/>
      <c r="J476" s="361"/>
      <c r="K476" s="361"/>
      <c r="L476" s="361"/>
      <c r="M476" s="361"/>
      <c r="N476" s="361"/>
      <c r="O476" s="361"/>
      <c r="P476" s="361"/>
      <c r="Q476" s="361"/>
      <c r="R476" s="361"/>
      <c r="S476" s="361"/>
      <c r="T476" s="361"/>
      <c r="U476" s="361"/>
      <c r="V476" s="361"/>
      <c r="W476" s="361"/>
      <c r="X476" s="361"/>
      <c r="Y476" s="957"/>
      <c r="Z476" s="957"/>
      <c r="AA476" s="957"/>
      <c r="AB476" s="957"/>
      <c r="AC476" s="957"/>
      <c r="AD476" s="361"/>
    </row>
    <row r="477" spans="2:30" s="349" customFormat="1" ht="20.100000000000001" customHeight="1">
      <c r="B477" s="361"/>
      <c r="C477" s="361"/>
      <c r="D477" s="361"/>
      <c r="E477" s="361"/>
      <c r="F477" s="361"/>
      <c r="G477" s="361"/>
      <c r="H477" s="361"/>
      <c r="I477" s="361"/>
      <c r="J477" s="361"/>
      <c r="K477" s="361"/>
      <c r="L477" s="361"/>
      <c r="M477" s="361"/>
      <c r="N477" s="361"/>
      <c r="O477" s="361"/>
      <c r="P477" s="361"/>
      <c r="Q477" s="361"/>
      <c r="R477" s="361"/>
      <c r="S477" s="361"/>
      <c r="T477" s="361"/>
      <c r="U477" s="361"/>
      <c r="V477" s="361"/>
      <c r="W477" s="361"/>
      <c r="X477" s="361"/>
      <c r="Y477" s="957"/>
      <c r="Z477" s="957"/>
      <c r="AA477" s="957"/>
      <c r="AB477" s="957"/>
      <c r="AC477" s="957"/>
      <c r="AD477" s="361"/>
    </row>
    <row r="478" spans="2:30" s="349" customFormat="1" ht="20.100000000000001" customHeight="1">
      <c r="B478" s="361"/>
      <c r="C478" s="361"/>
      <c r="D478" s="361"/>
      <c r="E478" s="361"/>
      <c r="F478" s="361"/>
      <c r="G478" s="361"/>
      <c r="H478" s="361"/>
      <c r="I478" s="361"/>
      <c r="J478" s="361"/>
      <c r="K478" s="361"/>
      <c r="L478" s="361"/>
      <c r="M478" s="361"/>
      <c r="N478" s="361"/>
      <c r="O478" s="361"/>
      <c r="P478" s="361"/>
      <c r="Q478" s="361"/>
      <c r="R478" s="361"/>
      <c r="S478" s="361"/>
      <c r="T478" s="361"/>
      <c r="U478" s="361"/>
      <c r="V478" s="361"/>
      <c r="W478" s="361"/>
      <c r="X478" s="361"/>
      <c r="Y478" s="957"/>
      <c r="Z478" s="957"/>
      <c r="AA478" s="957"/>
      <c r="AB478" s="957"/>
      <c r="AC478" s="957"/>
      <c r="AD478" s="361"/>
    </row>
    <row r="479" spans="2:30" s="349" customFormat="1" ht="20.100000000000001" customHeight="1">
      <c r="B479" s="361"/>
      <c r="C479" s="361"/>
      <c r="D479" s="361"/>
      <c r="E479" s="361"/>
      <c r="F479" s="361"/>
      <c r="G479" s="361"/>
      <c r="H479" s="361"/>
      <c r="I479" s="361"/>
      <c r="J479" s="361"/>
      <c r="K479" s="361"/>
      <c r="L479" s="361"/>
      <c r="M479" s="361"/>
      <c r="N479" s="361"/>
      <c r="O479" s="361"/>
      <c r="P479" s="361"/>
      <c r="Q479" s="361"/>
      <c r="R479" s="361"/>
      <c r="S479" s="361"/>
      <c r="T479" s="361"/>
      <c r="U479" s="361"/>
      <c r="V479" s="361"/>
      <c r="W479" s="361"/>
      <c r="X479" s="361"/>
      <c r="Y479" s="957"/>
      <c r="Z479" s="957"/>
      <c r="AA479" s="957"/>
      <c r="AB479" s="957"/>
      <c r="AC479" s="957"/>
      <c r="AD479" s="361"/>
    </row>
    <row r="480" spans="2:30" s="349" customFormat="1" ht="20.100000000000001" customHeight="1">
      <c r="B480" s="361"/>
      <c r="C480" s="361"/>
      <c r="D480" s="361"/>
      <c r="E480" s="361"/>
      <c r="F480" s="361"/>
      <c r="G480" s="361"/>
      <c r="H480" s="361"/>
      <c r="I480" s="361"/>
      <c r="J480" s="361"/>
      <c r="K480" s="361"/>
      <c r="L480" s="361"/>
      <c r="M480" s="361"/>
      <c r="N480" s="361"/>
      <c r="O480" s="361"/>
      <c r="P480" s="361"/>
      <c r="Q480" s="361"/>
      <c r="R480" s="361"/>
      <c r="S480" s="361"/>
      <c r="T480" s="361"/>
      <c r="U480" s="361"/>
      <c r="V480" s="361"/>
      <c r="W480" s="361"/>
      <c r="X480" s="361"/>
      <c r="Y480" s="957"/>
      <c r="Z480" s="957"/>
      <c r="AA480" s="957"/>
      <c r="AB480" s="957"/>
      <c r="AC480" s="957"/>
      <c r="AD480" s="361"/>
    </row>
    <row r="481" spans="2:30" s="349" customFormat="1" ht="20.100000000000001" customHeight="1">
      <c r="B481" s="361"/>
      <c r="C481" s="361"/>
      <c r="D481" s="361"/>
      <c r="E481" s="361"/>
      <c r="F481" s="361"/>
      <c r="G481" s="361"/>
      <c r="H481" s="361"/>
      <c r="I481" s="361"/>
      <c r="J481" s="361"/>
      <c r="K481" s="361"/>
      <c r="L481" s="361"/>
      <c r="M481" s="361"/>
      <c r="N481" s="361"/>
      <c r="O481" s="361"/>
      <c r="P481" s="361"/>
      <c r="Q481" s="361"/>
      <c r="R481" s="361"/>
      <c r="S481" s="361"/>
      <c r="T481" s="361"/>
      <c r="U481" s="361"/>
      <c r="V481" s="361"/>
      <c r="W481" s="361"/>
      <c r="X481" s="361"/>
      <c r="Y481" s="957"/>
      <c r="Z481" s="957"/>
      <c r="AA481" s="957"/>
      <c r="AB481" s="957"/>
      <c r="AC481" s="957"/>
      <c r="AD481" s="361"/>
    </row>
    <row r="482" spans="2:30" s="349" customFormat="1" ht="20.100000000000001" customHeight="1">
      <c r="B482" s="361"/>
      <c r="C482" s="361"/>
      <c r="D482" s="361"/>
      <c r="E482" s="361"/>
      <c r="F482" s="361"/>
      <c r="G482" s="361"/>
      <c r="H482" s="361"/>
      <c r="I482" s="361"/>
      <c r="J482" s="361"/>
      <c r="K482" s="361"/>
      <c r="L482" s="361"/>
      <c r="M482" s="361"/>
      <c r="N482" s="361"/>
      <c r="O482" s="361"/>
      <c r="P482" s="361"/>
      <c r="Q482" s="361"/>
      <c r="R482" s="361"/>
      <c r="S482" s="361"/>
      <c r="T482" s="361"/>
      <c r="U482" s="361"/>
      <c r="V482" s="361"/>
      <c r="W482" s="361"/>
      <c r="X482" s="361"/>
      <c r="Y482" s="957"/>
      <c r="Z482" s="957"/>
      <c r="AA482" s="957"/>
      <c r="AB482" s="957"/>
      <c r="AC482" s="957"/>
      <c r="AD482" s="361"/>
    </row>
    <row r="483" spans="2:30" s="349" customFormat="1" ht="20.100000000000001" customHeight="1">
      <c r="B483" s="361"/>
      <c r="C483" s="361"/>
      <c r="D483" s="361"/>
      <c r="E483" s="361"/>
      <c r="F483" s="361"/>
      <c r="G483" s="361"/>
      <c r="H483" s="361"/>
      <c r="I483" s="361"/>
      <c r="J483" s="361"/>
      <c r="K483" s="361"/>
      <c r="L483" s="361"/>
      <c r="M483" s="361"/>
      <c r="N483" s="361"/>
      <c r="O483" s="361"/>
      <c r="P483" s="361"/>
      <c r="Q483" s="361"/>
      <c r="R483" s="361"/>
      <c r="S483" s="361"/>
      <c r="T483" s="361"/>
      <c r="U483" s="361"/>
      <c r="V483" s="361"/>
      <c r="W483" s="361"/>
      <c r="X483" s="361"/>
      <c r="Y483" s="957"/>
      <c r="Z483" s="957"/>
      <c r="AA483" s="957"/>
      <c r="AB483" s="957"/>
      <c r="AC483" s="957"/>
      <c r="AD483" s="361"/>
    </row>
    <row r="484" spans="2:30" s="349" customFormat="1" ht="20.100000000000001" customHeight="1">
      <c r="B484" s="361"/>
      <c r="C484" s="361"/>
      <c r="D484" s="361"/>
      <c r="E484" s="361"/>
      <c r="F484" s="361"/>
      <c r="G484" s="361"/>
      <c r="H484" s="361"/>
      <c r="I484" s="361"/>
      <c r="J484" s="361"/>
      <c r="K484" s="361"/>
      <c r="L484" s="361"/>
      <c r="M484" s="361"/>
      <c r="N484" s="361"/>
      <c r="O484" s="361"/>
      <c r="P484" s="361"/>
      <c r="Q484" s="361"/>
      <c r="R484" s="361"/>
      <c r="S484" s="361"/>
      <c r="T484" s="361"/>
      <c r="U484" s="361"/>
      <c r="V484" s="361"/>
      <c r="W484" s="361"/>
      <c r="X484" s="361"/>
      <c r="Y484" s="957"/>
      <c r="Z484" s="957"/>
      <c r="AA484" s="957"/>
      <c r="AB484" s="957"/>
      <c r="AC484" s="957"/>
      <c r="AD484" s="361"/>
    </row>
    <row r="485" spans="2:30" s="349" customFormat="1" ht="20.100000000000001" customHeight="1">
      <c r="B485" s="361"/>
      <c r="C485" s="361"/>
      <c r="D485" s="361"/>
      <c r="E485" s="361"/>
      <c r="F485" s="361"/>
      <c r="G485" s="361"/>
      <c r="H485" s="361"/>
      <c r="I485" s="361"/>
      <c r="J485" s="361"/>
      <c r="K485" s="361"/>
      <c r="L485" s="361"/>
      <c r="M485" s="361"/>
      <c r="N485" s="361"/>
      <c r="O485" s="361"/>
      <c r="P485" s="361"/>
      <c r="Q485" s="361"/>
      <c r="R485" s="361"/>
      <c r="S485" s="361"/>
      <c r="T485" s="361"/>
      <c r="U485" s="361"/>
      <c r="V485" s="361"/>
      <c r="W485" s="361"/>
      <c r="X485" s="361"/>
      <c r="Y485" s="957"/>
      <c r="Z485" s="957"/>
      <c r="AA485" s="957"/>
      <c r="AB485" s="957"/>
      <c r="AC485" s="957"/>
      <c r="AD485" s="361"/>
    </row>
    <row r="486" spans="2:30" s="349" customFormat="1" ht="20.100000000000001" customHeight="1">
      <c r="B486" s="361"/>
      <c r="C486" s="361"/>
      <c r="D486" s="361"/>
      <c r="E486" s="361"/>
      <c r="F486" s="361"/>
      <c r="G486" s="361"/>
      <c r="H486" s="361"/>
      <c r="I486" s="361"/>
      <c r="J486" s="361"/>
      <c r="K486" s="361"/>
      <c r="L486" s="361"/>
      <c r="M486" s="361"/>
      <c r="N486" s="361"/>
      <c r="O486" s="361"/>
      <c r="P486" s="361"/>
      <c r="Q486" s="361"/>
      <c r="R486" s="361"/>
      <c r="S486" s="361"/>
      <c r="T486" s="361"/>
      <c r="U486" s="361"/>
      <c r="V486" s="361"/>
      <c r="W486" s="361"/>
      <c r="X486" s="361"/>
      <c r="Y486" s="957"/>
      <c r="Z486" s="957"/>
      <c r="AA486" s="957"/>
      <c r="AB486" s="957"/>
      <c r="AC486" s="957"/>
      <c r="AD486" s="361"/>
    </row>
    <row r="487" spans="2:30" s="349" customFormat="1" ht="20.100000000000001" customHeight="1">
      <c r="B487" s="361"/>
      <c r="C487" s="361"/>
      <c r="D487" s="361"/>
      <c r="E487" s="361"/>
      <c r="F487" s="361"/>
      <c r="G487" s="361"/>
      <c r="H487" s="361"/>
      <c r="I487" s="361"/>
      <c r="J487" s="361"/>
      <c r="K487" s="361"/>
      <c r="L487" s="361"/>
      <c r="M487" s="361"/>
      <c r="N487" s="361"/>
      <c r="O487" s="361"/>
      <c r="P487" s="361"/>
      <c r="Q487" s="361"/>
      <c r="R487" s="361"/>
      <c r="S487" s="361"/>
      <c r="T487" s="361"/>
      <c r="U487" s="361"/>
      <c r="V487" s="361"/>
      <c r="W487" s="361"/>
      <c r="X487" s="361"/>
      <c r="Y487" s="957"/>
      <c r="Z487" s="957"/>
      <c r="AA487" s="957"/>
      <c r="AB487" s="957"/>
      <c r="AC487" s="957"/>
      <c r="AD487" s="361"/>
    </row>
    <row r="488" spans="2:30" s="349" customFormat="1" ht="20.100000000000001" customHeight="1">
      <c r="B488" s="361"/>
      <c r="C488" s="361"/>
      <c r="D488" s="361"/>
      <c r="E488" s="361"/>
      <c r="F488" s="361"/>
      <c r="G488" s="361"/>
      <c r="H488" s="361"/>
      <c r="I488" s="361"/>
      <c r="J488" s="361"/>
      <c r="K488" s="361"/>
      <c r="L488" s="361"/>
      <c r="M488" s="361"/>
      <c r="N488" s="361"/>
      <c r="O488" s="361"/>
      <c r="P488" s="361"/>
      <c r="Q488" s="361"/>
      <c r="R488" s="361"/>
      <c r="S488" s="361"/>
      <c r="T488" s="361"/>
      <c r="U488" s="361"/>
      <c r="V488" s="361"/>
      <c r="W488" s="361"/>
      <c r="X488" s="361"/>
      <c r="Y488" s="957"/>
      <c r="Z488" s="957"/>
      <c r="AA488" s="957"/>
      <c r="AB488" s="957"/>
      <c r="AC488" s="957"/>
      <c r="AD488" s="361"/>
    </row>
    <row r="489" spans="2:30" s="349" customFormat="1" ht="20.100000000000001" customHeight="1">
      <c r="B489" s="361"/>
      <c r="C489" s="361"/>
      <c r="D489" s="361"/>
      <c r="E489" s="361"/>
      <c r="F489" s="361"/>
      <c r="G489" s="361"/>
      <c r="H489" s="361"/>
      <c r="I489" s="361"/>
      <c r="J489" s="361"/>
      <c r="K489" s="361"/>
      <c r="L489" s="361"/>
      <c r="M489" s="361"/>
      <c r="N489" s="361"/>
      <c r="O489" s="361"/>
      <c r="P489" s="361"/>
      <c r="Q489" s="361"/>
      <c r="R489" s="361"/>
      <c r="S489" s="361"/>
      <c r="T489" s="361"/>
      <c r="U489" s="361"/>
      <c r="V489" s="361"/>
      <c r="W489" s="361"/>
      <c r="X489" s="361"/>
      <c r="Y489" s="957"/>
      <c r="Z489" s="957"/>
      <c r="AA489" s="957"/>
      <c r="AB489" s="957"/>
      <c r="AC489" s="957"/>
      <c r="AD489" s="361"/>
    </row>
    <row r="490" spans="2:30" s="349" customFormat="1" ht="20.100000000000001" customHeight="1">
      <c r="B490" s="361"/>
      <c r="C490" s="361"/>
      <c r="D490" s="361"/>
      <c r="E490" s="361"/>
      <c r="F490" s="361"/>
      <c r="G490" s="361"/>
      <c r="H490" s="361"/>
      <c r="I490" s="361"/>
      <c r="J490" s="361"/>
      <c r="K490" s="361"/>
      <c r="L490" s="361"/>
      <c r="M490" s="361"/>
      <c r="N490" s="361"/>
      <c r="O490" s="361"/>
      <c r="P490" s="361"/>
      <c r="Q490" s="361"/>
      <c r="R490" s="361"/>
      <c r="S490" s="361"/>
      <c r="T490" s="361"/>
      <c r="U490" s="361"/>
      <c r="V490" s="361"/>
      <c r="W490" s="361"/>
      <c r="X490" s="361"/>
      <c r="Y490" s="957"/>
      <c r="Z490" s="957"/>
      <c r="AA490" s="957"/>
      <c r="AB490" s="957"/>
      <c r="AC490" s="957"/>
      <c r="AD490" s="361"/>
    </row>
    <row r="491" spans="2:30" s="349" customFormat="1" ht="20.100000000000001" customHeight="1">
      <c r="B491" s="361"/>
      <c r="C491" s="361"/>
      <c r="D491" s="361"/>
      <c r="E491" s="361"/>
      <c r="F491" s="361"/>
      <c r="G491" s="361"/>
      <c r="H491" s="361"/>
      <c r="I491" s="361"/>
      <c r="J491" s="361"/>
      <c r="K491" s="361"/>
      <c r="L491" s="361"/>
      <c r="M491" s="361"/>
      <c r="N491" s="361"/>
      <c r="O491" s="361"/>
      <c r="P491" s="361"/>
      <c r="Q491" s="361"/>
      <c r="R491" s="361"/>
      <c r="S491" s="361"/>
      <c r="T491" s="361"/>
      <c r="U491" s="361"/>
      <c r="V491" s="361"/>
      <c r="W491" s="361"/>
      <c r="X491" s="361"/>
      <c r="Y491" s="957"/>
      <c r="Z491" s="957"/>
      <c r="AA491" s="957"/>
      <c r="AB491" s="957"/>
      <c r="AC491" s="957"/>
      <c r="AD491" s="361"/>
    </row>
    <row r="492" spans="2:30" s="349" customFormat="1" ht="20.100000000000001" customHeight="1">
      <c r="B492" s="361"/>
      <c r="C492" s="361"/>
      <c r="D492" s="361"/>
      <c r="E492" s="361"/>
      <c r="F492" s="361"/>
      <c r="G492" s="361"/>
      <c r="H492" s="361"/>
      <c r="I492" s="361"/>
      <c r="J492" s="361"/>
      <c r="K492" s="361"/>
      <c r="L492" s="361"/>
      <c r="M492" s="361"/>
      <c r="N492" s="361"/>
      <c r="O492" s="361"/>
      <c r="P492" s="361"/>
      <c r="Q492" s="361"/>
      <c r="R492" s="361"/>
      <c r="S492" s="361"/>
      <c r="T492" s="361"/>
      <c r="U492" s="361"/>
      <c r="V492" s="361"/>
      <c r="W492" s="361"/>
      <c r="X492" s="361"/>
      <c r="Y492" s="957"/>
      <c r="Z492" s="957"/>
      <c r="AA492" s="957"/>
      <c r="AB492" s="957"/>
      <c r="AC492" s="957"/>
      <c r="AD492" s="361"/>
    </row>
    <row r="493" spans="2:30" s="349" customFormat="1" ht="20.100000000000001" customHeight="1">
      <c r="B493" s="361"/>
      <c r="C493" s="361"/>
      <c r="D493" s="361"/>
      <c r="E493" s="361"/>
      <c r="F493" s="361"/>
      <c r="G493" s="361"/>
      <c r="H493" s="361"/>
      <c r="I493" s="361"/>
      <c r="J493" s="361"/>
      <c r="K493" s="361"/>
      <c r="L493" s="361"/>
      <c r="M493" s="361"/>
      <c r="N493" s="361"/>
      <c r="O493" s="361"/>
      <c r="P493" s="361"/>
      <c r="Q493" s="361"/>
      <c r="R493" s="361"/>
      <c r="S493" s="361"/>
      <c r="T493" s="361"/>
      <c r="U493" s="361"/>
      <c r="V493" s="361"/>
      <c r="W493" s="361"/>
      <c r="X493" s="361"/>
      <c r="Y493" s="957"/>
      <c r="Z493" s="957"/>
      <c r="AA493" s="957"/>
      <c r="AB493" s="957"/>
      <c r="AC493" s="957"/>
      <c r="AD493" s="361"/>
    </row>
    <row r="494" spans="2:30" s="349" customFormat="1" ht="20.100000000000001" customHeight="1">
      <c r="B494" s="361"/>
      <c r="C494" s="361"/>
      <c r="D494" s="361"/>
      <c r="E494" s="361"/>
      <c r="F494" s="361"/>
      <c r="G494" s="361"/>
      <c r="H494" s="361"/>
      <c r="I494" s="361"/>
      <c r="J494" s="361"/>
      <c r="K494" s="361"/>
      <c r="L494" s="361"/>
      <c r="M494" s="361"/>
      <c r="N494" s="361"/>
      <c r="O494" s="361"/>
      <c r="P494" s="361"/>
      <c r="Q494" s="361"/>
      <c r="R494" s="361"/>
      <c r="S494" s="361"/>
      <c r="T494" s="361"/>
      <c r="U494" s="361"/>
      <c r="V494" s="361"/>
      <c r="W494" s="361"/>
      <c r="X494" s="361"/>
      <c r="Y494" s="957"/>
      <c r="Z494" s="957"/>
      <c r="AA494" s="957"/>
      <c r="AB494" s="957"/>
      <c r="AC494" s="957"/>
      <c r="AD494" s="361"/>
    </row>
    <row r="495" spans="2:30" s="349" customFormat="1" ht="20.100000000000001" customHeight="1">
      <c r="B495" s="361"/>
      <c r="C495" s="361"/>
      <c r="D495" s="361"/>
      <c r="E495" s="361"/>
      <c r="F495" s="361"/>
      <c r="G495" s="361"/>
      <c r="H495" s="361"/>
      <c r="I495" s="361"/>
      <c r="J495" s="361"/>
      <c r="K495" s="361"/>
      <c r="L495" s="361"/>
      <c r="M495" s="361"/>
      <c r="N495" s="361"/>
      <c r="O495" s="361"/>
      <c r="P495" s="361"/>
      <c r="Q495" s="361"/>
      <c r="R495" s="361"/>
      <c r="S495" s="361"/>
      <c r="T495" s="361"/>
      <c r="U495" s="361"/>
      <c r="V495" s="361"/>
      <c r="W495" s="361"/>
      <c r="X495" s="361"/>
      <c r="Y495" s="957"/>
      <c r="Z495" s="957"/>
      <c r="AA495" s="957"/>
      <c r="AB495" s="957"/>
      <c r="AC495" s="957"/>
      <c r="AD495" s="361"/>
    </row>
    <row r="496" spans="2:30" s="349" customFormat="1" ht="20.100000000000001" customHeight="1">
      <c r="B496" s="361"/>
      <c r="C496" s="361"/>
      <c r="D496" s="361"/>
      <c r="E496" s="361"/>
      <c r="F496" s="361"/>
      <c r="G496" s="361"/>
      <c r="H496" s="361"/>
      <c r="I496" s="361"/>
      <c r="J496" s="361"/>
      <c r="K496" s="361"/>
      <c r="L496" s="361"/>
      <c r="M496" s="361"/>
      <c r="N496" s="361"/>
      <c r="O496" s="361"/>
      <c r="P496" s="361"/>
      <c r="Q496" s="361"/>
      <c r="R496" s="361"/>
      <c r="S496" s="361"/>
      <c r="T496" s="361"/>
      <c r="U496" s="361"/>
      <c r="V496" s="361"/>
      <c r="W496" s="361"/>
      <c r="X496" s="361"/>
      <c r="Y496" s="957"/>
      <c r="Z496" s="957"/>
      <c r="AA496" s="957"/>
      <c r="AB496" s="957"/>
      <c r="AC496" s="957"/>
      <c r="AD496" s="361"/>
    </row>
    <row r="497" spans="2:30" s="349" customFormat="1" ht="20.100000000000001" customHeight="1">
      <c r="B497" s="361"/>
      <c r="C497" s="361"/>
      <c r="D497" s="361"/>
      <c r="E497" s="361"/>
      <c r="F497" s="361"/>
      <c r="G497" s="361"/>
      <c r="H497" s="361"/>
      <c r="I497" s="361"/>
      <c r="J497" s="361"/>
      <c r="K497" s="361"/>
      <c r="L497" s="361"/>
      <c r="M497" s="361"/>
      <c r="N497" s="361"/>
      <c r="O497" s="361"/>
      <c r="P497" s="361"/>
      <c r="Q497" s="361"/>
      <c r="R497" s="361"/>
      <c r="S497" s="361"/>
      <c r="T497" s="361"/>
      <c r="U497" s="361"/>
      <c r="V497" s="361"/>
      <c r="W497" s="361"/>
      <c r="X497" s="361"/>
      <c r="Y497" s="957"/>
      <c r="Z497" s="957"/>
      <c r="AA497" s="957"/>
      <c r="AB497" s="957"/>
      <c r="AC497" s="957"/>
      <c r="AD497" s="361"/>
    </row>
    <row r="498" spans="2:30" s="349" customFormat="1" ht="20.100000000000001" customHeight="1">
      <c r="B498" s="361"/>
      <c r="C498" s="361"/>
      <c r="D498" s="361"/>
      <c r="E498" s="361"/>
      <c r="F498" s="361"/>
      <c r="G498" s="361"/>
      <c r="H498" s="361"/>
      <c r="I498" s="361"/>
      <c r="J498" s="361"/>
      <c r="K498" s="361"/>
      <c r="L498" s="361"/>
      <c r="M498" s="361"/>
      <c r="N498" s="361"/>
      <c r="O498" s="361"/>
      <c r="P498" s="361"/>
      <c r="Q498" s="361"/>
      <c r="R498" s="361"/>
      <c r="S498" s="361"/>
      <c r="T498" s="361"/>
      <c r="U498" s="361"/>
      <c r="V498" s="361"/>
      <c r="W498" s="361"/>
      <c r="X498" s="361"/>
      <c r="Y498" s="957"/>
      <c r="Z498" s="957"/>
      <c r="AA498" s="957"/>
      <c r="AB498" s="957"/>
      <c r="AC498" s="957"/>
      <c r="AD498" s="361"/>
    </row>
    <row r="499" spans="2:30" ht="20.100000000000001" customHeight="1"/>
    <row r="500" spans="2:30" ht="9.9499999999999993" customHeight="1"/>
    <row r="501" spans="2:30" ht="20.100000000000001" customHeight="1"/>
    <row r="502" spans="2:30" ht="20.100000000000001" customHeight="1"/>
    <row r="503" spans="2:30" ht="20.100000000000001" customHeight="1"/>
    <row r="504" spans="2:30" s="349" customFormat="1" ht="20.100000000000001" customHeight="1">
      <c r="B504" s="361"/>
      <c r="C504" s="361"/>
      <c r="D504" s="361"/>
      <c r="E504" s="361"/>
      <c r="F504" s="361"/>
      <c r="G504" s="361"/>
      <c r="H504" s="361"/>
      <c r="I504" s="361"/>
      <c r="J504" s="361"/>
      <c r="K504" s="361"/>
      <c r="L504" s="361"/>
      <c r="M504" s="361"/>
      <c r="N504" s="361"/>
      <c r="O504" s="361"/>
      <c r="P504" s="361"/>
      <c r="Q504" s="361"/>
      <c r="R504" s="361"/>
      <c r="S504" s="361"/>
      <c r="T504" s="361"/>
      <c r="U504" s="361"/>
      <c r="V504" s="361"/>
      <c r="W504" s="361"/>
      <c r="X504" s="361"/>
      <c r="Y504" s="957"/>
      <c r="Z504" s="957"/>
      <c r="AA504" s="957"/>
      <c r="AB504" s="957"/>
      <c r="AC504" s="957"/>
      <c r="AD504" s="361"/>
    </row>
    <row r="505" spans="2:30" s="349" customFormat="1" ht="20.100000000000001" customHeight="1">
      <c r="B505" s="361"/>
      <c r="C505" s="361"/>
      <c r="D505" s="361"/>
      <c r="E505" s="361"/>
      <c r="F505" s="361"/>
      <c r="G505" s="361"/>
      <c r="H505" s="361"/>
      <c r="I505" s="361"/>
      <c r="J505" s="361"/>
      <c r="K505" s="361"/>
      <c r="L505" s="361"/>
      <c r="M505" s="361"/>
      <c r="N505" s="361"/>
      <c r="O505" s="361"/>
      <c r="P505" s="361"/>
      <c r="Q505" s="361"/>
      <c r="R505" s="361"/>
      <c r="S505" s="361"/>
      <c r="T505" s="361"/>
      <c r="U505" s="361"/>
      <c r="V505" s="361"/>
      <c r="W505" s="361"/>
      <c r="X505" s="361"/>
      <c r="Y505" s="957"/>
      <c r="Z505" s="957"/>
      <c r="AA505" s="957"/>
      <c r="AB505" s="957"/>
      <c r="AC505" s="957"/>
      <c r="AD505" s="361"/>
    </row>
    <row r="506" spans="2:30" s="349" customFormat="1" ht="20.100000000000001" customHeight="1">
      <c r="B506" s="361"/>
      <c r="C506" s="361"/>
      <c r="D506" s="361"/>
      <c r="E506" s="361"/>
      <c r="F506" s="361"/>
      <c r="G506" s="361"/>
      <c r="H506" s="361"/>
      <c r="I506" s="361"/>
      <c r="J506" s="361"/>
      <c r="K506" s="361"/>
      <c r="L506" s="361"/>
      <c r="M506" s="361"/>
      <c r="N506" s="361"/>
      <c r="O506" s="361"/>
      <c r="P506" s="361"/>
      <c r="Q506" s="361"/>
      <c r="R506" s="361"/>
      <c r="S506" s="361"/>
      <c r="T506" s="361"/>
      <c r="U506" s="361"/>
      <c r="V506" s="361"/>
      <c r="W506" s="361"/>
      <c r="X506" s="361"/>
      <c r="Y506" s="957"/>
      <c r="Z506" s="957"/>
      <c r="AA506" s="957"/>
      <c r="AB506" s="957"/>
      <c r="AC506" s="957"/>
      <c r="AD506" s="361"/>
    </row>
    <row r="507" spans="2:30" s="349" customFormat="1" ht="20.100000000000001" customHeight="1">
      <c r="B507" s="361"/>
      <c r="C507" s="361"/>
      <c r="D507" s="361"/>
      <c r="E507" s="361"/>
      <c r="F507" s="361"/>
      <c r="G507" s="361"/>
      <c r="H507" s="361"/>
      <c r="I507" s="361"/>
      <c r="J507" s="361"/>
      <c r="K507" s="361"/>
      <c r="L507" s="361"/>
      <c r="M507" s="361"/>
      <c r="N507" s="361"/>
      <c r="O507" s="361"/>
      <c r="P507" s="361"/>
      <c r="Q507" s="361"/>
      <c r="R507" s="361"/>
      <c r="S507" s="361"/>
      <c r="T507" s="361"/>
      <c r="U507" s="361"/>
      <c r="V507" s="361"/>
      <c r="W507" s="361"/>
      <c r="X507" s="361"/>
      <c r="Y507" s="957"/>
      <c r="Z507" s="957"/>
      <c r="AA507" s="957"/>
      <c r="AB507" s="957"/>
      <c r="AC507" s="957"/>
      <c r="AD507" s="361"/>
    </row>
    <row r="508" spans="2:30" s="349" customFormat="1" ht="20.100000000000001" customHeight="1">
      <c r="B508" s="361"/>
      <c r="C508" s="361"/>
      <c r="D508" s="361"/>
      <c r="E508" s="361"/>
      <c r="F508" s="361"/>
      <c r="G508" s="361"/>
      <c r="H508" s="361"/>
      <c r="I508" s="361"/>
      <c r="J508" s="361"/>
      <c r="K508" s="361"/>
      <c r="L508" s="361"/>
      <c r="M508" s="361"/>
      <c r="N508" s="361"/>
      <c r="O508" s="361"/>
      <c r="P508" s="361"/>
      <c r="Q508" s="361"/>
      <c r="R508" s="361"/>
      <c r="S508" s="361"/>
      <c r="T508" s="361"/>
      <c r="U508" s="361"/>
      <c r="V508" s="361"/>
      <c r="W508" s="361"/>
      <c r="X508" s="361"/>
      <c r="Y508" s="957"/>
      <c r="Z508" s="957"/>
      <c r="AA508" s="957"/>
      <c r="AB508" s="957"/>
      <c r="AC508" s="957"/>
      <c r="AD508" s="361"/>
    </row>
    <row r="509" spans="2:30" s="349" customFormat="1" ht="20.100000000000001" customHeight="1">
      <c r="B509" s="361"/>
      <c r="C509" s="361"/>
      <c r="D509" s="361"/>
      <c r="E509" s="361"/>
      <c r="F509" s="361"/>
      <c r="G509" s="361"/>
      <c r="H509" s="361"/>
      <c r="I509" s="361"/>
      <c r="J509" s="361"/>
      <c r="K509" s="361"/>
      <c r="L509" s="361"/>
      <c r="M509" s="361"/>
      <c r="N509" s="361"/>
      <c r="O509" s="361"/>
      <c r="P509" s="361"/>
      <c r="Q509" s="361"/>
      <c r="R509" s="361"/>
      <c r="S509" s="361"/>
      <c r="T509" s="361"/>
      <c r="U509" s="361"/>
      <c r="V509" s="361"/>
      <c r="W509" s="361"/>
      <c r="X509" s="361"/>
      <c r="Y509" s="957"/>
      <c r="Z509" s="957"/>
      <c r="AA509" s="957"/>
      <c r="AB509" s="957"/>
      <c r="AC509" s="957"/>
      <c r="AD509" s="361"/>
    </row>
    <row r="510" spans="2:30" s="349" customFormat="1" ht="20.100000000000001" customHeight="1">
      <c r="B510" s="361"/>
      <c r="C510" s="361"/>
      <c r="D510" s="361"/>
      <c r="E510" s="361"/>
      <c r="F510" s="361"/>
      <c r="G510" s="361"/>
      <c r="H510" s="361"/>
      <c r="I510" s="361"/>
      <c r="J510" s="361"/>
      <c r="K510" s="361"/>
      <c r="L510" s="361"/>
      <c r="M510" s="361"/>
      <c r="N510" s="361"/>
      <c r="O510" s="361"/>
      <c r="P510" s="361"/>
      <c r="Q510" s="361"/>
      <c r="R510" s="361"/>
      <c r="S510" s="361"/>
      <c r="T510" s="361"/>
      <c r="U510" s="361"/>
      <c r="V510" s="361"/>
      <c r="W510" s="361"/>
      <c r="X510" s="361"/>
      <c r="Y510" s="957"/>
      <c r="Z510" s="957"/>
      <c r="AA510" s="957"/>
      <c r="AB510" s="957"/>
      <c r="AC510" s="957"/>
      <c r="AD510" s="361"/>
    </row>
    <row r="511" spans="2:30" s="349" customFormat="1" ht="20.100000000000001" customHeight="1">
      <c r="B511" s="361"/>
      <c r="C511" s="361"/>
      <c r="D511" s="361"/>
      <c r="E511" s="361"/>
      <c r="F511" s="361"/>
      <c r="G511" s="361"/>
      <c r="H511" s="361"/>
      <c r="I511" s="361"/>
      <c r="J511" s="361"/>
      <c r="K511" s="361"/>
      <c r="L511" s="361"/>
      <c r="M511" s="361"/>
      <c r="N511" s="361"/>
      <c r="O511" s="361"/>
      <c r="P511" s="361"/>
      <c r="Q511" s="361"/>
      <c r="R511" s="361"/>
      <c r="S511" s="361"/>
      <c r="T511" s="361"/>
      <c r="U511" s="361"/>
      <c r="V511" s="361"/>
      <c r="W511" s="361"/>
      <c r="X511" s="361"/>
      <c r="Y511" s="957"/>
      <c r="Z511" s="957"/>
      <c r="AA511" s="957"/>
      <c r="AB511" s="957"/>
      <c r="AC511" s="957"/>
      <c r="AD511" s="361"/>
    </row>
    <row r="512" spans="2:30" s="349" customFormat="1" ht="20.100000000000001" customHeight="1">
      <c r="B512" s="361"/>
      <c r="C512" s="361"/>
      <c r="D512" s="361"/>
      <c r="E512" s="361"/>
      <c r="F512" s="361"/>
      <c r="G512" s="361"/>
      <c r="H512" s="361"/>
      <c r="I512" s="361"/>
      <c r="J512" s="361"/>
      <c r="K512" s="361"/>
      <c r="L512" s="361"/>
      <c r="M512" s="361"/>
      <c r="N512" s="361"/>
      <c r="O512" s="361"/>
      <c r="P512" s="361"/>
      <c r="Q512" s="361"/>
      <c r="R512" s="361"/>
      <c r="S512" s="361"/>
      <c r="T512" s="361"/>
      <c r="U512" s="361"/>
      <c r="V512" s="361"/>
      <c r="W512" s="361"/>
      <c r="X512" s="361"/>
      <c r="Y512" s="957"/>
      <c r="Z512" s="957"/>
      <c r="AA512" s="957"/>
      <c r="AB512" s="957"/>
      <c r="AC512" s="957"/>
      <c r="AD512" s="361"/>
    </row>
    <row r="513" spans="2:30" s="349" customFormat="1" ht="20.100000000000001" customHeight="1">
      <c r="B513" s="361"/>
      <c r="C513" s="361"/>
      <c r="D513" s="361"/>
      <c r="E513" s="361"/>
      <c r="F513" s="361"/>
      <c r="G513" s="361"/>
      <c r="H513" s="361"/>
      <c r="I513" s="361"/>
      <c r="J513" s="361"/>
      <c r="K513" s="361"/>
      <c r="L513" s="361"/>
      <c r="M513" s="361"/>
      <c r="N513" s="361"/>
      <c r="O513" s="361"/>
      <c r="P513" s="361"/>
      <c r="Q513" s="361"/>
      <c r="R513" s="361"/>
      <c r="S513" s="361"/>
      <c r="T513" s="361"/>
      <c r="U513" s="361"/>
      <c r="V513" s="361"/>
      <c r="W513" s="361"/>
      <c r="X513" s="361"/>
      <c r="Y513" s="957"/>
      <c r="Z513" s="957"/>
      <c r="AA513" s="957"/>
      <c r="AB513" s="957"/>
      <c r="AC513" s="957"/>
      <c r="AD513" s="361"/>
    </row>
    <row r="514" spans="2:30" s="349" customFormat="1" ht="20.100000000000001" customHeight="1">
      <c r="B514" s="361"/>
      <c r="C514" s="361"/>
      <c r="D514" s="361"/>
      <c r="E514" s="361"/>
      <c r="F514" s="361"/>
      <c r="G514" s="361"/>
      <c r="H514" s="361"/>
      <c r="I514" s="361"/>
      <c r="J514" s="361"/>
      <c r="K514" s="361"/>
      <c r="L514" s="361"/>
      <c r="M514" s="361"/>
      <c r="N514" s="361"/>
      <c r="O514" s="361"/>
      <c r="P514" s="361"/>
      <c r="Q514" s="361"/>
      <c r="R514" s="361"/>
      <c r="S514" s="361"/>
      <c r="T514" s="361"/>
      <c r="U514" s="361"/>
      <c r="V514" s="361"/>
      <c r="W514" s="361"/>
      <c r="X514" s="361"/>
      <c r="Y514" s="957"/>
      <c r="Z514" s="957"/>
      <c r="AA514" s="957"/>
      <c r="AB514" s="957"/>
      <c r="AC514" s="957"/>
      <c r="AD514" s="361"/>
    </row>
    <row r="515" spans="2:30" s="349" customFormat="1" ht="20.100000000000001" customHeight="1">
      <c r="B515" s="361"/>
      <c r="C515" s="361"/>
      <c r="D515" s="361"/>
      <c r="E515" s="361"/>
      <c r="F515" s="361"/>
      <c r="G515" s="361"/>
      <c r="H515" s="361"/>
      <c r="I515" s="361"/>
      <c r="J515" s="361"/>
      <c r="K515" s="361"/>
      <c r="L515" s="361"/>
      <c r="M515" s="361"/>
      <c r="N515" s="361"/>
      <c r="O515" s="361"/>
      <c r="P515" s="361"/>
      <c r="Q515" s="361"/>
      <c r="R515" s="361"/>
      <c r="S515" s="361"/>
      <c r="T515" s="361"/>
      <c r="U515" s="361"/>
      <c r="V515" s="361"/>
      <c r="W515" s="361"/>
      <c r="X515" s="361"/>
      <c r="Y515" s="957"/>
      <c r="Z515" s="957"/>
      <c r="AA515" s="957"/>
      <c r="AB515" s="957"/>
      <c r="AC515" s="957"/>
      <c r="AD515" s="361"/>
    </row>
    <row r="516" spans="2:30" s="349" customFormat="1" ht="20.100000000000001" customHeight="1">
      <c r="B516" s="361"/>
      <c r="C516" s="361"/>
      <c r="D516" s="361"/>
      <c r="E516" s="361"/>
      <c r="F516" s="361"/>
      <c r="G516" s="361"/>
      <c r="H516" s="361"/>
      <c r="I516" s="361"/>
      <c r="J516" s="361"/>
      <c r="K516" s="361"/>
      <c r="L516" s="361"/>
      <c r="M516" s="361"/>
      <c r="N516" s="361"/>
      <c r="O516" s="361"/>
      <c r="P516" s="361"/>
      <c r="Q516" s="361"/>
      <c r="R516" s="361"/>
      <c r="S516" s="361"/>
      <c r="T516" s="361"/>
      <c r="U516" s="361"/>
      <c r="V516" s="361"/>
      <c r="W516" s="361"/>
      <c r="X516" s="361"/>
      <c r="Y516" s="957"/>
      <c r="Z516" s="957"/>
      <c r="AA516" s="957"/>
      <c r="AB516" s="957"/>
      <c r="AC516" s="957"/>
      <c r="AD516" s="361"/>
    </row>
    <row r="517" spans="2:30" s="349" customFormat="1" ht="20.100000000000001" customHeight="1">
      <c r="B517" s="361"/>
      <c r="C517" s="361"/>
      <c r="D517" s="361"/>
      <c r="E517" s="361"/>
      <c r="F517" s="361"/>
      <c r="G517" s="361"/>
      <c r="H517" s="361"/>
      <c r="I517" s="361"/>
      <c r="J517" s="361"/>
      <c r="K517" s="361"/>
      <c r="L517" s="361"/>
      <c r="M517" s="361"/>
      <c r="N517" s="361"/>
      <c r="O517" s="361"/>
      <c r="P517" s="361"/>
      <c r="Q517" s="361"/>
      <c r="R517" s="361"/>
      <c r="S517" s="361"/>
      <c r="T517" s="361"/>
      <c r="U517" s="361"/>
      <c r="V517" s="361"/>
      <c r="W517" s="361"/>
      <c r="X517" s="361"/>
      <c r="Y517" s="957"/>
      <c r="Z517" s="957"/>
      <c r="AA517" s="957"/>
      <c r="AB517" s="957"/>
      <c r="AC517" s="957"/>
      <c r="AD517" s="361"/>
    </row>
    <row r="518" spans="2:30" s="349" customFormat="1" ht="20.100000000000001" customHeight="1">
      <c r="B518" s="361"/>
      <c r="C518" s="361"/>
      <c r="D518" s="361"/>
      <c r="E518" s="361"/>
      <c r="F518" s="361"/>
      <c r="G518" s="361"/>
      <c r="H518" s="361"/>
      <c r="I518" s="361"/>
      <c r="J518" s="361"/>
      <c r="K518" s="361"/>
      <c r="L518" s="361"/>
      <c r="M518" s="361"/>
      <c r="N518" s="361"/>
      <c r="O518" s="361"/>
      <c r="P518" s="361"/>
      <c r="Q518" s="361"/>
      <c r="R518" s="361"/>
      <c r="S518" s="361"/>
      <c r="T518" s="361"/>
      <c r="U518" s="361"/>
      <c r="V518" s="361"/>
      <c r="W518" s="361"/>
      <c r="X518" s="361"/>
      <c r="Y518" s="957"/>
      <c r="Z518" s="957"/>
      <c r="AA518" s="957"/>
      <c r="AB518" s="957"/>
      <c r="AC518" s="957"/>
      <c r="AD518" s="361"/>
    </row>
    <row r="519" spans="2:30" s="349" customFormat="1" ht="20.100000000000001" customHeight="1">
      <c r="B519" s="361"/>
      <c r="C519" s="361"/>
      <c r="D519" s="361"/>
      <c r="E519" s="361"/>
      <c r="F519" s="361"/>
      <c r="G519" s="361"/>
      <c r="H519" s="361"/>
      <c r="I519" s="361"/>
      <c r="J519" s="361"/>
      <c r="K519" s="361"/>
      <c r="L519" s="361"/>
      <c r="M519" s="361"/>
      <c r="N519" s="361"/>
      <c r="O519" s="361"/>
      <c r="P519" s="361"/>
      <c r="Q519" s="361"/>
      <c r="R519" s="361"/>
      <c r="S519" s="361"/>
      <c r="T519" s="361"/>
      <c r="U519" s="361"/>
      <c r="V519" s="361"/>
      <c r="W519" s="361"/>
      <c r="X519" s="361"/>
      <c r="Y519" s="957"/>
      <c r="Z519" s="957"/>
      <c r="AA519" s="957"/>
      <c r="AB519" s="957"/>
      <c r="AC519" s="957"/>
      <c r="AD519" s="361"/>
    </row>
    <row r="520" spans="2:30" s="349" customFormat="1" ht="20.100000000000001" customHeight="1">
      <c r="B520" s="361"/>
      <c r="C520" s="361"/>
      <c r="D520" s="361"/>
      <c r="E520" s="361"/>
      <c r="F520" s="361"/>
      <c r="G520" s="361"/>
      <c r="H520" s="361"/>
      <c r="I520" s="361"/>
      <c r="J520" s="361"/>
      <c r="K520" s="361"/>
      <c r="L520" s="361"/>
      <c r="M520" s="361"/>
      <c r="N520" s="361"/>
      <c r="O520" s="361"/>
      <c r="P520" s="361"/>
      <c r="Q520" s="361"/>
      <c r="R520" s="361"/>
      <c r="S520" s="361"/>
      <c r="T520" s="361"/>
      <c r="U520" s="361"/>
      <c r="V520" s="361"/>
      <c r="W520" s="361"/>
      <c r="X520" s="361"/>
      <c r="Y520" s="957"/>
      <c r="Z520" s="957"/>
      <c r="AA520" s="957"/>
      <c r="AB520" s="957"/>
      <c r="AC520" s="957"/>
      <c r="AD520" s="361"/>
    </row>
    <row r="521" spans="2:30" s="349" customFormat="1" ht="20.100000000000001" customHeight="1">
      <c r="B521" s="361"/>
      <c r="C521" s="361"/>
      <c r="D521" s="361"/>
      <c r="E521" s="361"/>
      <c r="F521" s="361"/>
      <c r="G521" s="361"/>
      <c r="H521" s="361"/>
      <c r="I521" s="361"/>
      <c r="J521" s="361"/>
      <c r="K521" s="361"/>
      <c r="L521" s="361"/>
      <c r="M521" s="361"/>
      <c r="N521" s="361"/>
      <c r="O521" s="361"/>
      <c r="P521" s="361"/>
      <c r="Q521" s="361"/>
      <c r="R521" s="361"/>
      <c r="S521" s="361"/>
      <c r="T521" s="361"/>
      <c r="U521" s="361"/>
      <c r="V521" s="361"/>
      <c r="W521" s="361"/>
      <c r="X521" s="361"/>
      <c r="Y521" s="957"/>
      <c r="Z521" s="957"/>
      <c r="AA521" s="957"/>
      <c r="AB521" s="957"/>
      <c r="AC521" s="957"/>
      <c r="AD521" s="361"/>
    </row>
    <row r="522" spans="2:30" s="349" customFormat="1" ht="20.100000000000001" customHeight="1">
      <c r="B522" s="361"/>
      <c r="C522" s="361"/>
      <c r="D522" s="361"/>
      <c r="E522" s="361"/>
      <c r="F522" s="361"/>
      <c r="G522" s="361"/>
      <c r="H522" s="361"/>
      <c r="I522" s="361"/>
      <c r="J522" s="361"/>
      <c r="K522" s="361"/>
      <c r="L522" s="361"/>
      <c r="M522" s="361"/>
      <c r="N522" s="361"/>
      <c r="O522" s="361"/>
      <c r="P522" s="361"/>
      <c r="Q522" s="361"/>
      <c r="R522" s="361"/>
      <c r="S522" s="361"/>
      <c r="T522" s="361"/>
      <c r="U522" s="361"/>
      <c r="V522" s="361"/>
      <c r="W522" s="361"/>
      <c r="X522" s="361"/>
      <c r="Y522" s="957"/>
      <c r="Z522" s="957"/>
      <c r="AA522" s="957"/>
      <c r="AB522" s="957"/>
      <c r="AC522" s="957"/>
      <c r="AD522" s="361"/>
    </row>
    <row r="523" spans="2:30" s="349" customFormat="1" ht="20.100000000000001" customHeight="1">
      <c r="B523" s="361"/>
      <c r="C523" s="361"/>
      <c r="D523" s="361"/>
      <c r="E523" s="361"/>
      <c r="F523" s="361"/>
      <c r="G523" s="361"/>
      <c r="H523" s="361"/>
      <c r="I523" s="361"/>
      <c r="J523" s="361"/>
      <c r="K523" s="361"/>
      <c r="L523" s="361"/>
      <c r="M523" s="361"/>
      <c r="N523" s="361"/>
      <c r="O523" s="361"/>
      <c r="P523" s="361"/>
      <c r="Q523" s="361"/>
      <c r="R523" s="361"/>
      <c r="S523" s="361"/>
      <c r="T523" s="361"/>
      <c r="U523" s="361"/>
      <c r="V523" s="361"/>
      <c r="W523" s="361"/>
      <c r="X523" s="361"/>
      <c r="Y523" s="957"/>
      <c r="Z523" s="957"/>
      <c r="AA523" s="957"/>
      <c r="AB523" s="957"/>
      <c r="AC523" s="957"/>
      <c r="AD523" s="361"/>
    </row>
    <row r="524" spans="2:30" s="349" customFormat="1" ht="20.100000000000001" customHeight="1">
      <c r="B524" s="361"/>
      <c r="C524" s="361"/>
      <c r="D524" s="361"/>
      <c r="E524" s="361"/>
      <c r="F524" s="361"/>
      <c r="G524" s="361"/>
      <c r="H524" s="361"/>
      <c r="I524" s="361"/>
      <c r="J524" s="361"/>
      <c r="K524" s="361"/>
      <c r="L524" s="361"/>
      <c r="M524" s="361"/>
      <c r="N524" s="361"/>
      <c r="O524" s="361"/>
      <c r="P524" s="361"/>
      <c r="Q524" s="361"/>
      <c r="R524" s="361"/>
      <c r="S524" s="361"/>
      <c r="T524" s="361"/>
      <c r="U524" s="361"/>
      <c r="V524" s="361"/>
      <c r="W524" s="361"/>
      <c r="X524" s="361"/>
      <c r="Y524" s="957"/>
      <c r="Z524" s="957"/>
      <c r="AA524" s="957"/>
      <c r="AB524" s="957"/>
      <c r="AC524" s="957"/>
      <c r="AD524" s="361"/>
    </row>
    <row r="525" spans="2:30" s="349" customFormat="1" ht="20.100000000000001" customHeight="1">
      <c r="B525" s="361"/>
      <c r="C525" s="361"/>
      <c r="D525" s="361"/>
      <c r="E525" s="361"/>
      <c r="F525" s="361"/>
      <c r="G525" s="361"/>
      <c r="H525" s="361"/>
      <c r="I525" s="361"/>
      <c r="J525" s="361"/>
      <c r="K525" s="361"/>
      <c r="L525" s="361"/>
      <c r="M525" s="361"/>
      <c r="N525" s="361"/>
      <c r="O525" s="361"/>
      <c r="P525" s="361"/>
      <c r="Q525" s="361"/>
      <c r="R525" s="361"/>
      <c r="S525" s="361"/>
      <c r="T525" s="361"/>
      <c r="U525" s="361"/>
      <c r="V525" s="361"/>
      <c r="W525" s="361"/>
      <c r="X525" s="361"/>
      <c r="Y525" s="957"/>
      <c r="Z525" s="957"/>
      <c r="AA525" s="957"/>
      <c r="AB525" s="957"/>
      <c r="AC525" s="957"/>
      <c r="AD525" s="361"/>
    </row>
    <row r="526" spans="2:30" s="349" customFormat="1" ht="20.100000000000001" customHeight="1">
      <c r="B526" s="361"/>
      <c r="C526" s="361"/>
      <c r="D526" s="361"/>
      <c r="E526" s="361"/>
      <c r="F526" s="361"/>
      <c r="G526" s="361"/>
      <c r="H526" s="361"/>
      <c r="I526" s="361"/>
      <c r="J526" s="361"/>
      <c r="K526" s="361"/>
      <c r="L526" s="361"/>
      <c r="M526" s="361"/>
      <c r="N526" s="361"/>
      <c r="O526" s="361"/>
      <c r="P526" s="361"/>
      <c r="Q526" s="361"/>
      <c r="R526" s="361"/>
      <c r="S526" s="361"/>
      <c r="T526" s="361"/>
      <c r="U526" s="361"/>
      <c r="V526" s="361"/>
      <c r="W526" s="361"/>
      <c r="X526" s="361"/>
      <c r="Y526" s="957"/>
      <c r="Z526" s="957"/>
      <c r="AA526" s="957"/>
      <c r="AB526" s="957"/>
      <c r="AC526" s="957"/>
      <c r="AD526" s="361"/>
    </row>
    <row r="527" spans="2:30" s="349" customFormat="1" ht="20.100000000000001" customHeight="1">
      <c r="B527" s="361"/>
      <c r="C527" s="361"/>
      <c r="D527" s="361"/>
      <c r="E527" s="361"/>
      <c r="F527" s="361"/>
      <c r="G527" s="361"/>
      <c r="H527" s="361"/>
      <c r="I527" s="361"/>
      <c r="J527" s="361"/>
      <c r="K527" s="361"/>
      <c r="L527" s="361"/>
      <c r="M527" s="361"/>
      <c r="N527" s="361"/>
      <c r="O527" s="361"/>
      <c r="P527" s="361"/>
      <c r="Q527" s="361"/>
      <c r="R527" s="361"/>
      <c r="S527" s="361"/>
      <c r="T527" s="361"/>
      <c r="U527" s="361"/>
      <c r="V527" s="361"/>
      <c r="W527" s="361"/>
      <c r="X527" s="361"/>
      <c r="Y527" s="957"/>
      <c r="Z527" s="957"/>
      <c r="AA527" s="957"/>
      <c r="AB527" s="957"/>
      <c r="AC527" s="957"/>
      <c r="AD527" s="361"/>
    </row>
    <row r="528" spans="2:30" s="349" customFormat="1" ht="20.100000000000001" customHeight="1">
      <c r="B528" s="361"/>
      <c r="C528" s="361"/>
      <c r="D528" s="361"/>
      <c r="E528" s="361"/>
      <c r="F528" s="361"/>
      <c r="G528" s="361"/>
      <c r="H528" s="361"/>
      <c r="I528" s="361"/>
      <c r="J528" s="361"/>
      <c r="K528" s="361"/>
      <c r="L528" s="361"/>
      <c r="M528" s="361"/>
      <c r="N528" s="361"/>
      <c r="O528" s="361"/>
      <c r="P528" s="361"/>
      <c r="Q528" s="361"/>
      <c r="R528" s="361"/>
      <c r="S528" s="361"/>
      <c r="T528" s="361"/>
      <c r="U528" s="361"/>
      <c r="V528" s="361"/>
      <c r="W528" s="361"/>
      <c r="X528" s="361"/>
      <c r="Y528" s="957"/>
      <c r="Z528" s="957"/>
      <c r="AA528" s="957"/>
      <c r="AB528" s="957"/>
      <c r="AC528" s="957"/>
      <c r="AD528" s="361"/>
    </row>
    <row r="529" spans="2:30" s="349" customFormat="1" ht="20.100000000000001" customHeight="1">
      <c r="B529" s="361"/>
      <c r="C529" s="361"/>
      <c r="D529" s="361"/>
      <c r="E529" s="361"/>
      <c r="F529" s="361"/>
      <c r="G529" s="361"/>
      <c r="H529" s="361"/>
      <c r="I529" s="361"/>
      <c r="J529" s="361"/>
      <c r="K529" s="361"/>
      <c r="L529" s="361"/>
      <c r="M529" s="361"/>
      <c r="N529" s="361"/>
      <c r="O529" s="361"/>
      <c r="P529" s="361"/>
      <c r="Q529" s="361"/>
      <c r="R529" s="361"/>
      <c r="S529" s="361"/>
      <c r="T529" s="361"/>
      <c r="U529" s="361"/>
      <c r="V529" s="361"/>
      <c r="W529" s="361"/>
      <c r="X529" s="361"/>
      <c r="Y529" s="957"/>
      <c r="Z529" s="957"/>
      <c r="AA529" s="957"/>
      <c r="AB529" s="957"/>
      <c r="AC529" s="957"/>
      <c r="AD529" s="361"/>
    </row>
    <row r="530" spans="2:30" s="349" customFormat="1" ht="20.100000000000001" customHeight="1">
      <c r="B530" s="361"/>
      <c r="C530" s="361"/>
      <c r="D530" s="361"/>
      <c r="E530" s="361"/>
      <c r="F530" s="361"/>
      <c r="G530" s="361"/>
      <c r="H530" s="361"/>
      <c r="I530" s="361"/>
      <c r="J530" s="361"/>
      <c r="K530" s="361"/>
      <c r="L530" s="361"/>
      <c r="M530" s="361"/>
      <c r="N530" s="361"/>
      <c r="O530" s="361"/>
      <c r="P530" s="361"/>
      <c r="Q530" s="361"/>
      <c r="R530" s="361"/>
      <c r="S530" s="361"/>
      <c r="T530" s="361"/>
      <c r="U530" s="361"/>
      <c r="V530" s="361"/>
      <c r="W530" s="361"/>
      <c r="X530" s="361"/>
      <c r="Y530" s="957"/>
      <c r="Z530" s="957"/>
      <c r="AA530" s="957"/>
      <c r="AB530" s="957"/>
      <c r="AC530" s="957"/>
      <c r="AD530" s="361"/>
    </row>
    <row r="531" spans="2:30" s="349" customFormat="1" ht="20.100000000000001" customHeight="1">
      <c r="B531" s="361"/>
      <c r="C531" s="361"/>
      <c r="D531" s="361"/>
      <c r="E531" s="361"/>
      <c r="F531" s="361"/>
      <c r="G531" s="361"/>
      <c r="H531" s="361"/>
      <c r="I531" s="361"/>
      <c r="J531" s="361"/>
      <c r="K531" s="361"/>
      <c r="L531" s="361"/>
      <c r="M531" s="361"/>
      <c r="N531" s="361"/>
      <c r="O531" s="361"/>
      <c r="P531" s="361"/>
      <c r="Q531" s="361"/>
      <c r="R531" s="361"/>
      <c r="S531" s="361"/>
      <c r="T531" s="361"/>
      <c r="U531" s="361"/>
      <c r="V531" s="361"/>
      <c r="W531" s="361"/>
      <c r="X531" s="361"/>
      <c r="Y531" s="957"/>
      <c r="Z531" s="957"/>
      <c r="AA531" s="957"/>
      <c r="AB531" s="957"/>
      <c r="AC531" s="957"/>
      <c r="AD531" s="361"/>
    </row>
    <row r="532" spans="2:30" s="349" customFormat="1" ht="20.100000000000001" customHeight="1">
      <c r="B532" s="361"/>
      <c r="C532" s="361"/>
      <c r="D532" s="361"/>
      <c r="E532" s="361"/>
      <c r="F532" s="361"/>
      <c r="G532" s="361"/>
      <c r="H532" s="361"/>
      <c r="I532" s="361"/>
      <c r="J532" s="361"/>
      <c r="K532" s="361"/>
      <c r="L532" s="361"/>
      <c r="M532" s="361"/>
      <c r="N532" s="361"/>
      <c r="O532" s="361"/>
      <c r="P532" s="361"/>
      <c r="Q532" s="361"/>
      <c r="R532" s="361"/>
      <c r="S532" s="361"/>
      <c r="T532" s="361"/>
      <c r="U532" s="361"/>
      <c r="V532" s="361"/>
      <c r="W532" s="361"/>
      <c r="X532" s="361"/>
      <c r="Y532" s="957"/>
      <c r="Z532" s="957"/>
      <c r="AA532" s="957"/>
      <c r="AB532" s="957"/>
      <c r="AC532" s="957"/>
      <c r="AD532" s="361"/>
    </row>
    <row r="533" spans="2:30" s="349" customFormat="1" ht="20.100000000000001" customHeight="1">
      <c r="B533" s="361"/>
      <c r="C533" s="361"/>
      <c r="D533" s="361"/>
      <c r="E533" s="361"/>
      <c r="F533" s="361"/>
      <c r="G533" s="361"/>
      <c r="H533" s="361"/>
      <c r="I533" s="361"/>
      <c r="J533" s="361"/>
      <c r="K533" s="361"/>
      <c r="L533" s="361"/>
      <c r="M533" s="361"/>
      <c r="N533" s="361"/>
      <c r="O533" s="361"/>
      <c r="P533" s="361"/>
      <c r="Q533" s="361"/>
      <c r="R533" s="361"/>
      <c r="S533" s="361"/>
      <c r="T533" s="361"/>
      <c r="U533" s="361"/>
      <c r="V533" s="361"/>
      <c r="W533" s="361"/>
      <c r="X533" s="361"/>
      <c r="Y533" s="957"/>
      <c r="Z533" s="957"/>
      <c r="AA533" s="957"/>
      <c r="AB533" s="957"/>
      <c r="AC533" s="957"/>
      <c r="AD533" s="361"/>
    </row>
    <row r="534" spans="2:30" s="349" customFormat="1" ht="20.100000000000001" customHeight="1">
      <c r="B534" s="361"/>
      <c r="C534" s="361"/>
      <c r="D534" s="361"/>
      <c r="E534" s="361"/>
      <c r="F534" s="361"/>
      <c r="G534" s="361"/>
      <c r="H534" s="361"/>
      <c r="I534" s="361"/>
      <c r="J534" s="361"/>
      <c r="K534" s="361"/>
      <c r="L534" s="361"/>
      <c r="M534" s="361"/>
      <c r="N534" s="361"/>
      <c r="O534" s="361"/>
      <c r="P534" s="361"/>
      <c r="Q534" s="361"/>
      <c r="R534" s="361"/>
      <c r="S534" s="361"/>
      <c r="T534" s="361"/>
      <c r="U534" s="361"/>
      <c r="V534" s="361"/>
      <c r="W534" s="361"/>
      <c r="X534" s="361"/>
      <c r="Y534" s="957"/>
      <c r="Z534" s="957"/>
      <c r="AA534" s="957"/>
      <c r="AB534" s="957"/>
      <c r="AC534" s="957"/>
      <c r="AD534" s="361"/>
    </row>
    <row r="535" spans="2:30" s="349" customFormat="1" ht="20.100000000000001" customHeight="1">
      <c r="B535" s="361"/>
      <c r="C535" s="361"/>
      <c r="D535" s="361"/>
      <c r="E535" s="361"/>
      <c r="F535" s="361"/>
      <c r="G535" s="361"/>
      <c r="H535" s="361"/>
      <c r="I535" s="361"/>
      <c r="J535" s="361"/>
      <c r="K535" s="361"/>
      <c r="L535" s="361"/>
      <c r="M535" s="361"/>
      <c r="N535" s="361"/>
      <c r="O535" s="361"/>
      <c r="P535" s="361"/>
      <c r="Q535" s="361"/>
      <c r="R535" s="361"/>
      <c r="S535" s="361"/>
      <c r="T535" s="361"/>
      <c r="U535" s="361"/>
      <c r="V535" s="361"/>
      <c r="W535" s="361"/>
      <c r="X535" s="361"/>
      <c r="Y535" s="957"/>
      <c r="Z535" s="957"/>
      <c r="AA535" s="957"/>
      <c r="AB535" s="957"/>
      <c r="AC535" s="957"/>
      <c r="AD535" s="361"/>
    </row>
    <row r="536" spans="2:30" s="349" customFormat="1" ht="20.100000000000001" customHeight="1">
      <c r="B536" s="361"/>
      <c r="C536" s="361"/>
      <c r="D536" s="361"/>
      <c r="E536" s="361"/>
      <c r="F536" s="361"/>
      <c r="G536" s="361"/>
      <c r="H536" s="361"/>
      <c r="I536" s="361"/>
      <c r="J536" s="361"/>
      <c r="K536" s="361"/>
      <c r="L536" s="361"/>
      <c r="M536" s="361"/>
      <c r="N536" s="361"/>
      <c r="O536" s="361"/>
      <c r="P536" s="361"/>
      <c r="Q536" s="361"/>
      <c r="R536" s="361"/>
      <c r="S536" s="361"/>
      <c r="T536" s="361"/>
      <c r="U536" s="361"/>
      <c r="V536" s="361"/>
      <c r="W536" s="361"/>
      <c r="X536" s="361"/>
      <c r="Y536" s="957"/>
      <c r="Z536" s="957"/>
      <c r="AA536" s="957"/>
      <c r="AB536" s="957"/>
      <c r="AC536" s="957"/>
      <c r="AD536" s="361"/>
    </row>
    <row r="537" spans="2:30" s="349" customFormat="1" ht="20.100000000000001" customHeight="1">
      <c r="B537" s="361"/>
      <c r="C537" s="361"/>
      <c r="D537" s="361"/>
      <c r="E537" s="361"/>
      <c r="F537" s="361"/>
      <c r="G537" s="361"/>
      <c r="H537" s="361"/>
      <c r="I537" s="361"/>
      <c r="J537" s="361"/>
      <c r="K537" s="361"/>
      <c r="L537" s="361"/>
      <c r="M537" s="361"/>
      <c r="N537" s="361"/>
      <c r="O537" s="361"/>
      <c r="P537" s="361"/>
      <c r="Q537" s="361"/>
      <c r="R537" s="361"/>
      <c r="S537" s="361"/>
      <c r="T537" s="361"/>
      <c r="U537" s="361"/>
      <c r="V537" s="361"/>
      <c r="W537" s="361"/>
      <c r="X537" s="361"/>
      <c r="Y537" s="957"/>
      <c r="Z537" s="957"/>
      <c r="AA537" s="957"/>
      <c r="AB537" s="957"/>
      <c r="AC537" s="957"/>
      <c r="AD537" s="361"/>
    </row>
    <row r="538" spans="2:30" s="349" customFormat="1" ht="20.100000000000001" customHeight="1">
      <c r="B538" s="361"/>
      <c r="C538" s="361"/>
      <c r="D538" s="361"/>
      <c r="E538" s="361"/>
      <c r="F538" s="361"/>
      <c r="G538" s="361"/>
      <c r="H538" s="361"/>
      <c r="I538" s="361"/>
      <c r="J538" s="361"/>
      <c r="K538" s="361"/>
      <c r="L538" s="361"/>
      <c r="M538" s="361"/>
      <c r="N538" s="361"/>
      <c r="O538" s="361"/>
      <c r="P538" s="361"/>
      <c r="Q538" s="361"/>
      <c r="R538" s="361"/>
      <c r="S538" s="361"/>
      <c r="T538" s="361"/>
      <c r="U538" s="361"/>
      <c r="V538" s="361"/>
      <c r="W538" s="361"/>
      <c r="X538" s="361"/>
      <c r="Y538" s="957"/>
      <c r="Z538" s="957"/>
      <c r="AA538" s="957"/>
      <c r="AB538" s="957"/>
      <c r="AC538" s="957"/>
      <c r="AD538" s="361"/>
    </row>
    <row r="539" spans="2:30" s="349" customFormat="1" ht="20.100000000000001" customHeight="1">
      <c r="B539" s="361"/>
      <c r="C539" s="361"/>
      <c r="D539" s="361"/>
      <c r="E539" s="361"/>
      <c r="F539" s="361"/>
      <c r="G539" s="361"/>
      <c r="H539" s="361"/>
      <c r="I539" s="361"/>
      <c r="J539" s="361"/>
      <c r="K539" s="361"/>
      <c r="L539" s="361"/>
      <c r="M539" s="361"/>
      <c r="N539" s="361"/>
      <c r="O539" s="361"/>
      <c r="P539" s="361"/>
      <c r="Q539" s="361"/>
      <c r="R539" s="361"/>
      <c r="S539" s="361"/>
      <c r="T539" s="361"/>
      <c r="U539" s="361"/>
      <c r="V539" s="361"/>
      <c r="W539" s="361"/>
      <c r="X539" s="361"/>
      <c r="Y539" s="957"/>
      <c r="Z539" s="957"/>
      <c r="AA539" s="957"/>
      <c r="AB539" s="957"/>
      <c r="AC539" s="957"/>
      <c r="AD539" s="361"/>
    </row>
    <row r="540" spans="2:30" s="349" customFormat="1" ht="20.100000000000001" customHeight="1">
      <c r="B540" s="361"/>
      <c r="C540" s="361"/>
      <c r="D540" s="361"/>
      <c r="E540" s="361"/>
      <c r="F540" s="361"/>
      <c r="G540" s="361"/>
      <c r="H540" s="361"/>
      <c r="I540" s="361"/>
      <c r="J540" s="361"/>
      <c r="K540" s="361"/>
      <c r="L540" s="361"/>
      <c r="M540" s="361"/>
      <c r="N540" s="361"/>
      <c r="O540" s="361"/>
      <c r="P540" s="361"/>
      <c r="Q540" s="361"/>
      <c r="R540" s="361"/>
      <c r="S540" s="361"/>
      <c r="T540" s="361"/>
      <c r="U540" s="361"/>
      <c r="V540" s="361"/>
      <c r="W540" s="361"/>
      <c r="X540" s="361"/>
      <c r="Y540" s="957"/>
      <c r="Z540" s="957"/>
      <c r="AA540" s="957"/>
      <c r="AB540" s="957"/>
      <c r="AC540" s="957"/>
      <c r="AD540" s="361"/>
    </row>
    <row r="541" spans="2:30" ht="20.100000000000001" customHeight="1"/>
    <row r="542" spans="2:30" ht="9.9499999999999993" customHeight="1"/>
  </sheetData>
  <sheetProtection formatCells="0" formatColumns="0" formatRows="0" insertColumns="0" insertRows="0" insertHyperlinks="0" deleteColumns="0" deleteRows="0" sort="0" autoFilter="0" pivotTables="0"/>
  <mergeCells count="25">
    <mergeCell ref="A126:B126"/>
    <mergeCell ref="C15:C17"/>
    <mergeCell ref="F15:F17"/>
    <mergeCell ref="A17:A18"/>
    <mergeCell ref="B17:B18"/>
    <mergeCell ref="A15:B16"/>
    <mergeCell ref="A14:AD14"/>
    <mergeCell ref="A7:AD7"/>
    <mergeCell ref="O15:Q15"/>
    <mergeCell ref="A8:AD8"/>
    <mergeCell ref="A9:AD9"/>
    <mergeCell ref="Y15:Z15"/>
    <mergeCell ref="AC15:AC16"/>
    <mergeCell ref="AB15:AB17"/>
    <mergeCell ref="AD15:AD17"/>
    <mergeCell ref="AA15:AA16"/>
    <mergeCell ref="R15:S15"/>
    <mergeCell ref="T15:X15"/>
    <mergeCell ref="G15:N15"/>
    <mergeCell ref="D15:E17"/>
    <mergeCell ref="A4:AD4"/>
    <mergeCell ref="A5:AD5"/>
    <mergeCell ref="A6:AD6"/>
    <mergeCell ref="C11:AD11"/>
    <mergeCell ref="A13:AD13"/>
  </mergeCells>
  <conditionalFormatting sqref="A17:B17 H17:S18 C18:G18 B20:AD125">
    <cfRule type="cellIs" dxfId="6" priority="109" operator="equal">
      <formula>0</formula>
    </cfRule>
  </conditionalFormatting>
  <conditionalFormatting sqref="T17:Z17">
    <cfRule type="cellIs" dxfId="5" priority="30" operator="equal">
      <formula>0</formula>
    </cfRule>
  </conditionalFormatting>
  <conditionalFormatting sqref="T18:AB18">
    <cfRule type="cellIs" dxfId="4" priority="23" operator="equal">
      <formula>0</formula>
    </cfRule>
  </conditionalFormatting>
  <conditionalFormatting sqref="AC17:AC18">
    <cfRule type="cellIs" dxfId="3" priority="25" operator="equal">
      <formula>0</formula>
    </cfRule>
  </conditionalFormatting>
  <conditionalFormatting sqref="AD18">
    <cfRule type="cellIs" dxfId="2" priority="45" operator="equal">
      <formula>0</formula>
    </cfRule>
  </conditionalFormatting>
  <printOptions horizontalCentered="1"/>
  <pageMargins left="0.32" right="0.26" top="0.39" bottom="0.37" header="0.31496062992125984" footer="0.31496062992125984"/>
  <pageSetup paperSize="9" scale="15" fitToWidth="0"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380B7-B4B3-4B2A-8522-720B741459B0}">
  <sheetPr>
    <tabColor theme="7" tint="0.39997558519241921"/>
  </sheetPr>
  <dimension ref="A1:T437"/>
  <sheetViews>
    <sheetView zoomScale="40" zoomScaleNormal="40" workbookViewId="0">
      <selection activeCell="A5" sqref="A5:T5"/>
    </sheetView>
  </sheetViews>
  <sheetFormatPr defaultColWidth="9.140625" defaultRowHeight="30.75"/>
  <cols>
    <col min="1" max="1" width="19" style="327" bestFit="1" customWidth="1"/>
    <col min="2" max="2" width="119.85546875" style="361" customWidth="1"/>
    <col min="3" max="3" width="42.7109375" style="361" customWidth="1"/>
    <col min="4" max="4" width="38" style="361" customWidth="1"/>
    <col min="5" max="5" width="50" style="361" customWidth="1"/>
    <col min="6" max="6" width="49.7109375" style="361" customWidth="1"/>
    <col min="7" max="9" width="56.7109375" style="361" customWidth="1"/>
    <col min="10" max="20" width="45.7109375" style="361" customWidth="1"/>
    <col min="21" max="16384" width="9.140625" style="327"/>
  </cols>
  <sheetData>
    <row r="1" spans="1:20">
      <c r="J1" s="489"/>
      <c r="K1" s="489"/>
      <c r="L1" s="489"/>
      <c r="M1" s="489"/>
      <c r="N1" s="489"/>
      <c r="O1" s="489"/>
      <c r="P1" s="489"/>
      <c r="Q1" s="489"/>
      <c r="R1" s="489"/>
      <c r="S1" s="489"/>
      <c r="T1" s="489"/>
    </row>
    <row r="2" spans="1:20" ht="31.5" thickBot="1"/>
    <row r="3" spans="1:20" ht="39.950000000000003" customHeight="1">
      <c r="A3" s="394"/>
      <c r="B3" s="395"/>
      <c r="C3" s="395"/>
      <c r="D3" s="395"/>
      <c r="E3" s="395"/>
      <c r="F3" s="395"/>
      <c r="G3" s="395"/>
      <c r="H3" s="395"/>
      <c r="I3" s="395"/>
      <c r="J3" s="395"/>
      <c r="K3" s="395"/>
      <c r="L3" s="395"/>
      <c r="M3" s="395"/>
      <c r="N3" s="395"/>
      <c r="O3" s="395"/>
      <c r="P3" s="395"/>
      <c r="Q3" s="395"/>
      <c r="R3" s="395"/>
      <c r="S3" s="395"/>
      <c r="T3" s="395"/>
    </row>
    <row r="4" spans="1:20" ht="39.950000000000003" customHeight="1">
      <c r="A4" s="1709"/>
      <c r="B4" s="1710"/>
      <c r="C4" s="1710"/>
      <c r="D4" s="1710"/>
      <c r="E4" s="1710"/>
      <c r="F4" s="1710"/>
      <c r="G4" s="1710"/>
      <c r="H4" s="1710"/>
      <c r="I4" s="1710"/>
      <c r="J4" s="1710"/>
      <c r="K4" s="1710"/>
      <c r="L4" s="1710"/>
      <c r="M4" s="1710"/>
      <c r="N4" s="1710"/>
      <c r="O4" s="1710"/>
      <c r="P4" s="1710"/>
      <c r="Q4" s="1710"/>
      <c r="R4" s="1710"/>
      <c r="S4" s="1710"/>
      <c r="T4" s="1710"/>
    </row>
    <row r="5" spans="1:20" ht="39.950000000000003" customHeight="1">
      <c r="A5" s="1712"/>
      <c r="B5" s="1713"/>
      <c r="C5" s="1713"/>
      <c r="D5" s="1713"/>
      <c r="E5" s="1713"/>
      <c r="F5" s="1713"/>
      <c r="G5" s="1713"/>
      <c r="H5" s="1713"/>
      <c r="I5" s="1713"/>
      <c r="J5" s="1713"/>
      <c r="K5" s="1713"/>
      <c r="L5" s="1713"/>
      <c r="M5" s="1713"/>
      <c r="N5" s="1713"/>
      <c r="O5" s="1713"/>
      <c r="P5" s="1713"/>
      <c r="Q5" s="1713"/>
      <c r="R5" s="1713"/>
      <c r="S5" s="1713"/>
      <c r="T5" s="1713"/>
    </row>
    <row r="6" spans="1:20" ht="39.950000000000003" customHeight="1">
      <c r="A6" s="1712"/>
      <c r="B6" s="1713"/>
      <c r="C6" s="1713"/>
      <c r="D6" s="1713"/>
      <c r="E6" s="1713"/>
      <c r="F6" s="1713"/>
      <c r="G6" s="1713"/>
      <c r="H6" s="1713"/>
      <c r="I6" s="1713"/>
      <c r="J6" s="1713"/>
      <c r="K6" s="1713"/>
      <c r="L6" s="1713"/>
      <c r="M6" s="1713"/>
      <c r="N6" s="1713"/>
      <c r="O6" s="1713"/>
      <c r="P6" s="1713"/>
      <c r="Q6" s="1713"/>
      <c r="R6" s="1713"/>
      <c r="S6" s="1713"/>
      <c r="T6" s="1713"/>
    </row>
    <row r="7" spans="1:20" ht="39.950000000000003" customHeight="1">
      <c r="A7" s="1709" t="s">
        <v>17</v>
      </c>
      <c r="B7" s="1710"/>
      <c r="C7" s="1710"/>
      <c r="D7" s="1710"/>
      <c r="E7" s="1710"/>
      <c r="F7" s="1710"/>
      <c r="G7" s="1710"/>
      <c r="H7" s="1710"/>
      <c r="I7" s="1710"/>
      <c r="J7" s="1710"/>
      <c r="K7" s="1710"/>
      <c r="L7" s="1710"/>
      <c r="M7" s="1710"/>
      <c r="N7" s="1710"/>
      <c r="O7" s="1710"/>
      <c r="P7" s="1710"/>
      <c r="Q7" s="1710"/>
      <c r="R7" s="1710"/>
      <c r="S7" s="1710"/>
      <c r="T7" s="1710"/>
    </row>
    <row r="8" spans="1:20" ht="39.950000000000003" customHeight="1">
      <c r="A8" s="1712" t="s">
        <v>185</v>
      </c>
      <c r="B8" s="1713"/>
      <c r="C8" s="1713"/>
      <c r="D8" s="1713"/>
      <c r="E8" s="1713"/>
      <c r="F8" s="1713"/>
      <c r="G8" s="1713"/>
      <c r="H8" s="1713"/>
      <c r="I8" s="1713"/>
      <c r="J8" s="1713"/>
      <c r="K8" s="1713"/>
      <c r="L8" s="1713"/>
      <c r="M8" s="1713"/>
      <c r="N8" s="1713"/>
      <c r="O8" s="1713"/>
      <c r="P8" s="1713"/>
      <c r="Q8" s="1713"/>
      <c r="R8" s="1713"/>
      <c r="S8" s="1713"/>
      <c r="T8" s="1713"/>
    </row>
    <row r="9" spans="1:20" ht="39.75" customHeight="1">
      <c r="A9" s="1712" t="s">
        <v>16</v>
      </c>
      <c r="B9" s="1713"/>
      <c r="C9" s="1713"/>
      <c r="D9" s="1713"/>
      <c r="E9" s="1713"/>
      <c r="F9" s="1713"/>
      <c r="G9" s="1713"/>
      <c r="H9" s="1713"/>
      <c r="I9" s="1713"/>
      <c r="J9" s="1713"/>
      <c r="K9" s="1713"/>
      <c r="L9" s="1713"/>
      <c r="M9" s="1713"/>
      <c r="N9" s="1713"/>
      <c r="O9" s="1713"/>
      <c r="P9" s="1713"/>
      <c r="Q9" s="1713"/>
      <c r="R9" s="1713"/>
      <c r="S9" s="1713"/>
      <c r="T9" s="1713"/>
    </row>
    <row r="10" spans="1:20" ht="39.75" customHeight="1">
      <c r="A10" s="397"/>
      <c r="B10" s="398"/>
      <c r="C10" s="398"/>
      <c r="D10" s="398"/>
      <c r="E10" s="398"/>
      <c r="F10" s="398"/>
      <c r="G10" s="398"/>
      <c r="H10" s="398"/>
      <c r="I10" s="398"/>
      <c r="J10" s="972"/>
      <c r="K10" s="972"/>
      <c r="L10" s="972"/>
      <c r="M10" s="972"/>
      <c r="N10" s="972"/>
      <c r="O10" s="972"/>
      <c r="P10" s="972"/>
      <c r="Q10" s="972"/>
      <c r="R10" s="972"/>
      <c r="S10" s="972"/>
      <c r="T10" s="972"/>
    </row>
    <row r="11" spans="1:20" ht="54.95" customHeight="1">
      <c r="A11" s="414"/>
      <c r="B11" s="400" t="s">
        <v>532</v>
      </c>
      <c r="C11" s="1715" t="str">
        <f>ORÇAMENTO!D9</f>
        <v>SISTEMA DE SANEAMENTO INTEGRADO NO BAIRRO DO ICUÍ: ABASTECIMENTO DE ÁGUA, DRENAGEM URBANA E MANEJO DE ÁGUAS PLUVIAIS E PAVIMENTAÇÃO NO MUNICÍPIO DE ANANINDEUA/ PA</v>
      </c>
      <c r="D11" s="1716"/>
      <c r="E11" s="1716"/>
      <c r="F11" s="1716"/>
      <c r="G11" s="1716"/>
      <c r="H11" s="1716"/>
      <c r="I11" s="1716"/>
      <c r="J11" s="1716"/>
      <c r="K11" s="1716"/>
      <c r="L11" s="1716"/>
      <c r="M11" s="1716"/>
      <c r="N11" s="1716"/>
      <c r="O11" s="1716"/>
      <c r="P11" s="1716"/>
      <c r="Q11" s="1716"/>
      <c r="R11" s="1716"/>
      <c r="S11" s="1716"/>
      <c r="T11" s="1716"/>
    </row>
    <row r="12" spans="1:20" ht="39.950000000000003" customHeight="1" thickBot="1">
      <c r="A12" s="401"/>
      <c r="B12" s="402"/>
      <c r="C12" s="402"/>
      <c r="D12" s="402"/>
      <c r="E12" s="402"/>
      <c r="F12" s="402"/>
      <c r="G12" s="402"/>
      <c r="H12" s="402"/>
      <c r="I12" s="402"/>
      <c r="J12" s="402"/>
      <c r="K12" s="402"/>
      <c r="L12" s="402"/>
      <c r="M12" s="402"/>
      <c r="N12" s="402"/>
      <c r="O12" s="402"/>
      <c r="P12" s="402"/>
      <c r="Q12" s="402"/>
      <c r="R12" s="402"/>
      <c r="S12" s="402"/>
      <c r="T12" s="402"/>
    </row>
    <row r="13" spans="1:20" s="362" customFormat="1" ht="78.75" customHeight="1" thickTop="1" thickBot="1">
      <c r="A13" s="1720" t="s">
        <v>335</v>
      </c>
      <c r="B13" s="1721"/>
      <c r="C13" s="1721"/>
      <c r="D13" s="1721"/>
      <c r="E13" s="1721"/>
      <c r="F13" s="1721"/>
      <c r="G13" s="1721"/>
      <c r="H13" s="1721"/>
      <c r="I13" s="1721"/>
      <c r="J13" s="1721"/>
      <c r="K13" s="1721"/>
      <c r="L13" s="1721"/>
      <c r="M13" s="1721"/>
      <c r="N13" s="1721"/>
      <c r="O13" s="1721"/>
      <c r="P13" s="1721"/>
      <c r="Q13" s="1721"/>
      <c r="R13" s="1721"/>
      <c r="S13" s="1721"/>
      <c r="T13" s="1721"/>
    </row>
    <row r="14" spans="1:20" ht="27.75" customHeight="1" thickTop="1" thickBot="1">
      <c r="A14" s="1698"/>
      <c r="B14" s="1699"/>
      <c r="C14" s="1699"/>
      <c r="D14" s="1699"/>
      <c r="E14" s="1699"/>
      <c r="F14" s="1699"/>
      <c r="G14" s="1699"/>
      <c r="H14" s="1699"/>
      <c r="I14" s="1699"/>
      <c r="J14" s="1699"/>
      <c r="K14" s="1699"/>
      <c r="L14" s="1699"/>
      <c r="M14" s="1699"/>
      <c r="N14" s="1699"/>
      <c r="O14" s="1699"/>
      <c r="P14" s="1699"/>
      <c r="Q14" s="1699"/>
      <c r="R14" s="1699"/>
      <c r="S14" s="1699"/>
      <c r="T14" s="1699"/>
    </row>
    <row r="15" spans="1:20" ht="90.75" customHeight="1">
      <c r="A15" s="1753" t="s">
        <v>318</v>
      </c>
      <c r="B15" s="1754"/>
      <c r="C15" s="1747" t="s">
        <v>3679</v>
      </c>
      <c r="D15" s="1741" t="s">
        <v>3680</v>
      </c>
      <c r="E15" s="1741" t="s">
        <v>3681</v>
      </c>
      <c r="F15" s="1739" t="s">
        <v>3682</v>
      </c>
      <c r="G15" s="1740"/>
      <c r="H15" s="1741" t="s">
        <v>3683</v>
      </c>
      <c r="I15" s="1755" t="s">
        <v>3751</v>
      </c>
      <c r="J15" s="1755" t="s">
        <v>3684</v>
      </c>
      <c r="K15" s="1755" t="str">
        <f>'ORÇAMENTO (F)'!E864</f>
        <v>Planta - Croton, fornecimento e plantio</v>
      </c>
      <c r="L15" s="1755" t="str">
        <f>'ORÇAMENTO (F)'!E865</f>
        <v>Planta - Agave gigantea (furcraea gigantea) - muda, fornecimento e plantio</v>
      </c>
      <c r="M15" s="1755" t="str">
        <f>'ORÇAMENTO (F)'!E866</f>
        <v>Planta - Flamboyanzinho de jardim (Caesalpinia pulcherrima) h=3,00m,
fornecimento e plantio</v>
      </c>
      <c r="N15" s="1755" t="str">
        <f>'ORÇAMENTO (F)'!E867</f>
        <v>TUBO, PVC, SOLDÁVEL, DN 20MM, INSTALADO EM RAMAL OU SUB-RAMAL DE ÁGUA - FORNECIMENTO E INSTALAÇÃO. AF_06/2022</v>
      </c>
      <c r="O15" s="1755" t="str">
        <f>'ORÇAMENTO (F)'!E868</f>
        <v>REGISTRO DE PRESSÃO BRUTO, LATÃO, ROSCÁVEL, 1/2” - FORNECIMENTO E INSTALAÇÃO. AF_08/2021</v>
      </c>
      <c r="P15" s="1755" t="str">
        <f>'ORÇAMENTO (F)'!E869</f>
        <v>REGISTRO DE GAVETA BRUTO, LATÃO, ROSCÁVEL, 3/4”, COM ACABAMENTO E CANOPLA CROMADOS - FORNECIMENTO E INSTALAÇÃO. AF_08/2021</v>
      </c>
      <c r="Q15" s="1755" t="str">
        <f>'ORÇAMENTO (F)'!E870</f>
        <v>Epoxi sem massa c/ selador</v>
      </c>
      <c r="R15" s="1755" t="str">
        <f>'ORÇAMENTO (F)'!E871</f>
        <v>GUIA (MEIO-FIO) CONCRETO, MOLDADA  IN LOCO  EM TRECHO CURVO COM EXTRUSORA, 13 CM BASE X 22 CM ALTURA. AF_01/2024</v>
      </c>
      <c r="S15" s="1755" t="str">
        <f>'ORÇAMENTO (F)'!E872</f>
        <v>Chuveiro cromado</v>
      </c>
      <c r="T15" s="1755" t="s">
        <v>3739</v>
      </c>
    </row>
    <row r="16" spans="1:20" ht="134.25" customHeight="1">
      <c r="A16" s="1753"/>
      <c r="B16" s="1754"/>
      <c r="C16" s="1747"/>
      <c r="D16" s="1741"/>
      <c r="E16" s="1741"/>
      <c r="F16" s="1741"/>
      <c r="G16" s="1742"/>
      <c r="H16" s="1741"/>
      <c r="I16" s="1747"/>
      <c r="J16" s="1747"/>
      <c r="K16" s="1747"/>
      <c r="L16" s="1747"/>
      <c r="M16" s="1747"/>
      <c r="N16" s="1747"/>
      <c r="O16" s="1747"/>
      <c r="P16" s="1747"/>
      <c r="Q16" s="1747"/>
      <c r="R16" s="1747"/>
      <c r="S16" s="1747"/>
      <c r="T16" s="1747"/>
    </row>
    <row r="17" spans="1:20" ht="81.75" customHeight="1">
      <c r="A17" s="1749" t="s">
        <v>6</v>
      </c>
      <c r="B17" s="1751" t="s">
        <v>323</v>
      </c>
      <c r="C17" s="1748"/>
      <c r="D17" s="1743"/>
      <c r="E17" s="1743"/>
      <c r="F17" s="1158" t="s">
        <v>3686</v>
      </c>
      <c r="G17" s="1377" t="s">
        <v>3687</v>
      </c>
      <c r="H17" s="1743"/>
      <c r="I17" s="1748"/>
      <c r="J17" s="1748"/>
      <c r="K17" s="1748"/>
      <c r="L17" s="1748"/>
      <c r="M17" s="1748"/>
      <c r="N17" s="1748"/>
      <c r="O17" s="1748"/>
      <c r="P17" s="1748"/>
      <c r="Q17" s="1748"/>
      <c r="R17" s="1748"/>
      <c r="S17" s="1748"/>
      <c r="T17" s="1748"/>
    </row>
    <row r="18" spans="1:20" ht="102.75" customHeight="1" thickBot="1">
      <c r="A18" s="1750"/>
      <c r="B18" s="1752"/>
      <c r="C18" s="460" t="s">
        <v>923</v>
      </c>
      <c r="D18" s="461" t="s">
        <v>756</v>
      </c>
      <c r="E18" s="461" t="s">
        <v>756</v>
      </c>
      <c r="F18" s="1378" t="s">
        <v>923</v>
      </c>
      <c r="G18" s="1378" t="s">
        <v>923</v>
      </c>
      <c r="H18" s="1378" t="s">
        <v>477</v>
      </c>
      <c r="I18" s="1415" t="s">
        <v>469</v>
      </c>
      <c r="J18" s="461" t="s">
        <v>756</v>
      </c>
      <c r="K18" s="461" t="s">
        <v>756</v>
      </c>
      <c r="L18" s="461" t="s">
        <v>756</v>
      </c>
      <c r="M18" s="461" t="s">
        <v>756</v>
      </c>
      <c r="N18" s="461" t="s">
        <v>3</v>
      </c>
      <c r="O18" s="461" t="s">
        <v>756</v>
      </c>
      <c r="P18" s="461" t="s">
        <v>756</v>
      </c>
      <c r="Q18" s="461" t="s">
        <v>2</v>
      </c>
      <c r="R18" s="461" t="s">
        <v>3</v>
      </c>
      <c r="S18" s="461" t="s">
        <v>756</v>
      </c>
      <c r="T18" s="1378" t="s">
        <v>469</v>
      </c>
    </row>
    <row r="19" spans="1:20" ht="73.5" customHeight="1" thickTop="1" thickBot="1">
      <c r="A19" s="359"/>
      <c r="B19" s="360"/>
      <c r="C19" s="360"/>
      <c r="D19" s="360"/>
      <c r="E19" s="360"/>
      <c r="F19" s="360"/>
      <c r="G19" s="360"/>
      <c r="H19" s="360"/>
      <c r="I19" s="360"/>
      <c r="J19" s="360"/>
      <c r="K19" s="360"/>
      <c r="L19" s="360"/>
      <c r="M19" s="360"/>
      <c r="N19" s="360"/>
      <c r="O19" s="360"/>
      <c r="P19" s="360"/>
      <c r="Q19" s="360"/>
      <c r="R19" s="360"/>
      <c r="S19" s="360"/>
      <c r="T19" s="360"/>
    </row>
    <row r="20" spans="1:20" ht="50.1" customHeight="1" thickTop="1" thickBot="1">
      <c r="A20" s="446">
        <f>'DADOS (F)'!A12</f>
        <v>1</v>
      </c>
      <c r="B20" s="447" t="str">
        <f>'DADOS (F)'!B12</f>
        <v>R. DA PUPUNHEIRA</v>
      </c>
      <c r="C20" s="448">
        <v>1600</v>
      </c>
      <c r="D20" s="449">
        <v>12</v>
      </c>
      <c r="E20" s="449">
        <v>30</v>
      </c>
      <c r="F20" s="449">
        <v>120</v>
      </c>
      <c r="G20" s="449">
        <v>120</v>
      </c>
      <c r="H20" s="449">
        <f>(2.4*2)+3.96+((0.18+0.09+0.32)*2)</f>
        <v>9.94</v>
      </c>
      <c r="I20" s="449">
        <f>3.14*3</f>
        <v>9.42</v>
      </c>
      <c r="J20" s="512">
        <v>8</v>
      </c>
      <c r="K20" s="512">
        <v>300</v>
      </c>
      <c r="L20" s="512">
        <v>22</v>
      </c>
      <c r="M20" s="512">
        <v>22</v>
      </c>
      <c r="N20" s="512">
        <v>12</v>
      </c>
      <c r="O20" s="512">
        <v>8</v>
      </c>
      <c r="P20" s="512">
        <v>2</v>
      </c>
      <c r="Q20" s="512">
        <v>7.04</v>
      </c>
      <c r="R20" s="512">
        <v>9.42</v>
      </c>
      <c r="S20" s="512">
        <v>8</v>
      </c>
      <c r="T20" s="512">
        <f>28*2</f>
        <v>56</v>
      </c>
    </row>
    <row r="21" spans="1:20" s="349" customFormat="1" ht="80.099999999999994" customHeight="1" thickBot="1">
      <c r="A21" s="1745" t="s">
        <v>317</v>
      </c>
      <c r="B21" s="1746"/>
      <c r="C21" s="452">
        <f t="shared" ref="C21:T21" si="0">SUM(C20:C20)</f>
        <v>1600</v>
      </c>
      <c r="D21" s="452">
        <f t="shared" si="0"/>
        <v>12</v>
      </c>
      <c r="E21" s="452">
        <f t="shared" si="0"/>
        <v>30</v>
      </c>
      <c r="F21" s="452">
        <f t="shared" si="0"/>
        <v>120</v>
      </c>
      <c r="G21" s="452">
        <f t="shared" si="0"/>
        <v>120</v>
      </c>
      <c r="H21" s="452">
        <f t="shared" si="0"/>
        <v>9.94</v>
      </c>
      <c r="I21" s="452">
        <f t="shared" si="0"/>
        <v>9.42</v>
      </c>
      <c r="J21" s="452">
        <f t="shared" si="0"/>
        <v>8</v>
      </c>
      <c r="K21" s="452">
        <f t="shared" si="0"/>
        <v>300</v>
      </c>
      <c r="L21" s="452">
        <f t="shared" si="0"/>
        <v>22</v>
      </c>
      <c r="M21" s="452">
        <f t="shared" si="0"/>
        <v>22</v>
      </c>
      <c r="N21" s="452">
        <f t="shared" si="0"/>
        <v>12</v>
      </c>
      <c r="O21" s="452">
        <f t="shared" si="0"/>
        <v>8</v>
      </c>
      <c r="P21" s="452">
        <f t="shared" si="0"/>
        <v>2</v>
      </c>
      <c r="Q21" s="452">
        <f t="shared" si="0"/>
        <v>7.04</v>
      </c>
      <c r="R21" s="452">
        <f t="shared" si="0"/>
        <v>9.42</v>
      </c>
      <c r="S21" s="452">
        <f t="shared" si="0"/>
        <v>8</v>
      </c>
      <c r="T21" s="452">
        <f t="shared" si="0"/>
        <v>56</v>
      </c>
    </row>
    <row r="22" spans="1:20" s="349" customFormat="1" ht="20.100000000000001" customHeight="1">
      <c r="B22" s="361"/>
      <c r="C22" s="361"/>
      <c r="D22" s="361"/>
      <c r="E22" s="361"/>
      <c r="F22" s="361"/>
      <c r="G22" s="361"/>
      <c r="H22" s="361"/>
      <c r="I22" s="361"/>
      <c r="J22" s="361"/>
      <c r="K22" s="361"/>
      <c r="L22" s="361"/>
      <c r="M22" s="361"/>
      <c r="N22" s="361"/>
      <c r="O22" s="361"/>
      <c r="P22" s="361"/>
      <c r="Q22" s="361"/>
      <c r="R22" s="361"/>
      <c r="S22" s="361"/>
      <c r="T22" s="361"/>
    </row>
    <row r="23" spans="1:20" s="349" customFormat="1" ht="20.100000000000001" customHeight="1">
      <c r="B23" s="361"/>
      <c r="C23" s="361"/>
      <c r="D23" s="361"/>
      <c r="E23" s="361"/>
      <c r="F23" s="361"/>
      <c r="G23" s="361"/>
      <c r="H23" s="361"/>
      <c r="I23" s="361"/>
      <c r="J23" s="361"/>
      <c r="K23" s="361"/>
      <c r="L23" s="361"/>
      <c r="M23" s="361"/>
      <c r="N23" s="361"/>
      <c r="O23" s="361"/>
      <c r="P23" s="361"/>
      <c r="Q23" s="361"/>
      <c r="R23" s="361"/>
      <c r="S23" s="361"/>
      <c r="T23" s="361"/>
    </row>
    <row r="24" spans="1:20" s="349" customFormat="1" ht="38.25">
      <c r="B24" s="361"/>
      <c r="C24" s="361"/>
      <c r="D24" s="1306"/>
      <c r="E24" s="361"/>
      <c r="F24" s="361"/>
      <c r="G24" s="1307"/>
      <c r="H24" s="361"/>
      <c r="I24" s="361"/>
      <c r="J24" s="361"/>
      <c r="K24" s="361"/>
      <c r="L24" s="361"/>
      <c r="M24" s="361"/>
      <c r="N24" s="361"/>
      <c r="O24" s="361"/>
      <c r="P24" s="361"/>
      <c r="Q24" s="361"/>
      <c r="R24" s="361"/>
      <c r="S24" s="361"/>
      <c r="T24" s="361"/>
    </row>
    <row r="25" spans="1:20" s="349" customFormat="1" ht="19.899999999999999" customHeight="1">
      <c r="B25" s="361"/>
      <c r="C25" s="361"/>
      <c r="D25" s="361"/>
      <c r="E25" s="361"/>
      <c r="F25" s="361"/>
      <c r="G25" s="361"/>
      <c r="H25" s="361"/>
      <c r="I25" s="361"/>
      <c r="J25" s="361"/>
      <c r="K25" s="361"/>
      <c r="L25" s="361"/>
      <c r="M25" s="361"/>
      <c r="N25" s="361"/>
      <c r="O25" s="361"/>
      <c r="P25" s="361"/>
      <c r="Q25" s="361"/>
      <c r="R25" s="361"/>
      <c r="S25" s="361"/>
      <c r="T25" s="361"/>
    </row>
    <row r="26" spans="1:20" s="349" customFormat="1" ht="20.100000000000001" customHeight="1">
      <c r="B26" s="361"/>
      <c r="C26" s="361"/>
      <c r="D26" s="361"/>
      <c r="E26" s="361"/>
      <c r="F26" s="361"/>
      <c r="G26" s="361"/>
      <c r="H26" s="361"/>
      <c r="I26" s="361"/>
      <c r="J26" s="361"/>
      <c r="K26" s="361"/>
      <c r="L26" s="361"/>
      <c r="M26" s="361"/>
      <c r="N26" s="361"/>
      <c r="O26" s="361"/>
      <c r="P26" s="361"/>
      <c r="Q26" s="361"/>
      <c r="R26" s="361"/>
      <c r="S26" s="361"/>
      <c r="T26" s="361"/>
    </row>
    <row r="27" spans="1:20" s="349" customFormat="1" ht="20.100000000000001" customHeight="1">
      <c r="B27" s="361"/>
      <c r="C27" s="361"/>
      <c r="D27" s="361"/>
      <c r="E27" s="361"/>
      <c r="F27" s="361"/>
      <c r="G27" s="361"/>
      <c r="H27" s="361"/>
      <c r="I27" s="361"/>
      <c r="J27" s="361"/>
      <c r="K27" s="361"/>
      <c r="L27" s="361"/>
      <c r="M27" s="361"/>
      <c r="N27" s="361"/>
      <c r="O27" s="361"/>
      <c r="P27" s="361"/>
      <c r="Q27" s="361"/>
      <c r="R27" s="361"/>
      <c r="S27" s="361"/>
      <c r="T27" s="361"/>
    </row>
    <row r="28" spans="1:20" s="349" customFormat="1" ht="20.100000000000001" customHeight="1">
      <c r="B28" s="361"/>
      <c r="C28" s="361"/>
      <c r="D28" s="361"/>
      <c r="E28" s="361"/>
      <c r="F28" s="361"/>
      <c r="G28" s="361"/>
      <c r="H28" s="361"/>
      <c r="I28" s="361"/>
      <c r="J28" s="361"/>
      <c r="K28" s="361"/>
      <c r="L28" s="361"/>
      <c r="M28" s="361"/>
      <c r="N28" s="361"/>
      <c r="O28" s="361"/>
      <c r="P28" s="361"/>
      <c r="Q28" s="361"/>
      <c r="R28" s="361"/>
      <c r="S28" s="361"/>
      <c r="T28" s="361"/>
    </row>
    <row r="29" spans="1:20" s="349" customFormat="1" ht="20.100000000000001" customHeight="1">
      <c r="B29" s="361"/>
      <c r="C29" s="361"/>
      <c r="D29" s="361"/>
      <c r="E29" s="361"/>
      <c r="F29" s="361"/>
      <c r="G29" s="361"/>
      <c r="H29" s="361"/>
      <c r="I29" s="361"/>
      <c r="J29" s="361"/>
      <c r="K29" s="361"/>
      <c r="L29" s="361"/>
      <c r="M29" s="361"/>
      <c r="N29" s="361"/>
      <c r="O29" s="361"/>
      <c r="P29" s="361"/>
      <c r="Q29" s="361"/>
      <c r="R29" s="361"/>
      <c r="S29" s="361"/>
      <c r="T29" s="361"/>
    </row>
    <row r="30" spans="1:20" s="349" customFormat="1" ht="20.100000000000001" customHeight="1">
      <c r="B30" s="361"/>
      <c r="C30" s="361"/>
      <c r="D30" s="361"/>
      <c r="E30" s="361"/>
      <c r="F30" s="361"/>
      <c r="G30" s="361"/>
      <c r="H30" s="361"/>
      <c r="I30" s="361"/>
      <c r="J30" s="361"/>
      <c r="K30" s="361"/>
      <c r="L30" s="361"/>
      <c r="M30" s="361"/>
      <c r="N30" s="361"/>
      <c r="O30" s="361"/>
      <c r="P30" s="361"/>
      <c r="Q30" s="361"/>
      <c r="R30" s="361"/>
      <c r="S30" s="361"/>
      <c r="T30" s="361"/>
    </row>
    <row r="31" spans="1:20" s="349" customFormat="1" ht="20.100000000000001" customHeight="1">
      <c r="B31" s="361"/>
      <c r="C31" s="361"/>
      <c r="D31" s="361"/>
      <c r="E31" s="361"/>
      <c r="F31" s="361"/>
      <c r="G31" s="361"/>
      <c r="H31" s="361"/>
      <c r="I31" s="361"/>
      <c r="J31" s="361"/>
      <c r="K31" s="361"/>
      <c r="L31" s="361"/>
      <c r="M31" s="361"/>
      <c r="N31" s="361"/>
      <c r="O31" s="361"/>
      <c r="P31" s="361"/>
      <c r="Q31" s="361"/>
      <c r="R31" s="361"/>
      <c r="S31" s="361"/>
      <c r="T31" s="361"/>
    </row>
    <row r="32" spans="1:20" s="349" customFormat="1" ht="20.100000000000001" customHeight="1">
      <c r="B32" s="361"/>
      <c r="C32" s="361"/>
      <c r="D32" s="361"/>
      <c r="E32" s="361"/>
      <c r="F32" s="361"/>
      <c r="G32" s="361"/>
      <c r="H32" s="361"/>
      <c r="I32" s="361"/>
      <c r="J32" s="361"/>
      <c r="K32" s="361"/>
      <c r="L32" s="361"/>
      <c r="M32" s="361"/>
      <c r="N32" s="361"/>
      <c r="O32" s="361"/>
      <c r="P32" s="361"/>
      <c r="Q32" s="361"/>
      <c r="R32" s="361"/>
      <c r="S32" s="361"/>
      <c r="T32" s="361"/>
    </row>
    <row r="33" spans="2:20" s="349" customFormat="1" ht="20.100000000000001" customHeight="1">
      <c r="B33" s="361"/>
      <c r="C33" s="361"/>
      <c r="D33" s="361"/>
      <c r="E33" s="361"/>
      <c r="F33" s="361"/>
      <c r="G33" s="361"/>
      <c r="H33" s="361"/>
      <c r="I33" s="361"/>
      <c r="J33" s="361"/>
      <c r="K33" s="361"/>
      <c r="L33" s="361"/>
      <c r="M33" s="361"/>
      <c r="N33" s="361"/>
      <c r="O33" s="361"/>
      <c r="P33" s="361"/>
      <c r="Q33" s="361"/>
      <c r="R33" s="361"/>
      <c r="S33" s="361"/>
      <c r="T33" s="361"/>
    </row>
    <row r="34" spans="2:20" s="349" customFormat="1" ht="20.100000000000001" customHeight="1">
      <c r="B34" s="361"/>
      <c r="C34" s="361"/>
      <c r="D34" s="361"/>
      <c r="E34" s="361"/>
      <c r="F34" s="361"/>
      <c r="G34" s="361"/>
      <c r="H34" s="361"/>
      <c r="I34" s="361"/>
      <c r="J34" s="361"/>
      <c r="K34" s="361"/>
      <c r="L34" s="361"/>
      <c r="M34" s="361"/>
      <c r="N34" s="361"/>
      <c r="O34" s="361"/>
      <c r="P34" s="361"/>
      <c r="Q34" s="361"/>
      <c r="R34" s="361"/>
      <c r="S34" s="361"/>
      <c r="T34" s="361"/>
    </row>
    <row r="35" spans="2:20" s="349" customFormat="1" ht="20.100000000000001" customHeight="1">
      <c r="B35" s="361"/>
      <c r="C35" s="361"/>
      <c r="D35" s="361"/>
      <c r="E35" s="361"/>
      <c r="F35" s="361"/>
      <c r="G35" s="361"/>
      <c r="H35" s="361"/>
      <c r="I35" s="361"/>
      <c r="J35" s="361"/>
      <c r="K35" s="361"/>
      <c r="L35" s="361"/>
      <c r="M35" s="361"/>
      <c r="N35" s="361"/>
      <c r="O35" s="361"/>
      <c r="P35" s="361"/>
      <c r="Q35" s="361"/>
      <c r="R35" s="361"/>
      <c r="S35" s="361"/>
      <c r="T35" s="361"/>
    </row>
    <row r="36" spans="2:20" s="349" customFormat="1" ht="20.100000000000001" customHeight="1">
      <c r="B36" s="361"/>
      <c r="C36" s="361"/>
      <c r="D36" s="361"/>
      <c r="E36" s="361"/>
      <c r="F36" s="361"/>
      <c r="G36" s="361"/>
      <c r="H36" s="361"/>
      <c r="I36" s="361"/>
      <c r="J36" s="361"/>
      <c r="K36" s="361"/>
      <c r="L36" s="361"/>
      <c r="M36" s="361"/>
      <c r="N36" s="361"/>
      <c r="O36" s="361"/>
      <c r="P36" s="361"/>
      <c r="Q36" s="361"/>
      <c r="R36" s="361"/>
      <c r="S36" s="361"/>
      <c r="T36" s="361"/>
    </row>
    <row r="37" spans="2:20" s="349" customFormat="1" ht="20.100000000000001" customHeight="1">
      <c r="B37" s="361"/>
      <c r="C37" s="361"/>
      <c r="D37" s="361"/>
      <c r="E37" s="361"/>
      <c r="F37" s="361"/>
      <c r="G37" s="361"/>
      <c r="H37" s="361"/>
      <c r="I37" s="361"/>
      <c r="J37" s="361"/>
      <c r="K37" s="361"/>
      <c r="L37" s="361"/>
      <c r="M37" s="361"/>
      <c r="N37" s="361"/>
      <c r="O37" s="361"/>
      <c r="P37" s="361"/>
      <c r="Q37" s="361"/>
      <c r="R37" s="361"/>
      <c r="S37" s="361"/>
      <c r="T37" s="361"/>
    </row>
    <row r="38" spans="2:20" s="349" customFormat="1" ht="20.100000000000001" customHeight="1">
      <c r="B38" s="361"/>
      <c r="C38" s="361"/>
      <c r="D38" s="361"/>
      <c r="E38" s="361"/>
      <c r="F38" s="361"/>
      <c r="G38" s="361"/>
      <c r="H38" s="361"/>
      <c r="I38" s="361"/>
      <c r="J38" s="361"/>
      <c r="K38" s="361"/>
      <c r="L38" s="361"/>
      <c r="M38" s="361"/>
      <c r="N38" s="361"/>
      <c r="O38" s="361"/>
      <c r="P38" s="361"/>
      <c r="Q38" s="361"/>
      <c r="R38" s="361"/>
      <c r="S38" s="361"/>
      <c r="T38" s="361"/>
    </row>
    <row r="39" spans="2:20" s="349" customFormat="1" ht="20.100000000000001" customHeight="1">
      <c r="B39" s="361"/>
      <c r="C39" s="361"/>
      <c r="D39" s="361"/>
      <c r="E39" s="361"/>
      <c r="F39" s="361"/>
      <c r="G39" s="361"/>
      <c r="H39" s="361"/>
      <c r="I39" s="361"/>
      <c r="J39" s="361"/>
      <c r="K39" s="361"/>
      <c r="L39" s="361"/>
      <c r="M39" s="361"/>
      <c r="N39" s="361"/>
      <c r="O39" s="361"/>
      <c r="P39" s="361"/>
      <c r="Q39" s="361"/>
      <c r="R39" s="361"/>
      <c r="S39" s="361"/>
      <c r="T39" s="361"/>
    </row>
    <row r="40" spans="2:20" s="349" customFormat="1" ht="20.100000000000001" customHeight="1">
      <c r="B40" s="361"/>
      <c r="C40" s="361"/>
      <c r="D40" s="361"/>
      <c r="E40" s="361"/>
      <c r="F40" s="361"/>
      <c r="G40" s="361"/>
      <c r="H40" s="361"/>
      <c r="I40" s="361"/>
      <c r="J40" s="361"/>
      <c r="K40" s="361"/>
      <c r="L40" s="361"/>
      <c r="M40" s="361"/>
      <c r="N40" s="361"/>
      <c r="O40" s="361"/>
      <c r="P40" s="361"/>
      <c r="Q40" s="361"/>
      <c r="R40" s="361"/>
      <c r="S40" s="361"/>
      <c r="T40" s="361"/>
    </row>
    <row r="41" spans="2:20" s="349" customFormat="1" ht="20.100000000000001" customHeight="1">
      <c r="B41" s="361"/>
      <c r="C41" s="361"/>
      <c r="D41" s="361"/>
      <c r="E41" s="361"/>
      <c r="F41" s="361"/>
      <c r="G41" s="361"/>
      <c r="H41" s="361"/>
      <c r="I41" s="361"/>
      <c r="J41" s="361"/>
      <c r="K41" s="361"/>
      <c r="L41" s="361"/>
      <c r="M41" s="361"/>
      <c r="N41" s="361"/>
      <c r="O41" s="361"/>
      <c r="P41" s="361"/>
      <c r="Q41" s="361"/>
      <c r="R41" s="361"/>
      <c r="S41" s="361"/>
      <c r="T41" s="361"/>
    </row>
    <row r="42" spans="2:20" s="349" customFormat="1" ht="20.100000000000001" customHeight="1">
      <c r="B42" s="361"/>
      <c r="C42" s="361"/>
      <c r="D42" s="361"/>
      <c r="E42" s="361"/>
      <c r="F42" s="361"/>
      <c r="G42" s="361"/>
      <c r="H42" s="361"/>
      <c r="I42" s="361"/>
      <c r="J42" s="361"/>
      <c r="K42" s="361"/>
      <c r="L42" s="361"/>
      <c r="M42" s="361"/>
      <c r="N42" s="361"/>
      <c r="O42" s="361"/>
      <c r="P42" s="361"/>
      <c r="Q42" s="361"/>
      <c r="R42" s="361"/>
      <c r="S42" s="361"/>
      <c r="T42" s="361"/>
    </row>
    <row r="43" spans="2:20" s="349" customFormat="1" ht="20.100000000000001" customHeight="1">
      <c r="B43" s="361"/>
      <c r="C43" s="361"/>
      <c r="D43" s="361"/>
      <c r="E43" s="361"/>
      <c r="F43" s="361"/>
      <c r="G43" s="361"/>
      <c r="H43" s="361"/>
      <c r="I43" s="361"/>
      <c r="J43" s="361"/>
      <c r="K43" s="361"/>
      <c r="L43" s="361"/>
      <c r="M43" s="361"/>
      <c r="N43" s="361"/>
      <c r="O43" s="361"/>
      <c r="P43" s="361"/>
      <c r="Q43" s="361"/>
      <c r="R43" s="361"/>
      <c r="S43" s="361"/>
      <c r="T43" s="361"/>
    </row>
    <row r="44" spans="2:20" s="349" customFormat="1" ht="19.899999999999999" customHeight="1">
      <c r="B44" s="361"/>
      <c r="C44" s="361"/>
      <c r="D44" s="361"/>
      <c r="E44" s="361"/>
      <c r="F44" s="361"/>
      <c r="G44" s="361"/>
      <c r="H44" s="361"/>
      <c r="I44" s="361"/>
      <c r="J44" s="361"/>
      <c r="K44" s="361"/>
      <c r="L44" s="361"/>
      <c r="M44" s="361"/>
      <c r="N44" s="361"/>
      <c r="O44" s="361"/>
      <c r="P44" s="361"/>
      <c r="Q44" s="361"/>
      <c r="R44" s="361"/>
      <c r="S44" s="361"/>
      <c r="T44" s="361"/>
    </row>
    <row r="45" spans="2:20" s="349" customFormat="1" ht="20.100000000000001" customHeight="1">
      <c r="B45" s="361"/>
      <c r="C45" s="361"/>
      <c r="D45" s="361"/>
      <c r="E45" s="361"/>
      <c r="F45" s="361"/>
      <c r="G45" s="361"/>
      <c r="H45" s="361"/>
      <c r="I45" s="361"/>
      <c r="J45" s="361"/>
      <c r="K45" s="361"/>
      <c r="L45" s="361"/>
      <c r="M45" s="361"/>
      <c r="N45" s="361"/>
      <c r="O45" s="361"/>
      <c r="P45" s="361"/>
      <c r="Q45" s="361"/>
      <c r="R45" s="361"/>
      <c r="S45" s="361"/>
      <c r="T45" s="361"/>
    </row>
    <row r="46" spans="2:20" s="349" customFormat="1" ht="20.100000000000001" customHeight="1">
      <c r="B46" s="361"/>
      <c r="C46" s="361"/>
      <c r="D46" s="361"/>
      <c r="E46" s="361"/>
      <c r="F46" s="361"/>
      <c r="G46" s="361"/>
      <c r="H46" s="361"/>
      <c r="I46" s="361"/>
      <c r="J46" s="361"/>
      <c r="K46" s="361"/>
      <c r="L46" s="361"/>
      <c r="M46" s="361"/>
      <c r="N46" s="361"/>
      <c r="O46" s="361"/>
      <c r="P46" s="361"/>
      <c r="Q46" s="361"/>
      <c r="R46" s="361"/>
      <c r="S46" s="361"/>
      <c r="T46" s="361"/>
    </row>
    <row r="47" spans="2:20" s="349" customFormat="1" ht="20.100000000000001" customHeight="1">
      <c r="B47" s="361"/>
      <c r="C47" s="361"/>
      <c r="D47" s="361"/>
      <c r="E47" s="361"/>
      <c r="F47" s="361"/>
      <c r="G47" s="361"/>
      <c r="H47" s="361"/>
      <c r="I47" s="361"/>
      <c r="J47" s="361"/>
      <c r="K47" s="361"/>
      <c r="L47" s="361"/>
      <c r="M47" s="361"/>
      <c r="N47" s="361"/>
      <c r="O47" s="361"/>
      <c r="P47" s="361"/>
      <c r="Q47" s="361"/>
      <c r="R47" s="361"/>
      <c r="S47" s="361"/>
      <c r="T47" s="361"/>
    </row>
    <row r="48" spans="2:20" s="349" customFormat="1" ht="20.100000000000001" customHeight="1">
      <c r="B48" s="361"/>
      <c r="C48" s="361"/>
      <c r="D48" s="361"/>
      <c r="E48" s="361"/>
      <c r="F48" s="361"/>
      <c r="G48" s="361"/>
      <c r="H48" s="361"/>
      <c r="I48" s="361"/>
      <c r="J48" s="361"/>
      <c r="K48" s="361"/>
      <c r="L48" s="361"/>
      <c r="M48" s="361"/>
      <c r="N48" s="361"/>
      <c r="O48" s="361"/>
      <c r="P48" s="361"/>
      <c r="Q48" s="361"/>
      <c r="R48" s="361"/>
      <c r="S48" s="361"/>
      <c r="T48" s="361"/>
    </row>
    <row r="49" spans="2:20" s="349" customFormat="1" ht="20.100000000000001" customHeight="1">
      <c r="B49" s="361"/>
      <c r="C49" s="361"/>
      <c r="D49" s="361"/>
      <c r="E49" s="361"/>
      <c r="F49" s="361"/>
      <c r="G49" s="361"/>
      <c r="H49" s="361"/>
      <c r="I49" s="361"/>
      <c r="J49" s="361"/>
      <c r="K49" s="361"/>
      <c r="L49" s="361"/>
      <c r="M49" s="361"/>
      <c r="N49" s="361"/>
      <c r="O49" s="361"/>
      <c r="P49" s="361"/>
      <c r="Q49" s="361"/>
      <c r="R49" s="361"/>
      <c r="S49" s="361"/>
      <c r="T49" s="361"/>
    </row>
    <row r="50" spans="2:20" s="349" customFormat="1" ht="20.100000000000001" customHeight="1">
      <c r="B50" s="361"/>
      <c r="C50" s="361"/>
      <c r="D50" s="361"/>
      <c r="E50" s="361"/>
      <c r="F50" s="361"/>
      <c r="G50" s="361"/>
      <c r="H50" s="361"/>
      <c r="I50" s="361"/>
      <c r="J50" s="361"/>
      <c r="K50" s="361"/>
      <c r="L50" s="361"/>
      <c r="M50" s="361"/>
      <c r="N50" s="361"/>
      <c r="O50" s="361"/>
      <c r="P50" s="361"/>
      <c r="Q50" s="361"/>
      <c r="R50" s="361"/>
      <c r="S50" s="361"/>
      <c r="T50" s="361"/>
    </row>
    <row r="51" spans="2:20" s="349" customFormat="1" ht="20.100000000000001" customHeight="1">
      <c r="B51" s="361"/>
      <c r="C51" s="361"/>
      <c r="D51" s="361"/>
      <c r="E51" s="361"/>
      <c r="F51" s="361"/>
      <c r="G51" s="361"/>
      <c r="H51" s="361"/>
      <c r="I51" s="361"/>
      <c r="J51" s="361"/>
      <c r="K51" s="361"/>
      <c r="L51" s="361"/>
      <c r="M51" s="361"/>
      <c r="N51" s="361"/>
      <c r="O51" s="361"/>
      <c r="P51" s="361"/>
      <c r="Q51" s="361"/>
      <c r="R51" s="361"/>
      <c r="S51" s="361"/>
      <c r="T51" s="361"/>
    </row>
    <row r="52" spans="2:20" s="349" customFormat="1" ht="20.100000000000001" customHeight="1">
      <c r="B52" s="361"/>
      <c r="C52" s="361"/>
      <c r="D52" s="361"/>
      <c r="E52" s="361"/>
      <c r="F52" s="361"/>
      <c r="G52" s="361"/>
      <c r="H52" s="361"/>
      <c r="I52" s="361"/>
      <c r="J52" s="361"/>
      <c r="K52" s="361"/>
      <c r="L52" s="361"/>
      <c r="M52" s="361"/>
      <c r="N52" s="361"/>
      <c r="O52" s="361"/>
      <c r="P52" s="361"/>
      <c r="Q52" s="361"/>
      <c r="R52" s="361"/>
      <c r="S52" s="361"/>
      <c r="T52" s="361"/>
    </row>
    <row r="53" spans="2:20" s="349" customFormat="1" ht="20.100000000000001" customHeight="1">
      <c r="B53" s="361"/>
      <c r="C53" s="361"/>
      <c r="D53" s="361"/>
      <c r="E53" s="361"/>
      <c r="F53" s="361"/>
      <c r="G53" s="361"/>
      <c r="H53" s="361"/>
      <c r="I53" s="361"/>
      <c r="J53" s="361"/>
      <c r="K53" s="361"/>
      <c r="L53" s="361"/>
      <c r="M53" s="361"/>
      <c r="N53" s="361"/>
      <c r="O53" s="361"/>
      <c r="P53" s="361"/>
      <c r="Q53" s="361"/>
      <c r="R53" s="361"/>
      <c r="S53" s="361"/>
      <c r="T53" s="361"/>
    </row>
    <row r="54" spans="2:20" s="349" customFormat="1" ht="20.100000000000001" customHeight="1">
      <c r="B54" s="361"/>
      <c r="C54" s="361"/>
      <c r="D54" s="361"/>
      <c r="E54" s="361"/>
      <c r="F54" s="361"/>
      <c r="G54" s="361"/>
      <c r="H54" s="361"/>
      <c r="I54" s="361"/>
      <c r="J54" s="361"/>
      <c r="K54" s="361"/>
      <c r="L54" s="361"/>
      <c r="M54" s="361"/>
      <c r="N54" s="361"/>
      <c r="O54" s="361"/>
      <c r="P54" s="361"/>
      <c r="Q54" s="361"/>
      <c r="R54" s="361"/>
      <c r="S54" s="361"/>
      <c r="T54" s="361"/>
    </row>
    <row r="55" spans="2:20" s="349" customFormat="1" ht="20.100000000000001" customHeight="1">
      <c r="B55" s="361"/>
      <c r="C55" s="361"/>
      <c r="D55" s="361"/>
      <c r="E55" s="361"/>
      <c r="F55" s="361"/>
      <c r="G55" s="361"/>
      <c r="H55" s="361"/>
      <c r="I55" s="361"/>
      <c r="J55" s="361"/>
      <c r="K55" s="361"/>
      <c r="L55" s="361"/>
      <c r="M55" s="361"/>
      <c r="N55" s="361"/>
      <c r="O55" s="361"/>
      <c r="P55" s="361"/>
      <c r="Q55" s="361"/>
      <c r="R55" s="361"/>
      <c r="S55" s="361"/>
      <c r="T55" s="361"/>
    </row>
    <row r="56" spans="2:20" ht="20.100000000000001" customHeight="1"/>
    <row r="57" spans="2:20" ht="9.9499999999999993" customHeight="1"/>
    <row r="58" spans="2:20" ht="20.100000000000001" customHeight="1"/>
    <row r="59" spans="2:20" ht="20.100000000000001" customHeight="1"/>
    <row r="60" spans="2:20" ht="20.100000000000001" customHeight="1"/>
    <row r="61" spans="2:20" s="349" customFormat="1" ht="20.100000000000001" customHeight="1">
      <c r="B61" s="361"/>
      <c r="C61" s="361"/>
      <c r="D61" s="361"/>
      <c r="E61" s="361"/>
      <c r="F61" s="361"/>
      <c r="G61" s="361"/>
      <c r="H61" s="361"/>
      <c r="I61" s="361"/>
      <c r="J61" s="361"/>
      <c r="K61" s="361"/>
      <c r="L61" s="361"/>
      <c r="M61" s="361"/>
      <c r="N61" s="361"/>
      <c r="O61" s="361"/>
      <c r="P61" s="361"/>
      <c r="Q61" s="361"/>
      <c r="R61" s="361"/>
      <c r="S61" s="361"/>
      <c r="T61" s="361"/>
    </row>
    <row r="62" spans="2:20" s="349" customFormat="1" ht="20.100000000000001" customHeight="1">
      <c r="B62" s="361"/>
      <c r="C62" s="361"/>
      <c r="D62" s="361"/>
      <c r="E62" s="361"/>
      <c r="F62" s="361"/>
      <c r="G62" s="361"/>
      <c r="H62" s="361"/>
      <c r="I62" s="361"/>
      <c r="J62" s="361"/>
      <c r="K62" s="361"/>
      <c r="L62" s="361"/>
      <c r="M62" s="361"/>
      <c r="N62" s="361"/>
      <c r="O62" s="361"/>
      <c r="P62" s="361"/>
      <c r="Q62" s="361"/>
      <c r="R62" s="361"/>
      <c r="S62" s="361"/>
      <c r="T62" s="361"/>
    </row>
    <row r="63" spans="2:20" s="349" customFormat="1" ht="20.100000000000001" customHeight="1">
      <c r="B63" s="361"/>
      <c r="C63" s="361"/>
      <c r="D63" s="361"/>
      <c r="E63" s="361"/>
      <c r="F63" s="361"/>
      <c r="G63" s="361"/>
      <c r="H63" s="361"/>
      <c r="I63" s="361"/>
      <c r="J63" s="361"/>
      <c r="K63" s="361"/>
      <c r="L63" s="361"/>
      <c r="M63" s="361"/>
      <c r="N63" s="361"/>
      <c r="O63" s="361"/>
      <c r="P63" s="361"/>
      <c r="Q63" s="361"/>
      <c r="R63" s="361"/>
      <c r="S63" s="361"/>
      <c r="T63" s="361"/>
    </row>
    <row r="64" spans="2:20" s="349" customFormat="1" ht="20.100000000000001" customHeight="1">
      <c r="B64" s="361"/>
      <c r="C64" s="361"/>
      <c r="D64" s="361"/>
      <c r="E64" s="361"/>
      <c r="F64" s="361"/>
      <c r="G64" s="361"/>
      <c r="H64" s="361"/>
      <c r="I64" s="361"/>
      <c r="J64" s="361"/>
      <c r="K64" s="361"/>
      <c r="L64" s="361"/>
      <c r="M64" s="361"/>
      <c r="N64" s="361"/>
      <c r="O64" s="361"/>
      <c r="P64" s="361"/>
      <c r="Q64" s="361"/>
      <c r="R64" s="361"/>
      <c r="S64" s="361"/>
      <c r="T64" s="361"/>
    </row>
    <row r="65" spans="2:20" s="349" customFormat="1" ht="20.100000000000001" customHeight="1">
      <c r="B65" s="361"/>
      <c r="C65" s="361"/>
      <c r="D65" s="361"/>
      <c r="E65" s="361"/>
      <c r="F65" s="361"/>
      <c r="G65" s="361"/>
      <c r="H65" s="361"/>
      <c r="I65" s="361"/>
      <c r="J65" s="361"/>
      <c r="K65" s="361"/>
      <c r="L65" s="361"/>
      <c r="M65" s="361"/>
      <c r="N65" s="361"/>
      <c r="O65" s="361"/>
      <c r="P65" s="361"/>
      <c r="Q65" s="361"/>
      <c r="R65" s="361"/>
      <c r="S65" s="361"/>
      <c r="T65" s="361"/>
    </row>
    <row r="66" spans="2:20" s="349" customFormat="1" ht="20.100000000000001" customHeight="1">
      <c r="B66" s="361"/>
      <c r="C66" s="361"/>
      <c r="D66" s="361"/>
      <c r="E66" s="361"/>
      <c r="F66" s="361"/>
      <c r="G66" s="361"/>
      <c r="H66" s="361"/>
      <c r="I66" s="361"/>
      <c r="J66" s="361"/>
      <c r="K66" s="361"/>
      <c r="L66" s="361"/>
      <c r="M66" s="361"/>
      <c r="N66" s="361"/>
      <c r="O66" s="361"/>
      <c r="P66" s="361"/>
      <c r="Q66" s="361"/>
      <c r="R66" s="361"/>
      <c r="S66" s="361"/>
      <c r="T66" s="361"/>
    </row>
    <row r="67" spans="2:20" s="349" customFormat="1" ht="20.100000000000001" customHeight="1">
      <c r="B67" s="361"/>
      <c r="C67" s="361"/>
      <c r="D67" s="361"/>
      <c r="E67" s="361"/>
      <c r="F67" s="361"/>
      <c r="G67" s="361"/>
      <c r="H67" s="361"/>
      <c r="I67" s="361"/>
      <c r="J67" s="361"/>
      <c r="K67" s="361"/>
      <c r="L67" s="361"/>
      <c r="M67" s="361"/>
      <c r="N67" s="361"/>
      <c r="O67" s="361"/>
      <c r="P67" s="361"/>
      <c r="Q67" s="361"/>
      <c r="R67" s="361"/>
      <c r="S67" s="361"/>
      <c r="T67" s="361"/>
    </row>
    <row r="68" spans="2:20" s="349" customFormat="1" ht="20.100000000000001" customHeight="1">
      <c r="B68" s="361"/>
      <c r="C68" s="361"/>
      <c r="D68" s="361"/>
      <c r="E68" s="361"/>
      <c r="F68" s="361"/>
      <c r="G68" s="361"/>
      <c r="H68" s="361"/>
      <c r="I68" s="361"/>
      <c r="J68" s="361"/>
      <c r="K68" s="361"/>
      <c r="L68" s="361"/>
      <c r="M68" s="361"/>
      <c r="N68" s="361"/>
      <c r="O68" s="361"/>
      <c r="P68" s="361"/>
      <c r="Q68" s="361"/>
      <c r="R68" s="361"/>
      <c r="S68" s="361"/>
      <c r="T68" s="361"/>
    </row>
    <row r="69" spans="2:20" s="349" customFormat="1" ht="20.100000000000001" customHeight="1">
      <c r="B69" s="361"/>
      <c r="C69" s="361"/>
      <c r="D69" s="361"/>
      <c r="E69" s="361"/>
      <c r="F69" s="361"/>
      <c r="G69" s="361"/>
      <c r="H69" s="361"/>
      <c r="I69" s="361"/>
      <c r="J69" s="361"/>
      <c r="K69" s="361"/>
      <c r="L69" s="361"/>
      <c r="M69" s="361"/>
      <c r="N69" s="361"/>
      <c r="O69" s="361"/>
      <c r="P69" s="361"/>
      <c r="Q69" s="361"/>
      <c r="R69" s="361"/>
      <c r="S69" s="361"/>
      <c r="T69" s="361"/>
    </row>
    <row r="70" spans="2:20" s="349" customFormat="1" ht="20.100000000000001" customHeight="1">
      <c r="B70" s="361"/>
      <c r="C70" s="361"/>
      <c r="D70" s="361"/>
      <c r="E70" s="361"/>
      <c r="F70" s="361"/>
      <c r="G70" s="361"/>
      <c r="H70" s="361"/>
      <c r="I70" s="361"/>
      <c r="J70" s="361"/>
      <c r="K70" s="361"/>
      <c r="L70" s="361"/>
      <c r="M70" s="361"/>
      <c r="N70" s="361"/>
      <c r="O70" s="361"/>
      <c r="P70" s="361"/>
      <c r="Q70" s="361"/>
      <c r="R70" s="361"/>
      <c r="S70" s="361"/>
      <c r="T70" s="361"/>
    </row>
    <row r="71" spans="2:20" s="349" customFormat="1" ht="20.100000000000001" customHeight="1">
      <c r="B71" s="361"/>
      <c r="C71" s="361"/>
      <c r="D71" s="361"/>
      <c r="E71" s="361"/>
      <c r="F71" s="361"/>
      <c r="G71" s="361"/>
      <c r="H71" s="361"/>
      <c r="I71" s="361"/>
      <c r="J71" s="361"/>
      <c r="K71" s="361"/>
      <c r="L71" s="361"/>
      <c r="M71" s="361"/>
      <c r="N71" s="361"/>
      <c r="O71" s="361"/>
      <c r="P71" s="361"/>
      <c r="Q71" s="361"/>
      <c r="R71" s="361"/>
      <c r="S71" s="361"/>
      <c r="T71" s="361"/>
    </row>
    <row r="72" spans="2:20" s="349" customFormat="1" ht="20.100000000000001" customHeight="1">
      <c r="B72" s="361"/>
      <c r="C72" s="361"/>
      <c r="D72" s="361"/>
      <c r="E72" s="361"/>
      <c r="F72" s="361"/>
      <c r="G72" s="361"/>
      <c r="H72" s="361"/>
      <c r="I72" s="361"/>
      <c r="J72" s="361"/>
      <c r="K72" s="361"/>
      <c r="L72" s="361"/>
      <c r="M72" s="361"/>
      <c r="N72" s="361"/>
      <c r="O72" s="361"/>
      <c r="P72" s="361"/>
      <c r="Q72" s="361"/>
      <c r="R72" s="361"/>
      <c r="S72" s="361"/>
      <c r="T72" s="361"/>
    </row>
    <row r="73" spans="2:20" s="349" customFormat="1" ht="20.100000000000001" customHeight="1">
      <c r="B73" s="361"/>
      <c r="C73" s="361"/>
      <c r="D73" s="361"/>
      <c r="E73" s="361"/>
      <c r="F73" s="361"/>
      <c r="G73" s="361"/>
      <c r="H73" s="361"/>
      <c r="I73" s="361"/>
      <c r="J73" s="361"/>
      <c r="K73" s="361"/>
      <c r="L73" s="361"/>
      <c r="M73" s="361"/>
      <c r="N73" s="361"/>
      <c r="O73" s="361"/>
      <c r="P73" s="361"/>
      <c r="Q73" s="361"/>
      <c r="R73" s="361"/>
      <c r="S73" s="361"/>
      <c r="T73" s="361"/>
    </row>
    <row r="74" spans="2:20" s="349" customFormat="1" ht="20.100000000000001" customHeight="1">
      <c r="B74" s="361"/>
      <c r="C74" s="361"/>
      <c r="D74" s="361"/>
      <c r="E74" s="361"/>
      <c r="F74" s="361"/>
      <c r="G74" s="361"/>
      <c r="H74" s="361"/>
      <c r="I74" s="361"/>
      <c r="J74" s="361"/>
      <c r="K74" s="361"/>
      <c r="L74" s="361"/>
      <c r="M74" s="361"/>
      <c r="N74" s="361"/>
      <c r="O74" s="361"/>
      <c r="P74" s="361"/>
      <c r="Q74" s="361"/>
      <c r="R74" s="361"/>
      <c r="S74" s="361"/>
      <c r="T74" s="361"/>
    </row>
    <row r="75" spans="2:20" s="349" customFormat="1" ht="20.100000000000001" customHeight="1">
      <c r="B75" s="361"/>
      <c r="C75" s="361"/>
      <c r="D75" s="361"/>
      <c r="E75" s="361"/>
      <c r="F75" s="361"/>
      <c r="G75" s="361"/>
      <c r="H75" s="361"/>
      <c r="I75" s="361"/>
      <c r="J75" s="361"/>
      <c r="K75" s="361"/>
      <c r="L75" s="361"/>
      <c r="M75" s="361"/>
      <c r="N75" s="361"/>
      <c r="O75" s="361"/>
      <c r="P75" s="361"/>
      <c r="Q75" s="361"/>
      <c r="R75" s="361"/>
      <c r="S75" s="361"/>
      <c r="T75" s="361"/>
    </row>
    <row r="76" spans="2:20" s="349" customFormat="1" ht="20.100000000000001" customHeight="1">
      <c r="B76" s="361"/>
      <c r="C76" s="361"/>
      <c r="D76" s="361"/>
      <c r="E76" s="361"/>
      <c r="F76" s="361"/>
      <c r="G76" s="361"/>
      <c r="H76" s="361"/>
      <c r="I76" s="361"/>
      <c r="J76" s="361"/>
      <c r="K76" s="361"/>
      <c r="L76" s="361"/>
      <c r="M76" s="361"/>
      <c r="N76" s="361"/>
      <c r="O76" s="361"/>
      <c r="P76" s="361"/>
      <c r="Q76" s="361"/>
      <c r="R76" s="361"/>
      <c r="S76" s="361"/>
      <c r="T76" s="361"/>
    </row>
    <row r="77" spans="2:20" s="349" customFormat="1" ht="20.100000000000001" customHeight="1">
      <c r="B77" s="361"/>
      <c r="C77" s="361"/>
      <c r="D77" s="361"/>
      <c r="E77" s="361"/>
      <c r="F77" s="361"/>
      <c r="G77" s="361"/>
      <c r="H77" s="361"/>
      <c r="I77" s="361"/>
      <c r="J77" s="361"/>
      <c r="K77" s="361"/>
      <c r="L77" s="361"/>
      <c r="M77" s="361"/>
      <c r="N77" s="361"/>
      <c r="O77" s="361"/>
      <c r="P77" s="361"/>
      <c r="Q77" s="361"/>
      <c r="R77" s="361"/>
      <c r="S77" s="361"/>
      <c r="T77" s="361"/>
    </row>
    <row r="78" spans="2:20" s="349" customFormat="1" ht="20.100000000000001" customHeight="1">
      <c r="B78" s="361"/>
      <c r="C78" s="361"/>
      <c r="D78" s="361"/>
      <c r="E78" s="361"/>
      <c r="F78" s="361"/>
      <c r="G78" s="361"/>
      <c r="H78" s="361"/>
      <c r="I78" s="361"/>
      <c r="J78" s="361"/>
      <c r="K78" s="361"/>
      <c r="L78" s="361"/>
      <c r="M78" s="361"/>
      <c r="N78" s="361"/>
      <c r="O78" s="361"/>
      <c r="P78" s="361"/>
      <c r="Q78" s="361"/>
      <c r="R78" s="361"/>
      <c r="S78" s="361"/>
      <c r="T78" s="361"/>
    </row>
    <row r="79" spans="2:20" s="349" customFormat="1" ht="20.100000000000001" customHeight="1">
      <c r="B79" s="361"/>
      <c r="C79" s="361"/>
      <c r="D79" s="361"/>
      <c r="E79" s="361"/>
      <c r="F79" s="361"/>
      <c r="G79" s="361"/>
      <c r="H79" s="361"/>
      <c r="I79" s="361"/>
      <c r="J79" s="361"/>
      <c r="K79" s="361"/>
      <c r="L79" s="361"/>
      <c r="M79" s="361"/>
      <c r="N79" s="361"/>
      <c r="O79" s="361"/>
      <c r="P79" s="361"/>
      <c r="Q79" s="361"/>
      <c r="R79" s="361"/>
      <c r="S79" s="361"/>
      <c r="T79" s="361"/>
    </row>
    <row r="80" spans="2:20" s="349" customFormat="1" ht="20.100000000000001" customHeight="1">
      <c r="B80" s="361"/>
      <c r="C80" s="361"/>
      <c r="D80" s="361"/>
      <c r="E80" s="361"/>
      <c r="F80" s="361"/>
      <c r="G80" s="361"/>
      <c r="H80" s="361"/>
      <c r="I80" s="361"/>
      <c r="J80" s="361"/>
      <c r="K80" s="361"/>
      <c r="L80" s="361"/>
      <c r="M80" s="361"/>
      <c r="N80" s="361"/>
      <c r="O80" s="361"/>
      <c r="P80" s="361"/>
      <c r="Q80" s="361"/>
      <c r="R80" s="361"/>
      <c r="S80" s="361"/>
      <c r="T80" s="361"/>
    </row>
    <row r="81" spans="2:20" s="349" customFormat="1" ht="20.100000000000001" customHeight="1">
      <c r="B81" s="361"/>
      <c r="C81" s="361"/>
      <c r="D81" s="361"/>
      <c r="E81" s="361"/>
      <c r="F81" s="361"/>
      <c r="G81" s="361"/>
      <c r="H81" s="361"/>
      <c r="I81" s="361"/>
      <c r="J81" s="361"/>
      <c r="K81" s="361"/>
      <c r="L81" s="361"/>
      <c r="M81" s="361"/>
      <c r="N81" s="361"/>
      <c r="O81" s="361"/>
      <c r="P81" s="361"/>
      <c r="Q81" s="361"/>
      <c r="R81" s="361"/>
      <c r="S81" s="361"/>
      <c r="T81" s="361"/>
    </row>
    <row r="82" spans="2:20" s="349" customFormat="1" ht="20.100000000000001" customHeight="1">
      <c r="B82" s="361"/>
      <c r="C82" s="361"/>
      <c r="D82" s="361"/>
      <c r="E82" s="361"/>
      <c r="F82" s="361"/>
      <c r="G82" s="361"/>
      <c r="H82" s="361"/>
      <c r="I82" s="361"/>
      <c r="J82" s="361"/>
      <c r="K82" s="361"/>
      <c r="L82" s="361"/>
      <c r="M82" s="361"/>
      <c r="N82" s="361"/>
      <c r="O82" s="361"/>
      <c r="P82" s="361"/>
      <c r="Q82" s="361"/>
      <c r="R82" s="361"/>
      <c r="S82" s="361"/>
      <c r="T82" s="361"/>
    </row>
    <row r="83" spans="2:20" s="349" customFormat="1" ht="20.100000000000001" customHeight="1">
      <c r="B83" s="361"/>
      <c r="C83" s="361"/>
      <c r="D83" s="361"/>
      <c r="E83" s="361"/>
      <c r="F83" s="361"/>
      <c r="G83" s="361"/>
      <c r="H83" s="361"/>
      <c r="I83" s="361"/>
      <c r="J83" s="361"/>
      <c r="K83" s="361"/>
      <c r="L83" s="361"/>
      <c r="M83" s="361"/>
      <c r="N83" s="361"/>
      <c r="O83" s="361"/>
      <c r="P83" s="361"/>
      <c r="Q83" s="361"/>
      <c r="R83" s="361"/>
      <c r="S83" s="361"/>
      <c r="T83" s="361"/>
    </row>
    <row r="84" spans="2:20" s="349" customFormat="1" ht="20.100000000000001" customHeight="1">
      <c r="B84" s="361"/>
      <c r="C84" s="361"/>
      <c r="D84" s="361"/>
      <c r="E84" s="361"/>
      <c r="F84" s="361"/>
      <c r="G84" s="361"/>
      <c r="H84" s="361"/>
      <c r="I84" s="361"/>
      <c r="J84" s="361"/>
      <c r="K84" s="361"/>
      <c r="L84" s="361"/>
      <c r="M84" s="361"/>
      <c r="N84" s="361"/>
      <c r="O84" s="361"/>
      <c r="P84" s="361"/>
      <c r="Q84" s="361"/>
      <c r="R84" s="361"/>
      <c r="S84" s="361"/>
      <c r="T84" s="361"/>
    </row>
    <row r="85" spans="2:20" s="349" customFormat="1" ht="20.100000000000001" customHeight="1">
      <c r="B85" s="361"/>
      <c r="C85" s="361"/>
      <c r="D85" s="361"/>
      <c r="E85" s="361"/>
      <c r="F85" s="361"/>
      <c r="G85" s="361"/>
      <c r="H85" s="361"/>
      <c r="I85" s="361"/>
      <c r="J85" s="361"/>
      <c r="K85" s="361"/>
      <c r="L85" s="361"/>
      <c r="M85" s="361"/>
      <c r="N85" s="361"/>
      <c r="O85" s="361"/>
      <c r="P85" s="361"/>
      <c r="Q85" s="361"/>
      <c r="R85" s="361"/>
      <c r="S85" s="361"/>
      <c r="T85" s="361"/>
    </row>
    <row r="86" spans="2:20" s="349" customFormat="1" ht="20.100000000000001" customHeight="1">
      <c r="B86" s="361"/>
      <c r="C86" s="361"/>
      <c r="D86" s="361"/>
      <c r="E86" s="361"/>
      <c r="F86" s="361"/>
      <c r="G86" s="361"/>
      <c r="H86" s="361"/>
      <c r="I86" s="361"/>
      <c r="J86" s="361"/>
      <c r="K86" s="361"/>
      <c r="L86" s="361"/>
      <c r="M86" s="361"/>
      <c r="N86" s="361"/>
      <c r="O86" s="361"/>
      <c r="P86" s="361"/>
      <c r="Q86" s="361"/>
      <c r="R86" s="361"/>
      <c r="S86" s="361"/>
      <c r="T86" s="361"/>
    </row>
    <row r="87" spans="2:20" s="349" customFormat="1" ht="20.100000000000001" customHeight="1">
      <c r="B87" s="361"/>
      <c r="C87" s="361"/>
      <c r="D87" s="361"/>
      <c r="E87" s="361"/>
      <c r="F87" s="361"/>
      <c r="G87" s="361"/>
      <c r="H87" s="361"/>
      <c r="I87" s="361"/>
      <c r="J87" s="361"/>
      <c r="K87" s="361"/>
      <c r="L87" s="361"/>
      <c r="M87" s="361"/>
      <c r="N87" s="361"/>
      <c r="O87" s="361"/>
      <c r="P87" s="361"/>
      <c r="Q87" s="361"/>
      <c r="R87" s="361"/>
      <c r="S87" s="361"/>
      <c r="T87" s="361"/>
    </row>
    <row r="88" spans="2:20" s="349" customFormat="1" ht="20.100000000000001" customHeight="1">
      <c r="B88" s="361"/>
      <c r="C88" s="361"/>
      <c r="D88" s="361"/>
      <c r="E88" s="361"/>
      <c r="F88" s="361"/>
      <c r="G88" s="361"/>
      <c r="H88" s="361"/>
      <c r="I88" s="361"/>
      <c r="J88" s="361"/>
      <c r="K88" s="361"/>
      <c r="L88" s="361"/>
      <c r="M88" s="361"/>
      <c r="N88" s="361"/>
      <c r="O88" s="361"/>
      <c r="P88" s="361"/>
      <c r="Q88" s="361"/>
      <c r="R88" s="361"/>
      <c r="S88" s="361"/>
      <c r="T88" s="361"/>
    </row>
    <row r="89" spans="2:20" s="349" customFormat="1" ht="20.100000000000001" customHeight="1">
      <c r="B89" s="361"/>
      <c r="C89" s="361"/>
      <c r="D89" s="361"/>
      <c r="E89" s="361"/>
      <c r="F89" s="361"/>
      <c r="G89" s="361"/>
      <c r="H89" s="361"/>
      <c r="I89" s="361"/>
      <c r="J89" s="361"/>
      <c r="K89" s="361"/>
      <c r="L89" s="361"/>
      <c r="M89" s="361"/>
      <c r="N89" s="361"/>
      <c r="O89" s="361"/>
      <c r="P89" s="361"/>
      <c r="Q89" s="361"/>
      <c r="R89" s="361"/>
      <c r="S89" s="361"/>
      <c r="T89" s="361"/>
    </row>
    <row r="90" spans="2:20" s="349" customFormat="1" ht="20.100000000000001" customHeight="1">
      <c r="B90" s="361"/>
      <c r="C90" s="361"/>
      <c r="D90" s="361"/>
      <c r="E90" s="361"/>
      <c r="F90" s="361"/>
      <c r="G90" s="361"/>
      <c r="H90" s="361"/>
      <c r="I90" s="361"/>
      <c r="J90" s="361"/>
      <c r="K90" s="361"/>
      <c r="L90" s="361"/>
      <c r="M90" s="361"/>
      <c r="N90" s="361"/>
      <c r="O90" s="361"/>
      <c r="P90" s="361"/>
      <c r="Q90" s="361"/>
      <c r="R90" s="361"/>
      <c r="S90" s="361"/>
      <c r="T90" s="361"/>
    </row>
    <row r="91" spans="2:20" s="349" customFormat="1" ht="20.100000000000001" customHeight="1">
      <c r="B91" s="361"/>
      <c r="C91" s="361"/>
      <c r="D91" s="361"/>
      <c r="E91" s="361"/>
      <c r="F91" s="361"/>
      <c r="G91" s="361"/>
      <c r="H91" s="361"/>
      <c r="I91" s="361"/>
      <c r="J91" s="361"/>
      <c r="K91" s="361"/>
      <c r="L91" s="361"/>
      <c r="M91" s="361"/>
      <c r="N91" s="361"/>
      <c r="O91" s="361"/>
      <c r="P91" s="361"/>
      <c r="Q91" s="361"/>
      <c r="R91" s="361"/>
      <c r="S91" s="361"/>
      <c r="T91" s="361"/>
    </row>
    <row r="92" spans="2:20" s="349" customFormat="1" ht="20.100000000000001" customHeight="1">
      <c r="B92" s="361"/>
      <c r="C92" s="361"/>
      <c r="D92" s="361"/>
      <c r="E92" s="361"/>
      <c r="F92" s="361"/>
      <c r="G92" s="361"/>
      <c r="H92" s="361"/>
      <c r="I92" s="361"/>
      <c r="J92" s="361"/>
      <c r="K92" s="361"/>
      <c r="L92" s="361"/>
      <c r="M92" s="361"/>
      <c r="N92" s="361"/>
      <c r="O92" s="361"/>
      <c r="P92" s="361"/>
      <c r="Q92" s="361"/>
      <c r="R92" s="361"/>
      <c r="S92" s="361"/>
      <c r="T92" s="361"/>
    </row>
    <row r="93" spans="2:20" s="349" customFormat="1" ht="20.100000000000001" customHeight="1">
      <c r="B93" s="361"/>
      <c r="C93" s="361"/>
      <c r="D93" s="361"/>
      <c r="E93" s="361"/>
      <c r="F93" s="361"/>
      <c r="G93" s="361"/>
      <c r="H93" s="361"/>
      <c r="I93" s="361"/>
      <c r="J93" s="361"/>
      <c r="K93" s="361"/>
      <c r="L93" s="361"/>
      <c r="M93" s="361"/>
      <c r="N93" s="361"/>
      <c r="O93" s="361"/>
      <c r="P93" s="361"/>
      <c r="Q93" s="361"/>
      <c r="R93" s="361"/>
      <c r="S93" s="361"/>
      <c r="T93" s="361"/>
    </row>
    <row r="94" spans="2:20" s="349" customFormat="1" ht="20.100000000000001" customHeight="1">
      <c r="B94" s="361"/>
      <c r="C94" s="361"/>
      <c r="D94" s="361"/>
      <c r="E94" s="361"/>
      <c r="F94" s="361"/>
      <c r="G94" s="361"/>
      <c r="H94" s="361"/>
      <c r="I94" s="361"/>
      <c r="J94" s="361"/>
      <c r="K94" s="361"/>
      <c r="L94" s="361"/>
      <c r="M94" s="361"/>
      <c r="N94" s="361"/>
      <c r="O94" s="361"/>
      <c r="P94" s="361"/>
      <c r="Q94" s="361"/>
      <c r="R94" s="361"/>
      <c r="S94" s="361"/>
      <c r="T94" s="361"/>
    </row>
    <row r="95" spans="2:20" s="349" customFormat="1" ht="20.100000000000001" customHeight="1">
      <c r="B95" s="361"/>
      <c r="C95" s="361"/>
      <c r="D95" s="361"/>
      <c r="E95" s="361"/>
      <c r="F95" s="361"/>
      <c r="G95" s="361"/>
      <c r="H95" s="361"/>
      <c r="I95" s="361"/>
      <c r="J95" s="361"/>
      <c r="K95" s="361"/>
      <c r="L95" s="361"/>
      <c r="M95" s="361"/>
      <c r="N95" s="361"/>
      <c r="O95" s="361"/>
      <c r="P95" s="361"/>
      <c r="Q95" s="361"/>
      <c r="R95" s="361"/>
      <c r="S95" s="361"/>
      <c r="T95" s="361"/>
    </row>
    <row r="96" spans="2:20" s="349" customFormat="1" ht="20.100000000000001" customHeight="1">
      <c r="B96" s="361"/>
      <c r="C96" s="361"/>
      <c r="D96" s="361"/>
      <c r="E96" s="361"/>
      <c r="F96" s="361"/>
      <c r="G96" s="361"/>
      <c r="H96" s="361"/>
      <c r="I96" s="361"/>
      <c r="J96" s="361"/>
      <c r="K96" s="361"/>
      <c r="L96" s="361"/>
      <c r="M96" s="361"/>
      <c r="N96" s="361"/>
      <c r="O96" s="361"/>
      <c r="P96" s="361"/>
      <c r="Q96" s="361"/>
      <c r="R96" s="361"/>
      <c r="S96" s="361"/>
      <c r="T96" s="361"/>
    </row>
    <row r="97" spans="2:20" s="349" customFormat="1" ht="20.100000000000001" customHeight="1">
      <c r="B97" s="361"/>
      <c r="C97" s="361"/>
      <c r="D97" s="361"/>
      <c r="E97" s="361"/>
      <c r="F97" s="361"/>
      <c r="G97" s="361"/>
      <c r="H97" s="361"/>
      <c r="I97" s="361"/>
      <c r="J97" s="361"/>
      <c r="K97" s="361"/>
      <c r="L97" s="361"/>
      <c r="M97" s="361"/>
      <c r="N97" s="361"/>
      <c r="O97" s="361"/>
      <c r="P97" s="361"/>
      <c r="Q97" s="361"/>
      <c r="R97" s="361"/>
      <c r="S97" s="361"/>
      <c r="T97" s="361"/>
    </row>
    <row r="98" spans="2:20" ht="20.100000000000001" customHeight="1"/>
    <row r="99" spans="2:20" ht="9.9499999999999993" customHeight="1"/>
    <row r="100" spans="2:20" ht="20.100000000000001" customHeight="1"/>
    <row r="101" spans="2:20" ht="20.100000000000001" customHeight="1"/>
    <row r="102" spans="2:20" ht="20.100000000000001" customHeight="1"/>
    <row r="103" spans="2:20" ht="20.100000000000001" customHeight="1"/>
    <row r="104" spans="2:20" s="349" customFormat="1" ht="20.100000000000001" customHeight="1">
      <c r="B104" s="361"/>
      <c r="C104" s="361"/>
      <c r="D104" s="361"/>
      <c r="E104" s="361"/>
      <c r="F104" s="361"/>
      <c r="G104" s="361"/>
      <c r="H104" s="361"/>
      <c r="I104" s="361"/>
      <c r="J104" s="361"/>
      <c r="K104" s="361"/>
      <c r="L104" s="361"/>
      <c r="M104" s="361"/>
      <c r="N104" s="361"/>
      <c r="O104" s="361"/>
      <c r="P104" s="361"/>
      <c r="Q104" s="361"/>
      <c r="R104" s="361"/>
      <c r="S104" s="361"/>
      <c r="T104" s="361"/>
    </row>
    <row r="105" spans="2:20" s="349" customFormat="1" ht="20.100000000000001" customHeight="1">
      <c r="B105" s="361"/>
      <c r="C105" s="361"/>
      <c r="D105" s="361"/>
      <c r="E105" s="361"/>
      <c r="F105" s="361"/>
      <c r="G105" s="361"/>
      <c r="H105" s="361"/>
      <c r="I105" s="361"/>
      <c r="J105" s="361"/>
      <c r="K105" s="361"/>
      <c r="L105" s="361"/>
      <c r="M105" s="361"/>
      <c r="N105" s="361"/>
      <c r="O105" s="361"/>
      <c r="P105" s="361"/>
      <c r="Q105" s="361"/>
      <c r="R105" s="361"/>
      <c r="S105" s="361"/>
      <c r="T105" s="361"/>
    </row>
    <row r="106" spans="2:20" s="349" customFormat="1" ht="20.100000000000001" customHeight="1">
      <c r="B106" s="361"/>
      <c r="C106" s="361"/>
      <c r="D106" s="361"/>
      <c r="E106" s="361"/>
      <c r="F106" s="361"/>
      <c r="G106" s="361"/>
      <c r="H106" s="361"/>
      <c r="I106" s="361"/>
      <c r="J106" s="361"/>
      <c r="K106" s="361"/>
      <c r="L106" s="361"/>
      <c r="M106" s="361"/>
      <c r="N106" s="361"/>
      <c r="O106" s="361"/>
      <c r="P106" s="361"/>
      <c r="Q106" s="361"/>
      <c r="R106" s="361"/>
      <c r="S106" s="361"/>
      <c r="T106" s="361"/>
    </row>
    <row r="107" spans="2:20" s="349" customFormat="1" ht="20.100000000000001" customHeight="1">
      <c r="B107" s="361"/>
      <c r="C107" s="361"/>
      <c r="D107" s="361"/>
      <c r="E107" s="361"/>
      <c r="F107" s="361"/>
      <c r="G107" s="361"/>
      <c r="H107" s="361"/>
      <c r="I107" s="361"/>
      <c r="J107" s="361"/>
      <c r="K107" s="361"/>
      <c r="L107" s="361"/>
      <c r="M107" s="361"/>
      <c r="N107" s="361"/>
      <c r="O107" s="361"/>
      <c r="P107" s="361"/>
      <c r="Q107" s="361"/>
      <c r="R107" s="361"/>
      <c r="S107" s="361"/>
      <c r="T107" s="361"/>
    </row>
    <row r="108" spans="2:20" s="349" customFormat="1" ht="20.100000000000001" customHeight="1">
      <c r="B108" s="361"/>
      <c r="C108" s="361"/>
      <c r="D108" s="361"/>
      <c r="E108" s="361"/>
      <c r="F108" s="361"/>
      <c r="G108" s="361"/>
      <c r="H108" s="361"/>
      <c r="I108" s="361"/>
      <c r="J108" s="361"/>
      <c r="K108" s="361"/>
      <c r="L108" s="361"/>
      <c r="M108" s="361"/>
      <c r="N108" s="361"/>
      <c r="O108" s="361"/>
      <c r="P108" s="361"/>
      <c r="Q108" s="361"/>
      <c r="R108" s="361"/>
      <c r="S108" s="361"/>
      <c r="T108" s="361"/>
    </row>
    <row r="109" spans="2:20" s="349" customFormat="1" ht="20.100000000000001" customHeight="1">
      <c r="B109" s="361"/>
      <c r="C109" s="361"/>
      <c r="D109" s="361"/>
      <c r="E109" s="361"/>
      <c r="F109" s="361"/>
      <c r="G109" s="361"/>
      <c r="H109" s="361"/>
      <c r="I109" s="361"/>
      <c r="J109" s="361"/>
      <c r="K109" s="361"/>
      <c r="L109" s="361"/>
      <c r="M109" s="361"/>
      <c r="N109" s="361"/>
      <c r="O109" s="361"/>
      <c r="P109" s="361"/>
      <c r="Q109" s="361"/>
      <c r="R109" s="361"/>
      <c r="S109" s="361"/>
      <c r="T109" s="361"/>
    </row>
    <row r="110" spans="2:20" s="349" customFormat="1" ht="20.100000000000001" customHeight="1">
      <c r="B110" s="361"/>
      <c r="C110" s="361"/>
      <c r="D110" s="361"/>
      <c r="E110" s="361"/>
      <c r="F110" s="361"/>
      <c r="G110" s="361"/>
      <c r="H110" s="361"/>
      <c r="I110" s="361"/>
      <c r="J110" s="361"/>
      <c r="K110" s="361"/>
      <c r="L110" s="361"/>
      <c r="M110" s="361"/>
      <c r="N110" s="361"/>
      <c r="O110" s="361"/>
      <c r="P110" s="361"/>
      <c r="Q110" s="361"/>
      <c r="R110" s="361"/>
      <c r="S110" s="361"/>
      <c r="T110" s="361"/>
    </row>
    <row r="111" spans="2:20" s="349" customFormat="1" ht="20.100000000000001" customHeight="1">
      <c r="B111" s="361"/>
      <c r="C111" s="361"/>
      <c r="D111" s="361"/>
      <c r="E111" s="361"/>
      <c r="F111" s="361"/>
      <c r="G111" s="361"/>
      <c r="H111" s="361"/>
      <c r="I111" s="361"/>
      <c r="J111" s="361"/>
      <c r="K111" s="361"/>
      <c r="L111" s="361"/>
      <c r="M111" s="361"/>
      <c r="N111" s="361"/>
      <c r="O111" s="361"/>
      <c r="P111" s="361"/>
      <c r="Q111" s="361"/>
      <c r="R111" s="361"/>
      <c r="S111" s="361"/>
      <c r="T111" s="361"/>
    </row>
    <row r="112" spans="2:20" s="349" customFormat="1" ht="20.100000000000001" customHeight="1">
      <c r="B112" s="361"/>
      <c r="C112" s="361"/>
      <c r="D112" s="361"/>
      <c r="E112" s="361"/>
      <c r="F112" s="361"/>
      <c r="G112" s="361"/>
      <c r="H112" s="361"/>
      <c r="I112" s="361"/>
      <c r="J112" s="361"/>
      <c r="K112" s="361"/>
      <c r="L112" s="361"/>
      <c r="M112" s="361"/>
      <c r="N112" s="361"/>
      <c r="O112" s="361"/>
      <c r="P112" s="361"/>
      <c r="Q112" s="361"/>
      <c r="R112" s="361"/>
      <c r="S112" s="361"/>
      <c r="T112" s="361"/>
    </row>
    <row r="113" spans="2:20" s="349" customFormat="1" ht="20.100000000000001" customHeight="1">
      <c r="B113" s="361"/>
      <c r="C113" s="361"/>
      <c r="D113" s="361"/>
      <c r="E113" s="361"/>
      <c r="F113" s="361"/>
      <c r="G113" s="361"/>
      <c r="H113" s="361"/>
      <c r="I113" s="361"/>
      <c r="J113" s="361"/>
      <c r="K113" s="361"/>
      <c r="L113" s="361"/>
      <c r="M113" s="361"/>
      <c r="N113" s="361"/>
      <c r="O113" s="361"/>
      <c r="P113" s="361"/>
      <c r="Q113" s="361"/>
      <c r="R113" s="361"/>
      <c r="S113" s="361"/>
      <c r="T113" s="361"/>
    </row>
    <row r="114" spans="2:20" s="349" customFormat="1" ht="20.100000000000001" customHeight="1">
      <c r="B114" s="361"/>
      <c r="C114" s="361"/>
      <c r="D114" s="361"/>
      <c r="E114" s="361"/>
      <c r="F114" s="361"/>
      <c r="G114" s="361"/>
      <c r="H114" s="361"/>
      <c r="I114" s="361"/>
      <c r="J114" s="361"/>
      <c r="K114" s="361"/>
      <c r="L114" s="361"/>
      <c r="M114" s="361"/>
      <c r="N114" s="361"/>
      <c r="O114" s="361"/>
      <c r="P114" s="361"/>
      <c r="Q114" s="361"/>
      <c r="R114" s="361"/>
      <c r="S114" s="361"/>
      <c r="T114" s="361"/>
    </row>
    <row r="115" spans="2:20" s="349" customFormat="1" ht="20.100000000000001" customHeight="1">
      <c r="B115" s="361"/>
      <c r="C115" s="361"/>
      <c r="D115" s="361"/>
      <c r="E115" s="361"/>
      <c r="F115" s="361"/>
      <c r="G115" s="361"/>
      <c r="H115" s="361"/>
      <c r="I115" s="361"/>
      <c r="J115" s="361"/>
      <c r="K115" s="361"/>
      <c r="L115" s="361"/>
      <c r="M115" s="361"/>
      <c r="N115" s="361"/>
      <c r="O115" s="361"/>
      <c r="P115" s="361"/>
      <c r="Q115" s="361"/>
      <c r="R115" s="361"/>
      <c r="S115" s="361"/>
      <c r="T115" s="361"/>
    </row>
    <row r="116" spans="2:20" s="349" customFormat="1" ht="20.100000000000001" customHeight="1">
      <c r="B116" s="361"/>
      <c r="C116" s="361"/>
      <c r="D116" s="361"/>
      <c r="E116" s="361"/>
      <c r="F116" s="361"/>
      <c r="G116" s="361"/>
      <c r="H116" s="361"/>
      <c r="I116" s="361"/>
      <c r="J116" s="361"/>
      <c r="K116" s="361"/>
      <c r="L116" s="361"/>
      <c r="M116" s="361"/>
      <c r="N116" s="361"/>
      <c r="O116" s="361"/>
      <c r="P116" s="361"/>
      <c r="Q116" s="361"/>
      <c r="R116" s="361"/>
      <c r="S116" s="361"/>
      <c r="T116" s="361"/>
    </row>
    <row r="117" spans="2:20" s="349" customFormat="1" ht="20.100000000000001" customHeight="1">
      <c r="B117" s="361"/>
      <c r="C117" s="361"/>
      <c r="D117" s="361"/>
      <c r="E117" s="361"/>
      <c r="F117" s="361"/>
      <c r="G117" s="361"/>
      <c r="H117" s="361"/>
      <c r="I117" s="361"/>
      <c r="J117" s="361"/>
      <c r="K117" s="361"/>
      <c r="L117" s="361"/>
      <c r="M117" s="361"/>
      <c r="N117" s="361"/>
      <c r="O117" s="361"/>
      <c r="P117" s="361"/>
      <c r="Q117" s="361"/>
      <c r="R117" s="361"/>
      <c r="S117" s="361"/>
      <c r="T117" s="361"/>
    </row>
    <row r="118" spans="2:20" s="349" customFormat="1" ht="20.100000000000001" customHeight="1">
      <c r="B118" s="361"/>
      <c r="C118" s="361"/>
      <c r="D118" s="361"/>
      <c r="E118" s="361"/>
      <c r="F118" s="361"/>
      <c r="G118" s="361"/>
      <c r="H118" s="361"/>
      <c r="I118" s="361"/>
      <c r="J118" s="361"/>
      <c r="K118" s="361"/>
      <c r="L118" s="361"/>
      <c r="M118" s="361"/>
      <c r="N118" s="361"/>
      <c r="O118" s="361"/>
      <c r="P118" s="361"/>
      <c r="Q118" s="361"/>
      <c r="R118" s="361"/>
      <c r="S118" s="361"/>
      <c r="T118" s="361"/>
    </row>
    <row r="119" spans="2:20" s="349" customFormat="1" ht="20.100000000000001" customHeight="1">
      <c r="B119" s="361"/>
      <c r="C119" s="361"/>
      <c r="D119" s="361"/>
      <c r="E119" s="361"/>
      <c r="F119" s="361"/>
      <c r="G119" s="361"/>
      <c r="H119" s="361"/>
      <c r="I119" s="361"/>
      <c r="J119" s="361"/>
      <c r="K119" s="361"/>
      <c r="L119" s="361"/>
      <c r="M119" s="361"/>
      <c r="N119" s="361"/>
      <c r="O119" s="361"/>
      <c r="P119" s="361"/>
      <c r="Q119" s="361"/>
      <c r="R119" s="361"/>
      <c r="S119" s="361"/>
      <c r="T119" s="361"/>
    </row>
    <row r="120" spans="2:20" s="349" customFormat="1" ht="19.899999999999999" customHeight="1">
      <c r="B120" s="361"/>
      <c r="C120" s="361"/>
      <c r="D120" s="361"/>
      <c r="E120" s="361"/>
      <c r="F120" s="361"/>
      <c r="G120" s="361"/>
      <c r="H120" s="361"/>
      <c r="I120" s="361"/>
      <c r="J120" s="361"/>
      <c r="K120" s="361"/>
      <c r="L120" s="361"/>
      <c r="M120" s="361"/>
      <c r="N120" s="361"/>
      <c r="O120" s="361"/>
      <c r="P120" s="361"/>
      <c r="Q120" s="361"/>
      <c r="R120" s="361"/>
      <c r="S120" s="361"/>
      <c r="T120" s="361"/>
    </row>
    <row r="121" spans="2:20" s="349" customFormat="1" ht="20.100000000000001" customHeight="1">
      <c r="B121" s="361"/>
      <c r="C121" s="361"/>
      <c r="D121" s="361"/>
      <c r="E121" s="361"/>
      <c r="F121" s="361"/>
      <c r="G121" s="361"/>
      <c r="H121" s="361"/>
      <c r="I121" s="361"/>
      <c r="J121" s="361"/>
      <c r="K121" s="361"/>
      <c r="L121" s="361"/>
      <c r="M121" s="361"/>
      <c r="N121" s="361"/>
      <c r="O121" s="361"/>
      <c r="P121" s="361"/>
      <c r="Q121" s="361"/>
      <c r="R121" s="361"/>
      <c r="S121" s="361"/>
      <c r="T121" s="361"/>
    </row>
    <row r="122" spans="2:20" s="349" customFormat="1" ht="20.100000000000001" customHeight="1">
      <c r="B122" s="361"/>
      <c r="C122" s="361"/>
      <c r="D122" s="361"/>
      <c r="E122" s="361"/>
      <c r="F122" s="361"/>
      <c r="G122" s="361"/>
      <c r="H122" s="361"/>
      <c r="I122" s="361"/>
      <c r="J122" s="361"/>
      <c r="K122" s="361"/>
      <c r="L122" s="361"/>
      <c r="M122" s="361"/>
      <c r="N122" s="361"/>
      <c r="O122" s="361"/>
      <c r="P122" s="361"/>
      <c r="Q122" s="361"/>
      <c r="R122" s="361"/>
      <c r="S122" s="361"/>
      <c r="T122" s="361"/>
    </row>
    <row r="123" spans="2:20" s="349" customFormat="1" ht="20.100000000000001" customHeight="1">
      <c r="B123" s="361"/>
      <c r="C123" s="361"/>
      <c r="D123" s="361"/>
      <c r="E123" s="361"/>
      <c r="F123" s="361"/>
      <c r="G123" s="361"/>
      <c r="H123" s="361"/>
      <c r="I123" s="361"/>
      <c r="J123" s="361"/>
      <c r="K123" s="361"/>
      <c r="L123" s="361"/>
      <c r="M123" s="361"/>
      <c r="N123" s="361"/>
      <c r="O123" s="361"/>
      <c r="P123" s="361"/>
      <c r="Q123" s="361"/>
      <c r="R123" s="361"/>
      <c r="S123" s="361"/>
      <c r="T123" s="361"/>
    </row>
    <row r="124" spans="2:20" s="349" customFormat="1" ht="20.100000000000001" customHeight="1">
      <c r="B124" s="361"/>
      <c r="C124" s="361"/>
      <c r="D124" s="361"/>
      <c r="E124" s="361"/>
      <c r="F124" s="361"/>
      <c r="G124" s="361"/>
      <c r="H124" s="361"/>
      <c r="I124" s="361"/>
      <c r="J124" s="361"/>
      <c r="K124" s="361"/>
      <c r="L124" s="361"/>
      <c r="M124" s="361"/>
      <c r="N124" s="361"/>
      <c r="O124" s="361"/>
      <c r="P124" s="361"/>
      <c r="Q124" s="361"/>
      <c r="R124" s="361"/>
      <c r="S124" s="361"/>
      <c r="T124" s="361"/>
    </row>
    <row r="125" spans="2:20" s="349" customFormat="1" ht="20.100000000000001" customHeight="1">
      <c r="B125" s="361"/>
      <c r="C125" s="361"/>
      <c r="D125" s="361"/>
      <c r="E125" s="361"/>
      <c r="F125" s="361"/>
      <c r="G125" s="361"/>
      <c r="H125" s="361"/>
      <c r="I125" s="361"/>
      <c r="J125" s="361"/>
      <c r="K125" s="361"/>
      <c r="L125" s="361"/>
      <c r="M125" s="361"/>
      <c r="N125" s="361"/>
      <c r="O125" s="361"/>
      <c r="P125" s="361"/>
      <c r="Q125" s="361"/>
      <c r="R125" s="361"/>
      <c r="S125" s="361"/>
      <c r="T125" s="361"/>
    </row>
    <row r="126" spans="2:20" s="349" customFormat="1" ht="20.100000000000001" customHeight="1">
      <c r="B126" s="361"/>
      <c r="C126" s="361"/>
      <c r="D126" s="361"/>
      <c r="E126" s="361"/>
      <c r="F126" s="361"/>
      <c r="G126" s="361"/>
      <c r="H126" s="361"/>
      <c r="I126" s="361"/>
      <c r="J126" s="361"/>
      <c r="K126" s="361"/>
      <c r="L126" s="361"/>
      <c r="M126" s="361"/>
      <c r="N126" s="361"/>
      <c r="O126" s="361"/>
      <c r="P126" s="361"/>
      <c r="Q126" s="361"/>
      <c r="R126" s="361"/>
      <c r="S126" s="361"/>
      <c r="T126" s="361"/>
    </row>
    <row r="127" spans="2:20" s="349" customFormat="1" ht="20.100000000000001" customHeight="1">
      <c r="B127" s="361"/>
      <c r="C127" s="361"/>
      <c r="D127" s="361"/>
      <c r="E127" s="361"/>
      <c r="F127" s="361"/>
      <c r="G127" s="361"/>
      <c r="H127" s="361"/>
      <c r="I127" s="361"/>
      <c r="J127" s="361"/>
      <c r="K127" s="361"/>
      <c r="L127" s="361"/>
      <c r="M127" s="361"/>
      <c r="N127" s="361"/>
      <c r="O127" s="361"/>
      <c r="P127" s="361"/>
      <c r="Q127" s="361"/>
      <c r="R127" s="361"/>
      <c r="S127" s="361"/>
      <c r="T127" s="361"/>
    </row>
    <row r="128" spans="2:20" s="349" customFormat="1" ht="20.100000000000001" customHeight="1">
      <c r="B128" s="361"/>
      <c r="C128" s="361"/>
      <c r="D128" s="361"/>
      <c r="E128" s="361"/>
      <c r="F128" s="361"/>
      <c r="G128" s="361"/>
      <c r="H128" s="361"/>
      <c r="I128" s="361"/>
      <c r="J128" s="361"/>
      <c r="K128" s="361"/>
      <c r="L128" s="361"/>
      <c r="M128" s="361"/>
      <c r="N128" s="361"/>
      <c r="O128" s="361"/>
      <c r="P128" s="361"/>
      <c r="Q128" s="361"/>
      <c r="R128" s="361"/>
      <c r="S128" s="361"/>
      <c r="T128" s="361"/>
    </row>
    <row r="129" spans="2:20" s="349" customFormat="1" ht="20.100000000000001" customHeight="1">
      <c r="B129" s="361"/>
      <c r="C129" s="361"/>
      <c r="D129" s="361"/>
      <c r="E129" s="361"/>
      <c r="F129" s="361"/>
      <c r="G129" s="361"/>
      <c r="H129" s="361"/>
      <c r="I129" s="361"/>
      <c r="J129" s="361"/>
      <c r="K129" s="361"/>
      <c r="L129" s="361"/>
      <c r="M129" s="361"/>
      <c r="N129" s="361"/>
      <c r="O129" s="361"/>
      <c r="P129" s="361"/>
      <c r="Q129" s="361"/>
      <c r="R129" s="361"/>
      <c r="S129" s="361"/>
      <c r="T129" s="361"/>
    </row>
    <row r="130" spans="2:20" s="349" customFormat="1" ht="20.100000000000001" customHeight="1">
      <c r="B130" s="361"/>
      <c r="C130" s="361"/>
      <c r="D130" s="361"/>
      <c r="E130" s="361"/>
      <c r="F130" s="361"/>
      <c r="G130" s="361"/>
      <c r="H130" s="361"/>
      <c r="I130" s="361"/>
      <c r="J130" s="361"/>
      <c r="K130" s="361"/>
      <c r="L130" s="361"/>
      <c r="M130" s="361"/>
      <c r="N130" s="361"/>
      <c r="O130" s="361"/>
      <c r="P130" s="361"/>
      <c r="Q130" s="361"/>
      <c r="R130" s="361"/>
      <c r="S130" s="361"/>
      <c r="T130" s="361"/>
    </row>
    <row r="131" spans="2:20" s="349" customFormat="1" ht="20.100000000000001" customHeight="1">
      <c r="B131" s="361"/>
      <c r="C131" s="361"/>
      <c r="D131" s="361"/>
      <c r="E131" s="361"/>
      <c r="F131" s="361"/>
      <c r="G131" s="361"/>
      <c r="H131" s="361"/>
      <c r="I131" s="361"/>
      <c r="J131" s="361"/>
      <c r="K131" s="361"/>
      <c r="L131" s="361"/>
      <c r="M131" s="361"/>
      <c r="N131" s="361"/>
      <c r="O131" s="361"/>
      <c r="P131" s="361"/>
      <c r="Q131" s="361"/>
      <c r="R131" s="361"/>
      <c r="S131" s="361"/>
      <c r="T131" s="361"/>
    </row>
    <row r="132" spans="2:20" s="349" customFormat="1" ht="20.100000000000001" customHeight="1">
      <c r="B132" s="361"/>
      <c r="C132" s="361"/>
      <c r="D132" s="361"/>
      <c r="E132" s="361"/>
      <c r="F132" s="361"/>
      <c r="G132" s="361"/>
      <c r="H132" s="361"/>
      <c r="I132" s="361"/>
      <c r="J132" s="361"/>
      <c r="K132" s="361"/>
      <c r="L132" s="361"/>
      <c r="M132" s="361"/>
      <c r="N132" s="361"/>
      <c r="O132" s="361"/>
      <c r="P132" s="361"/>
      <c r="Q132" s="361"/>
      <c r="R132" s="361"/>
      <c r="S132" s="361"/>
      <c r="T132" s="361"/>
    </row>
    <row r="133" spans="2:20" s="349" customFormat="1" ht="20.100000000000001" customHeight="1">
      <c r="B133" s="361"/>
      <c r="C133" s="361"/>
      <c r="D133" s="361"/>
      <c r="E133" s="361"/>
      <c r="F133" s="361"/>
      <c r="G133" s="361"/>
      <c r="H133" s="361"/>
      <c r="I133" s="361"/>
      <c r="J133" s="361"/>
      <c r="K133" s="361"/>
      <c r="L133" s="361"/>
      <c r="M133" s="361"/>
      <c r="N133" s="361"/>
      <c r="O133" s="361"/>
      <c r="P133" s="361"/>
      <c r="Q133" s="361"/>
      <c r="R133" s="361"/>
      <c r="S133" s="361"/>
      <c r="T133" s="361"/>
    </row>
    <row r="134" spans="2:20" s="349" customFormat="1" ht="20.100000000000001" customHeight="1">
      <c r="B134" s="361"/>
      <c r="C134" s="361"/>
      <c r="D134" s="361"/>
      <c r="E134" s="361"/>
      <c r="F134" s="361"/>
      <c r="G134" s="361"/>
      <c r="H134" s="361"/>
      <c r="I134" s="361"/>
      <c r="J134" s="361"/>
      <c r="K134" s="361"/>
      <c r="L134" s="361"/>
      <c r="M134" s="361"/>
      <c r="N134" s="361"/>
      <c r="O134" s="361"/>
      <c r="P134" s="361"/>
      <c r="Q134" s="361"/>
      <c r="R134" s="361"/>
      <c r="S134" s="361"/>
      <c r="T134" s="361"/>
    </row>
    <row r="135" spans="2:20" s="349" customFormat="1" ht="20.100000000000001" customHeight="1">
      <c r="B135" s="361"/>
      <c r="C135" s="361"/>
      <c r="D135" s="361"/>
      <c r="E135" s="361"/>
      <c r="F135" s="361"/>
      <c r="G135" s="361"/>
      <c r="H135" s="361"/>
      <c r="I135" s="361"/>
      <c r="J135" s="361"/>
      <c r="K135" s="361"/>
      <c r="L135" s="361"/>
      <c r="M135" s="361"/>
      <c r="N135" s="361"/>
      <c r="O135" s="361"/>
      <c r="P135" s="361"/>
      <c r="Q135" s="361"/>
      <c r="R135" s="361"/>
      <c r="S135" s="361"/>
      <c r="T135" s="361"/>
    </row>
    <row r="136" spans="2:20" s="349" customFormat="1" ht="20.100000000000001" customHeight="1">
      <c r="B136" s="361"/>
      <c r="C136" s="361"/>
      <c r="D136" s="361"/>
      <c r="E136" s="361"/>
      <c r="F136" s="361"/>
      <c r="G136" s="361"/>
      <c r="H136" s="361"/>
      <c r="I136" s="361"/>
      <c r="J136" s="361"/>
      <c r="K136" s="361"/>
      <c r="L136" s="361"/>
      <c r="M136" s="361"/>
      <c r="N136" s="361"/>
      <c r="O136" s="361"/>
      <c r="P136" s="361"/>
      <c r="Q136" s="361"/>
      <c r="R136" s="361"/>
      <c r="S136" s="361"/>
      <c r="T136" s="361"/>
    </row>
    <row r="137" spans="2:20" s="349" customFormat="1" ht="20.100000000000001" customHeight="1">
      <c r="B137" s="361"/>
      <c r="C137" s="361"/>
      <c r="D137" s="361"/>
      <c r="E137" s="361"/>
      <c r="F137" s="361"/>
      <c r="G137" s="361"/>
      <c r="H137" s="361"/>
      <c r="I137" s="361"/>
      <c r="J137" s="361"/>
      <c r="K137" s="361"/>
      <c r="L137" s="361"/>
      <c r="M137" s="361"/>
      <c r="N137" s="361"/>
      <c r="O137" s="361"/>
      <c r="P137" s="361"/>
      <c r="Q137" s="361"/>
      <c r="R137" s="361"/>
      <c r="S137" s="361"/>
      <c r="T137" s="361"/>
    </row>
    <row r="138" spans="2:20" s="349" customFormat="1" ht="20.100000000000001" customHeight="1">
      <c r="B138" s="361"/>
      <c r="C138" s="361"/>
      <c r="D138" s="361"/>
      <c r="E138" s="361"/>
      <c r="F138" s="361"/>
      <c r="G138" s="361"/>
      <c r="H138" s="361"/>
      <c r="I138" s="361"/>
      <c r="J138" s="361"/>
      <c r="K138" s="361"/>
      <c r="L138" s="361"/>
      <c r="M138" s="361"/>
      <c r="N138" s="361"/>
      <c r="O138" s="361"/>
      <c r="P138" s="361"/>
      <c r="Q138" s="361"/>
      <c r="R138" s="361"/>
      <c r="S138" s="361"/>
      <c r="T138" s="361"/>
    </row>
    <row r="139" spans="2:20" s="349" customFormat="1" ht="20.100000000000001" customHeight="1">
      <c r="B139" s="361"/>
      <c r="C139" s="361"/>
      <c r="D139" s="361"/>
      <c r="E139" s="361"/>
      <c r="F139" s="361"/>
      <c r="G139" s="361"/>
      <c r="H139" s="361"/>
      <c r="I139" s="361"/>
      <c r="J139" s="361"/>
      <c r="K139" s="361"/>
      <c r="L139" s="361"/>
      <c r="M139" s="361"/>
      <c r="N139" s="361"/>
      <c r="O139" s="361"/>
      <c r="P139" s="361"/>
      <c r="Q139" s="361"/>
      <c r="R139" s="361"/>
      <c r="S139" s="361"/>
      <c r="T139" s="361"/>
    </row>
    <row r="140" spans="2:20" s="349" customFormat="1" ht="20.100000000000001" customHeight="1">
      <c r="B140" s="361"/>
      <c r="C140" s="361"/>
      <c r="D140" s="361"/>
      <c r="E140" s="361"/>
      <c r="F140" s="361"/>
      <c r="G140" s="361"/>
      <c r="H140" s="361"/>
      <c r="I140" s="361"/>
      <c r="J140" s="361"/>
      <c r="K140" s="361"/>
      <c r="L140" s="361"/>
      <c r="M140" s="361"/>
      <c r="N140" s="361"/>
      <c r="O140" s="361"/>
      <c r="P140" s="361"/>
      <c r="Q140" s="361"/>
      <c r="R140" s="361"/>
      <c r="S140" s="361"/>
      <c r="T140" s="361"/>
    </row>
    <row r="141" spans="2:20" ht="20.100000000000001" customHeight="1"/>
    <row r="142" spans="2:20" ht="9.9499999999999993" customHeight="1"/>
    <row r="143" spans="2:20" ht="20.100000000000001" customHeight="1"/>
    <row r="144" spans="2:20" ht="20.100000000000001" customHeight="1"/>
    <row r="145" spans="2:20" ht="20.100000000000001" customHeight="1"/>
    <row r="146" spans="2:20" s="349" customFormat="1" ht="20.100000000000001" customHeight="1">
      <c r="B146" s="361"/>
      <c r="C146" s="361"/>
      <c r="D146" s="361"/>
      <c r="E146" s="361"/>
      <c r="F146" s="361"/>
      <c r="G146" s="361"/>
      <c r="H146" s="361"/>
      <c r="I146" s="361"/>
      <c r="J146" s="361"/>
      <c r="K146" s="361"/>
      <c r="L146" s="361"/>
      <c r="M146" s="361"/>
      <c r="N146" s="361"/>
      <c r="O146" s="361"/>
      <c r="P146" s="361"/>
      <c r="Q146" s="361"/>
      <c r="R146" s="361"/>
      <c r="S146" s="361"/>
      <c r="T146" s="361"/>
    </row>
    <row r="147" spans="2:20" s="349" customFormat="1" ht="20.100000000000001" customHeight="1">
      <c r="B147" s="361"/>
      <c r="C147" s="361"/>
      <c r="D147" s="361"/>
      <c r="E147" s="361"/>
      <c r="F147" s="361"/>
      <c r="G147" s="361"/>
      <c r="H147" s="361"/>
      <c r="I147" s="361"/>
      <c r="J147" s="361"/>
      <c r="K147" s="361"/>
      <c r="L147" s="361"/>
      <c r="M147" s="361"/>
      <c r="N147" s="361"/>
      <c r="O147" s="361"/>
      <c r="P147" s="361"/>
      <c r="Q147" s="361"/>
      <c r="R147" s="361"/>
      <c r="S147" s="361"/>
      <c r="T147" s="361"/>
    </row>
    <row r="148" spans="2:20" s="349" customFormat="1" ht="20.100000000000001" customHeight="1">
      <c r="B148" s="361"/>
      <c r="C148" s="361"/>
      <c r="D148" s="361"/>
      <c r="E148" s="361"/>
      <c r="F148" s="361"/>
      <c r="G148" s="361"/>
      <c r="H148" s="361"/>
      <c r="I148" s="361"/>
      <c r="J148" s="361"/>
      <c r="K148" s="361"/>
      <c r="L148" s="361"/>
      <c r="M148" s="361"/>
      <c r="N148" s="361"/>
      <c r="O148" s="361"/>
      <c r="P148" s="361"/>
      <c r="Q148" s="361"/>
      <c r="R148" s="361"/>
      <c r="S148" s="361"/>
      <c r="T148" s="361"/>
    </row>
    <row r="149" spans="2:20" s="349" customFormat="1" ht="20.100000000000001" customHeight="1">
      <c r="B149" s="361"/>
      <c r="C149" s="361"/>
      <c r="D149" s="361"/>
      <c r="E149" s="361"/>
      <c r="F149" s="361"/>
      <c r="G149" s="361"/>
      <c r="H149" s="361"/>
      <c r="I149" s="361"/>
      <c r="J149" s="361"/>
      <c r="K149" s="361"/>
      <c r="L149" s="361"/>
      <c r="M149" s="361"/>
      <c r="N149" s="361"/>
      <c r="O149" s="361"/>
      <c r="P149" s="361"/>
      <c r="Q149" s="361"/>
      <c r="R149" s="361"/>
      <c r="S149" s="361"/>
      <c r="T149" s="361"/>
    </row>
    <row r="150" spans="2:20" s="349" customFormat="1" ht="20.100000000000001" customHeight="1">
      <c r="B150" s="361"/>
      <c r="C150" s="361"/>
      <c r="D150" s="361"/>
      <c r="E150" s="361"/>
      <c r="F150" s="361"/>
      <c r="G150" s="361"/>
      <c r="H150" s="361"/>
      <c r="I150" s="361"/>
      <c r="J150" s="361"/>
      <c r="K150" s="361"/>
      <c r="L150" s="361"/>
      <c r="M150" s="361"/>
      <c r="N150" s="361"/>
      <c r="O150" s="361"/>
      <c r="P150" s="361"/>
      <c r="Q150" s="361"/>
      <c r="R150" s="361"/>
      <c r="S150" s="361"/>
      <c r="T150" s="361"/>
    </row>
    <row r="151" spans="2:20" s="349" customFormat="1" ht="20.100000000000001" customHeight="1">
      <c r="B151" s="361"/>
      <c r="C151" s="361"/>
      <c r="D151" s="361"/>
      <c r="E151" s="361"/>
      <c r="F151" s="361"/>
      <c r="G151" s="361"/>
      <c r="H151" s="361"/>
      <c r="I151" s="361"/>
      <c r="J151" s="361"/>
      <c r="K151" s="361"/>
      <c r="L151" s="361"/>
      <c r="M151" s="361"/>
      <c r="N151" s="361"/>
      <c r="O151" s="361"/>
      <c r="P151" s="361"/>
      <c r="Q151" s="361"/>
      <c r="R151" s="361"/>
      <c r="S151" s="361"/>
      <c r="T151" s="361"/>
    </row>
    <row r="152" spans="2:20" s="349" customFormat="1" ht="20.100000000000001" customHeight="1">
      <c r="B152" s="361"/>
      <c r="C152" s="361"/>
      <c r="D152" s="361"/>
      <c r="E152" s="361"/>
      <c r="F152" s="361"/>
      <c r="G152" s="361"/>
      <c r="H152" s="361"/>
      <c r="I152" s="361"/>
      <c r="J152" s="361"/>
      <c r="K152" s="361"/>
      <c r="L152" s="361"/>
      <c r="M152" s="361"/>
      <c r="N152" s="361"/>
      <c r="O152" s="361"/>
      <c r="P152" s="361"/>
      <c r="Q152" s="361"/>
      <c r="R152" s="361"/>
      <c r="S152" s="361"/>
      <c r="T152" s="361"/>
    </row>
    <row r="153" spans="2:20" s="349" customFormat="1" ht="20.100000000000001" customHeight="1">
      <c r="B153" s="361"/>
      <c r="C153" s="361"/>
      <c r="D153" s="361"/>
      <c r="E153" s="361"/>
      <c r="F153" s="361"/>
      <c r="G153" s="361"/>
      <c r="H153" s="361"/>
      <c r="I153" s="361"/>
      <c r="J153" s="361"/>
      <c r="K153" s="361"/>
      <c r="L153" s="361"/>
      <c r="M153" s="361"/>
      <c r="N153" s="361"/>
      <c r="O153" s="361"/>
      <c r="P153" s="361"/>
      <c r="Q153" s="361"/>
      <c r="R153" s="361"/>
      <c r="S153" s="361"/>
      <c r="T153" s="361"/>
    </row>
    <row r="154" spans="2:20" s="349" customFormat="1" ht="20.100000000000001" customHeight="1">
      <c r="B154" s="361"/>
      <c r="C154" s="361"/>
      <c r="D154" s="361"/>
      <c r="E154" s="361"/>
      <c r="F154" s="361"/>
      <c r="G154" s="361"/>
      <c r="H154" s="361"/>
      <c r="I154" s="361"/>
      <c r="J154" s="361"/>
      <c r="K154" s="361"/>
      <c r="L154" s="361"/>
      <c r="M154" s="361"/>
      <c r="N154" s="361"/>
      <c r="O154" s="361"/>
      <c r="P154" s="361"/>
      <c r="Q154" s="361"/>
      <c r="R154" s="361"/>
      <c r="S154" s="361"/>
      <c r="T154" s="361"/>
    </row>
    <row r="155" spans="2:20" s="349" customFormat="1" ht="20.100000000000001" customHeight="1">
      <c r="B155" s="361"/>
      <c r="C155" s="361"/>
      <c r="D155" s="361"/>
      <c r="E155" s="361"/>
      <c r="F155" s="361"/>
      <c r="G155" s="361"/>
      <c r="H155" s="361"/>
      <c r="I155" s="361"/>
      <c r="J155" s="361"/>
      <c r="K155" s="361"/>
      <c r="L155" s="361"/>
      <c r="M155" s="361"/>
      <c r="N155" s="361"/>
      <c r="O155" s="361"/>
      <c r="P155" s="361"/>
      <c r="Q155" s="361"/>
      <c r="R155" s="361"/>
      <c r="S155" s="361"/>
      <c r="T155" s="361"/>
    </row>
    <row r="156" spans="2:20" s="349" customFormat="1" ht="20.100000000000001" customHeight="1">
      <c r="B156" s="361"/>
      <c r="C156" s="361"/>
      <c r="D156" s="361"/>
      <c r="E156" s="361"/>
      <c r="F156" s="361"/>
      <c r="G156" s="361"/>
      <c r="H156" s="361"/>
      <c r="I156" s="361"/>
      <c r="J156" s="361"/>
      <c r="K156" s="361"/>
      <c r="L156" s="361"/>
      <c r="M156" s="361"/>
      <c r="N156" s="361"/>
      <c r="O156" s="361"/>
      <c r="P156" s="361"/>
      <c r="Q156" s="361"/>
      <c r="R156" s="361"/>
      <c r="S156" s="361"/>
      <c r="T156" s="361"/>
    </row>
    <row r="157" spans="2:20" s="349" customFormat="1" ht="20.100000000000001" customHeight="1">
      <c r="B157" s="361"/>
      <c r="C157" s="361"/>
      <c r="D157" s="361"/>
      <c r="E157" s="361"/>
      <c r="F157" s="361"/>
      <c r="G157" s="361"/>
      <c r="H157" s="361"/>
      <c r="I157" s="361"/>
      <c r="J157" s="361"/>
      <c r="K157" s="361"/>
      <c r="L157" s="361"/>
      <c r="M157" s="361"/>
      <c r="N157" s="361"/>
      <c r="O157" s="361"/>
      <c r="P157" s="361"/>
      <c r="Q157" s="361"/>
      <c r="R157" s="361"/>
      <c r="S157" s="361"/>
      <c r="T157" s="361"/>
    </row>
    <row r="158" spans="2:20" s="349" customFormat="1" ht="20.100000000000001" customHeight="1">
      <c r="B158" s="361"/>
      <c r="C158" s="361"/>
      <c r="D158" s="361"/>
      <c r="E158" s="361"/>
      <c r="F158" s="361"/>
      <c r="G158" s="361"/>
      <c r="H158" s="361"/>
      <c r="I158" s="361"/>
      <c r="J158" s="361"/>
      <c r="K158" s="361"/>
      <c r="L158" s="361"/>
      <c r="M158" s="361"/>
      <c r="N158" s="361"/>
      <c r="O158" s="361"/>
      <c r="P158" s="361"/>
      <c r="Q158" s="361"/>
      <c r="R158" s="361"/>
      <c r="S158" s="361"/>
      <c r="T158" s="361"/>
    </row>
    <row r="159" spans="2:20" s="349" customFormat="1" ht="20.100000000000001" customHeight="1">
      <c r="B159" s="361"/>
      <c r="C159" s="361"/>
      <c r="D159" s="361"/>
      <c r="E159" s="361"/>
      <c r="F159" s="361"/>
      <c r="G159" s="361"/>
      <c r="H159" s="361"/>
      <c r="I159" s="361"/>
      <c r="J159" s="361"/>
      <c r="K159" s="361"/>
      <c r="L159" s="361"/>
      <c r="M159" s="361"/>
      <c r="N159" s="361"/>
      <c r="O159" s="361"/>
      <c r="P159" s="361"/>
      <c r="Q159" s="361"/>
      <c r="R159" s="361"/>
      <c r="S159" s="361"/>
      <c r="T159" s="361"/>
    </row>
    <row r="160" spans="2:20" s="349" customFormat="1" ht="20.100000000000001" customHeight="1">
      <c r="B160" s="361"/>
      <c r="C160" s="361"/>
      <c r="D160" s="361"/>
      <c r="E160" s="361"/>
      <c r="F160" s="361"/>
      <c r="G160" s="361"/>
      <c r="H160" s="361"/>
      <c r="I160" s="361"/>
      <c r="J160" s="361"/>
      <c r="K160" s="361"/>
      <c r="L160" s="361"/>
      <c r="M160" s="361"/>
      <c r="N160" s="361"/>
      <c r="O160" s="361"/>
      <c r="P160" s="361"/>
      <c r="Q160" s="361"/>
      <c r="R160" s="361"/>
      <c r="S160" s="361"/>
      <c r="T160" s="361"/>
    </row>
    <row r="161" spans="2:20" s="349" customFormat="1" ht="20.100000000000001" customHeight="1">
      <c r="B161" s="361"/>
      <c r="C161" s="361"/>
      <c r="D161" s="361"/>
      <c r="E161" s="361"/>
      <c r="F161" s="361"/>
      <c r="G161" s="361"/>
      <c r="H161" s="361"/>
      <c r="I161" s="361"/>
      <c r="J161" s="361"/>
      <c r="K161" s="361"/>
      <c r="L161" s="361"/>
      <c r="M161" s="361"/>
      <c r="N161" s="361"/>
      <c r="O161" s="361"/>
      <c r="P161" s="361"/>
      <c r="Q161" s="361"/>
      <c r="R161" s="361"/>
      <c r="S161" s="361"/>
      <c r="T161" s="361"/>
    </row>
    <row r="162" spans="2:20" s="349" customFormat="1" ht="20.100000000000001" customHeight="1">
      <c r="B162" s="361"/>
      <c r="C162" s="361"/>
      <c r="D162" s="361"/>
      <c r="E162" s="361"/>
      <c r="F162" s="361"/>
      <c r="G162" s="361"/>
      <c r="H162" s="361"/>
      <c r="I162" s="361"/>
      <c r="J162" s="361"/>
      <c r="K162" s="361"/>
      <c r="L162" s="361"/>
      <c r="M162" s="361"/>
      <c r="N162" s="361"/>
      <c r="O162" s="361"/>
      <c r="P162" s="361"/>
      <c r="Q162" s="361"/>
      <c r="R162" s="361"/>
      <c r="S162" s="361"/>
      <c r="T162" s="361"/>
    </row>
    <row r="163" spans="2:20" s="349" customFormat="1" ht="20.100000000000001" customHeight="1">
      <c r="B163" s="361"/>
      <c r="C163" s="361"/>
      <c r="D163" s="361"/>
      <c r="E163" s="361"/>
      <c r="F163" s="361"/>
      <c r="G163" s="361"/>
      <c r="H163" s="361"/>
      <c r="I163" s="361"/>
      <c r="J163" s="361"/>
      <c r="K163" s="361"/>
      <c r="L163" s="361"/>
      <c r="M163" s="361"/>
      <c r="N163" s="361"/>
      <c r="O163" s="361"/>
      <c r="P163" s="361"/>
      <c r="Q163" s="361"/>
      <c r="R163" s="361"/>
      <c r="S163" s="361"/>
      <c r="T163" s="361"/>
    </row>
    <row r="164" spans="2:20" s="349" customFormat="1" ht="20.100000000000001" customHeight="1">
      <c r="B164" s="361"/>
      <c r="C164" s="361"/>
      <c r="D164" s="361"/>
      <c r="E164" s="361"/>
      <c r="F164" s="361"/>
      <c r="G164" s="361"/>
      <c r="H164" s="361"/>
      <c r="I164" s="361"/>
      <c r="J164" s="361"/>
      <c r="K164" s="361"/>
      <c r="L164" s="361"/>
      <c r="M164" s="361"/>
      <c r="N164" s="361"/>
      <c r="O164" s="361"/>
      <c r="P164" s="361"/>
      <c r="Q164" s="361"/>
      <c r="R164" s="361"/>
      <c r="S164" s="361"/>
      <c r="T164" s="361"/>
    </row>
    <row r="165" spans="2:20" s="349" customFormat="1" ht="20.100000000000001" customHeight="1">
      <c r="B165" s="361"/>
      <c r="C165" s="361"/>
      <c r="D165" s="361"/>
      <c r="E165" s="361"/>
      <c r="F165" s="361"/>
      <c r="G165" s="361"/>
      <c r="H165" s="361"/>
      <c r="I165" s="361"/>
      <c r="J165" s="361"/>
      <c r="K165" s="361"/>
      <c r="L165" s="361"/>
      <c r="M165" s="361"/>
      <c r="N165" s="361"/>
      <c r="O165" s="361"/>
      <c r="P165" s="361"/>
      <c r="Q165" s="361"/>
      <c r="R165" s="361"/>
      <c r="S165" s="361"/>
      <c r="T165" s="361"/>
    </row>
    <row r="166" spans="2:20" s="349" customFormat="1" ht="20.100000000000001" customHeight="1">
      <c r="B166" s="361"/>
      <c r="C166" s="361"/>
      <c r="D166" s="361"/>
      <c r="E166" s="361"/>
      <c r="F166" s="361"/>
      <c r="G166" s="361"/>
      <c r="H166" s="361"/>
      <c r="I166" s="361"/>
      <c r="J166" s="361"/>
      <c r="K166" s="361"/>
      <c r="L166" s="361"/>
      <c r="M166" s="361"/>
      <c r="N166" s="361"/>
      <c r="O166" s="361"/>
      <c r="P166" s="361"/>
      <c r="Q166" s="361"/>
      <c r="R166" s="361"/>
      <c r="S166" s="361"/>
      <c r="T166" s="361"/>
    </row>
    <row r="167" spans="2:20" s="349" customFormat="1" ht="20.100000000000001" customHeight="1">
      <c r="B167" s="361"/>
      <c r="C167" s="361"/>
      <c r="D167" s="361"/>
      <c r="E167" s="361"/>
      <c r="F167" s="361"/>
      <c r="G167" s="361"/>
      <c r="H167" s="361"/>
      <c r="I167" s="361"/>
      <c r="J167" s="361"/>
      <c r="K167" s="361"/>
      <c r="L167" s="361"/>
      <c r="M167" s="361"/>
      <c r="N167" s="361"/>
      <c r="O167" s="361"/>
      <c r="P167" s="361"/>
      <c r="Q167" s="361"/>
      <c r="R167" s="361"/>
      <c r="S167" s="361"/>
      <c r="T167" s="361"/>
    </row>
    <row r="168" spans="2:20" s="349" customFormat="1" ht="20.100000000000001" customHeight="1">
      <c r="B168" s="361"/>
      <c r="C168" s="361"/>
      <c r="D168" s="361"/>
      <c r="E168" s="361"/>
      <c r="F168" s="361"/>
      <c r="G168" s="361"/>
      <c r="H168" s="361"/>
      <c r="I168" s="361"/>
      <c r="J168" s="361"/>
      <c r="K168" s="361"/>
      <c r="L168" s="361"/>
      <c r="M168" s="361"/>
      <c r="N168" s="361"/>
      <c r="O168" s="361"/>
      <c r="P168" s="361"/>
      <c r="Q168" s="361"/>
      <c r="R168" s="361"/>
      <c r="S168" s="361"/>
      <c r="T168" s="361"/>
    </row>
    <row r="169" spans="2:20" s="349" customFormat="1" ht="20.100000000000001" customHeight="1">
      <c r="B169" s="361"/>
      <c r="C169" s="361"/>
      <c r="D169" s="361"/>
      <c r="E169" s="361"/>
      <c r="F169" s="361"/>
      <c r="G169" s="361"/>
      <c r="H169" s="361"/>
      <c r="I169" s="361"/>
      <c r="J169" s="361"/>
      <c r="K169" s="361"/>
      <c r="L169" s="361"/>
      <c r="M169" s="361"/>
      <c r="N169" s="361"/>
      <c r="O169" s="361"/>
      <c r="P169" s="361"/>
      <c r="Q169" s="361"/>
      <c r="R169" s="361"/>
      <c r="S169" s="361"/>
      <c r="T169" s="361"/>
    </row>
    <row r="170" spans="2:20" s="349" customFormat="1" ht="20.100000000000001" customHeight="1">
      <c r="B170" s="361"/>
      <c r="C170" s="361"/>
      <c r="D170" s="361"/>
      <c r="E170" s="361"/>
      <c r="F170" s="361"/>
      <c r="G170" s="361"/>
      <c r="H170" s="361"/>
      <c r="I170" s="361"/>
      <c r="J170" s="361"/>
      <c r="K170" s="361"/>
      <c r="L170" s="361"/>
      <c r="M170" s="361"/>
      <c r="N170" s="361"/>
      <c r="O170" s="361"/>
      <c r="P170" s="361"/>
      <c r="Q170" s="361"/>
      <c r="R170" s="361"/>
      <c r="S170" s="361"/>
      <c r="T170" s="361"/>
    </row>
    <row r="171" spans="2:20" s="349" customFormat="1" ht="20.100000000000001" customHeight="1">
      <c r="B171" s="361"/>
      <c r="C171" s="361"/>
      <c r="D171" s="361"/>
      <c r="E171" s="361"/>
      <c r="F171" s="361"/>
      <c r="G171" s="361"/>
      <c r="H171" s="361"/>
      <c r="I171" s="361"/>
      <c r="J171" s="361"/>
      <c r="K171" s="361"/>
      <c r="L171" s="361"/>
      <c r="M171" s="361"/>
      <c r="N171" s="361"/>
      <c r="O171" s="361"/>
      <c r="P171" s="361"/>
      <c r="Q171" s="361"/>
      <c r="R171" s="361"/>
      <c r="S171" s="361"/>
      <c r="T171" s="361"/>
    </row>
    <row r="172" spans="2:20" s="349" customFormat="1" ht="20.100000000000001" customHeight="1">
      <c r="B172" s="361"/>
      <c r="C172" s="361"/>
      <c r="D172" s="361"/>
      <c r="E172" s="361"/>
      <c r="F172" s="361"/>
      <c r="G172" s="361"/>
      <c r="H172" s="361"/>
      <c r="I172" s="361"/>
      <c r="J172" s="361"/>
      <c r="K172" s="361"/>
      <c r="L172" s="361"/>
      <c r="M172" s="361"/>
      <c r="N172" s="361"/>
      <c r="O172" s="361"/>
      <c r="P172" s="361"/>
      <c r="Q172" s="361"/>
      <c r="R172" s="361"/>
      <c r="S172" s="361"/>
      <c r="T172" s="361"/>
    </row>
    <row r="173" spans="2:20" s="349" customFormat="1" ht="20.100000000000001" customHeight="1">
      <c r="B173" s="361"/>
      <c r="C173" s="361"/>
      <c r="D173" s="361"/>
      <c r="E173" s="361"/>
      <c r="F173" s="361"/>
      <c r="G173" s="361"/>
      <c r="H173" s="361"/>
      <c r="I173" s="361"/>
      <c r="J173" s="361"/>
      <c r="K173" s="361"/>
      <c r="L173" s="361"/>
      <c r="M173" s="361"/>
      <c r="N173" s="361"/>
      <c r="O173" s="361"/>
      <c r="P173" s="361"/>
      <c r="Q173" s="361"/>
      <c r="R173" s="361"/>
      <c r="S173" s="361"/>
      <c r="T173" s="361"/>
    </row>
    <row r="174" spans="2:20" s="349" customFormat="1" ht="20.100000000000001" customHeight="1">
      <c r="B174" s="361"/>
      <c r="C174" s="361"/>
      <c r="D174" s="361"/>
      <c r="E174" s="361"/>
      <c r="F174" s="361"/>
      <c r="G174" s="361"/>
      <c r="H174" s="361"/>
      <c r="I174" s="361"/>
      <c r="J174" s="361"/>
      <c r="K174" s="361"/>
      <c r="L174" s="361"/>
      <c r="M174" s="361"/>
      <c r="N174" s="361"/>
      <c r="O174" s="361"/>
      <c r="P174" s="361"/>
      <c r="Q174" s="361"/>
      <c r="R174" s="361"/>
      <c r="S174" s="361"/>
      <c r="T174" s="361"/>
    </row>
    <row r="175" spans="2:20" s="349" customFormat="1" ht="20.100000000000001" customHeight="1">
      <c r="B175" s="361"/>
      <c r="C175" s="361"/>
      <c r="D175" s="361"/>
      <c r="E175" s="361"/>
      <c r="F175" s="361"/>
      <c r="G175" s="361"/>
      <c r="H175" s="361"/>
      <c r="I175" s="361"/>
      <c r="J175" s="361"/>
      <c r="K175" s="361"/>
      <c r="L175" s="361"/>
      <c r="M175" s="361"/>
      <c r="N175" s="361"/>
      <c r="O175" s="361"/>
      <c r="P175" s="361"/>
      <c r="Q175" s="361"/>
      <c r="R175" s="361"/>
      <c r="S175" s="361"/>
      <c r="T175" s="361"/>
    </row>
    <row r="176" spans="2:20" s="349" customFormat="1" ht="20.100000000000001" customHeight="1">
      <c r="B176" s="361"/>
      <c r="C176" s="361"/>
      <c r="D176" s="361"/>
      <c r="E176" s="361"/>
      <c r="F176" s="361"/>
      <c r="G176" s="361"/>
      <c r="H176" s="361"/>
      <c r="I176" s="361"/>
      <c r="J176" s="361"/>
      <c r="K176" s="361"/>
      <c r="L176" s="361"/>
      <c r="M176" s="361"/>
      <c r="N176" s="361"/>
      <c r="O176" s="361"/>
      <c r="P176" s="361"/>
      <c r="Q176" s="361"/>
      <c r="R176" s="361"/>
      <c r="S176" s="361"/>
      <c r="T176" s="361"/>
    </row>
    <row r="177" spans="2:20" s="349" customFormat="1" ht="20.100000000000001" customHeight="1">
      <c r="B177" s="361"/>
      <c r="C177" s="361"/>
      <c r="D177" s="361"/>
      <c r="E177" s="361"/>
      <c r="F177" s="361"/>
      <c r="G177" s="361"/>
      <c r="H177" s="361"/>
      <c r="I177" s="361"/>
      <c r="J177" s="361"/>
      <c r="K177" s="361"/>
      <c r="L177" s="361"/>
      <c r="M177" s="361"/>
      <c r="N177" s="361"/>
      <c r="O177" s="361"/>
      <c r="P177" s="361"/>
      <c r="Q177" s="361"/>
      <c r="R177" s="361"/>
      <c r="S177" s="361"/>
      <c r="T177" s="361"/>
    </row>
    <row r="178" spans="2:20" s="349" customFormat="1" ht="20.100000000000001" customHeight="1">
      <c r="B178" s="361"/>
      <c r="C178" s="361"/>
      <c r="D178" s="361"/>
      <c r="E178" s="361"/>
      <c r="F178" s="361"/>
      <c r="G178" s="361"/>
      <c r="H178" s="361"/>
      <c r="I178" s="361"/>
      <c r="J178" s="361"/>
      <c r="K178" s="361"/>
      <c r="L178" s="361"/>
      <c r="M178" s="361"/>
      <c r="N178" s="361"/>
      <c r="O178" s="361"/>
      <c r="P178" s="361"/>
      <c r="Q178" s="361"/>
      <c r="R178" s="361"/>
      <c r="S178" s="361"/>
      <c r="T178" s="361"/>
    </row>
    <row r="179" spans="2:20" s="349" customFormat="1" ht="20.100000000000001" customHeight="1">
      <c r="B179" s="361"/>
      <c r="C179" s="361"/>
      <c r="D179" s="361"/>
      <c r="E179" s="361"/>
      <c r="F179" s="361"/>
      <c r="G179" s="361"/>
      <c r="H179" s="361"/>
      <c r="I179" s="361"/>
      <c r="J179" s="361"/>
      <c r="K179" s="361"/>
      <c r="L179" s="361"/>
      <c r="M179" s="361"/>
      <c r="N179" s="361"/>
      <c r="O179" s="361"/>
      <c r="P179" s="361"/>
      <c r="Q179" s="361"/>
      <c r="R179" s="361"/>
      <c r="S179" s="361"/>
      <c r="T179" s="361"/>
    </row>
    <row r="180" spans="2:20" s="349" customFormat="1" ht="20.100000000000001" customHeight="1">
      <c r="B180" s="361"/>
      <c r="C180" s="361"/>
      <c r="D180" s="361"/>
      <c r="E180" s="361"/>
      <c r="F180" s="361"/>
      <c r="G180" s="361"/>
      <c r="H180" s="361"/>
      <c r="I180" s="361"/>
      <c r="J180" s="361"/>
      <c r="K180" s="361"/>
      <c r="L180" s="361"/>
      <c r="M180" s="361"/>
      <c r="N180" s="361"/>
      <c r="O180" s="361"/>
      <c r="P180" s="361"/>
      <c r="Q180" s="361"/>
      <c r="R180" s="361"/>
      <c r="S180" s="361"/>
      <c r="T180" s="361"/>
    </row>
    <row r="181" spans="2:20" s="349" customFormat="1" ht="20.100000000000001" customHeight="1">
      <c r="B181" s="361"/>
      <c r="C181" s="361"/>
      <c r="D181" s="361"/>
      <c r="E181" s="361"/>
      <c r="F181" s="361"/>
      <c r="G181" s="361"/>
      <c r="H181" s="361"/>
      <c r="I181" s="361"/>
      <c r="J181" s="361"/>
      <c r="K181" s="361"/>
      <c r="L181" s="361"/>
      <c r="M181" s="361"/>
      <c r="N181" s="361"/>
      <c r="O181" s="361"/>
      <c r="P181" s="361"/>
      <c r="Q181" s="361"/>
      <c r="R181" s="361"/>
      <c r="S181" s="361"/>
      <c r="T181" s="361"/>
    </row>
    <row r="182" spans="2:20" s="349" customFormat="1" ht="20.100000000000001" customHeight="1">
      <c r="B182" s="361"/>
      <c r="C182" s="361"/>
      <c r="D182" s="361"/>
      <c r="E182" s="361"/>
      <c r="F182" s="361"/>
      <c r="G182" s="361"/>
      <c r="H182" s="361"/>
      <c r="I182" s="361"/>
      <c r="J182" s="361"/>
      <c r="K182" s="361"/>
      <c r="L182" s="361"/>
      <c r="M182" s="361"/>
      <c r="N182" s="361"/>
      <c r="O182" s="361"/>
      <c r="P182" s="361"/>
      <c r="Q182" s="361"/>
      <c r="R182" s="361"/>
      <c r="S182" s="361"/>
      <c r="T182" s="361"/>
    </row>
    <row r="183" spans="2:20" ht="20.100000000000001" customHeight="1"/>
    <row r="184" spans="2:20" ht="9.9499999999999993" customHeight="1"/>
    <row r="185" spans="2:20" ht="20.100000000000001" customHeight="1"/>
    <row r="186" spans="2:20" ht="20.100000000000001" customHeight="1"/>
    <row r="187" spans="2:20" ht="20.100000000000001" customHeight="1"/>
    <row r="188" spans="2:20" s="349" customFormat="1" ht="20.100000000000001" customHeight="1">
      <c r="B188" s="361"/>
      <c r="C188" s="361"/>
      <c r="D188" s="361"/>
      <c r="E188" s="361"/>
      <c r="F188" s="361"/>
      <c r="G188" s="361"/>
      <c r="H188" s="361"/>
      <c r="I188" s="361"/>
      <c r="J188" s="361"/>
      <c r="K188" s="361"/>
      <c r="L188" s="361"/>
      <c r="M188" s="361"/>
      <c r="N188" s="361"/>
      <c r="O188" s="361"/>
      <c r="P188" s="361"/>
      <c r="Q188" s="361"/>
      <c r="R188" s="361"/>
      <c r="S188" s="361"/>
      <c r="T188" s="361"/>
    </row>
    <row r="189" spans="2:20" s="349" customFormat="1" ht="20.100000000000001" customHeight="1">
      <c r="B189" s="361"/>
      <c r="C189" s="361"/>
      <c r="D189" s="361"/>
      <c r="E189" s="361"/>
      <c r="F189" s="361"/>
      <c r="G189" s="361"/>
      <c r="H189" s="361"/>
      <c r="I189" s="361"/>
      <c r="J189" s="361"/>
      <c r="K189" s="361"/>
      <c r="L189" s="361"/>
      <c r="M189" s="361"/>
      <c r="N189" s="361"/>
      <c r="O189" s="361"/>
      <c r="P189" s="361"/>
      <c r="Q189" s="361"/>
      <c r="R189" s="361"/>
      <c r="S189" s="361"/>
      <c r="T189" s="361"/>
    </row>
    <row r="190" spans="2:20" s="349" customFormat="1" ht="20.100000000000001" customHeight="1">
      <c r="B190" s="361"/>
      <c r="C190" s="361"/>
      <c r="D190" s="361"/>
      <c r="E190" s="361"/>
      <c r="F190" s="361"/>
      <c r="G190" s="361"/>
      <c r="H190" s="361"/>
      <c r="I190" s="361"/>
      <c r="J190" s="361"/>
      <c r="K190" s="361"/>
      <c r="L190" s="361"/>
      <c r="M190" s="361"/>
      <c r="N190" s="361"/>
      <c r="O190" s="361"/>
      <c r="P190" s="361"/>
      <c r="Q190" s="361"/>
      <c r="R190" s="361"/>
      <c r="S190" s="361"/>
      <c r="T190" s="361"/>
    </row>
    <row r="191" spans="2:20" s="349" customFormat="1" ht="20.100000000000001" customHeight="1">
      <c r="B191" s="361"/>
      <c r="C191" s="361"/>
      <c r="D191" s="361"/>
      <c r="E191" s="361"/>
      <c r="F191" s="361"/>
      <c r="G191" s="361"/>
      <c r="H191" s="361"/>
      <c r="I191" s="361"/>
      <c r="J191" s="361"/>
      <c r="K191" s="361"/>
      <c r="L191" s="361"/>
      <c r="M191" s="361"/>
      <c r="N191" s="361"/>
      <c r="O191" s="361"/>
      <c r="P191" s="361"/>
      <c r="Q191" s="361"/>
      <c r="R191" s="361"/>
      <c r="S191" s="361"/>
      <c r="T191" s="361"/>
    </row>
    <row r="192" spans="2:20" s="349" customFormat="1" ht="20.100000000000001" customHeight="1">
      <c r="B192" s="361"/>
      <c r="C192" s="361"/>
      <c r="D192" s="361"/>
      <c r="E192" s="361"/>
      <c r="F192" s="361"/>
      <c r="G192" s="361"/>
      <c r="H192" s="361"/>
      <c r="I192" s="361"/>
      <c r="J192" s="361"/>
      <c r="K192" s="361"/>
      <c r="L192" s="361"/>
      <c r="M192" s="361"/>
      <c r="N192" s="361"/>
      <c r="O192" s="361"/>
      <c r="P192" s="361"/>
      <c r="Q192" s="361"/>
      <c r="R192" s="361"/>
      <c r="S192" s="361"/>
      <c r="T192" s="361"/>
    </row>
    <row r="193" spans="2:20" s="349" customFormat="1" ht="20.100000000000001" customHeight="1">
      <c r="B193" s="361"/>
      <c r="C193" s="361"/>
      <c r="D193" s="361"/>
      <c r="E193" s="361"/>
      <c r="F193" s="361"/>
      <c r="G193" s="361"/>
      <c r="H193" s="361"/>
      <c r="I193" s="361"/>
      <c r="J193" s="361"/>
      <c r="K193" s="361"/>
      <c r="L193" s="361"/>
      <c r="M193" s="361"/>
      <c r="N193" s="361"/>
      <c r="O193" s="361"/>
      <c r="P193" s="361"/>
      <c r="Q193" s="361"/>
      <c r="R193" s="361"/>
      <c r="S193" s="361"/>
      <c r="T193" s="361"/>
    </row>
    <row r="194" spans="2:20" s="349" customFormat="1" ht="20.100000000000001" customHeight="1">
      <c r="B194" s="361"/>
      <c r="C194" s="361"/>
      <c r="D194" s="361"/>
      <c r="E194" s="361"/>
      <c r="F194" s="361"/>
      <c r="G194" s="361"/>
      <c r="H194" s="361"/>
      <c r="I194" s="361"/>
      <c r="J194" s="361"/>
      <c r="K194" s="361"/>
      <c r="L194" s="361"/>
      <c r="M194" s="361"/>
      <c r="N194" s="361"/>
      <c r="O194" s="361"/>
      <c r="P194" s="361"/>
      <c r="Q194" s="361"/>
      <c r="R194" s="361"/>
      <c r="S194" s="361"/>
      <c r="T194" s="361"/>
    </row>
    <row r="195" spans="2:20" s="349" customFormat="1" ht="20.100000000000001" customHeight="1">
      <c r="B195" s="361"/>
      <c r="C195" s="361"/>
      <c r="D195" s="361"/>
      <c r="E195" s="361"/>
      <c r="F195" s="361"/>
      <c r="G195" s="361"/>
      <c r="H195" s="361"/>
      <c r="I195" s="361"/>
      <c r="J195" s="361"/>
      <c r="K195" s="361"/>
      <c r="L195" s="361"/>
      <c r="M195" s="361"/>
      <c r="N195" s="361"/>
      <c r="O195" s="361"/>
      <c r="P195" s="361"/>
      <c r="Q195" s="361"/>
      <c r="R195" s="361"/>
      <c r="S195" s="361"/>
      <c r="T195" s="361"/>
    </row>
    <row r="196" spans="2:20" s="349" customFormat="1" ht="20.100000000000001" customHeight="1">
      <c r="B196" s="361"/>
      <c r="C196" s="361"/>
      <c r="D196" s="361"/>
      <c r="E196" s="361"/>
      <c r="F196" s="361"/>
      <c r="G196" s="361"/>
      <c r="H196" s="361"/>
      <c r="I196" s="361"/>
      <c r="J196" s="361"/>
      <c r="K196" s="361"/>
      <c r="L196" s="361"/>
      <c r="M196" s="361"/>
      <c r="N196" s="361"/>
      <c r="O196" s="361"/>
      <c r="P196" s="361"/>
      <c r="Q196" s="361"/>
      <c r="R196" s="361"/>
      <c r="S196" s="361"/>
      <c r="T196" s="361"/>
    </row>
    <row r="197" spans="2:20" s="349" customFormat="1" ht="20.100000000000001" customHeight="1">
      <c r="B197" s="361"/>
      <c r="C197" s="361"/>
      <c r="D197" s="361"/>
      <c r="E197" s="361"/>
      <c r="F197" s="361"/>
      <c r="G197" s="361"/>
      <c r="H197" s="361"/>
      <c r="I197" s="361"/>
      <c r="J197" s="361"/>
      <c r="K197" s="361"/>
      <c r="L197" s="361"/>
      <c r="M197" s="361"/>
      <c r="N197" s="361"/>
      <c r="O197" s="361"/>
      <c r="P197" s="361"/>
      <c r="Q197" s="361"/>
      <c r="R197" s="361"/>
      <c r="S197" s="361"/>
      <c r="T197" s="361"/>
    </row>
    <row r="198" spans="2:20" s="349" customFormat="1" ht="20.100000000000001" customHeight="1">
      <c r="B198" s="361"/>
      <c r="C198" s="361"/>
      <c r="D198" s="361"/>
      <c r="E198" s="361"/>
      <c r="F198" s="361"/>
      <c r="G198" s="361"/>
      <c r="H198" s="361"/>
      <c r="I198" s="361"/>
      <c r="J198" s="361"/>
      <c r="K198" s="361"/>
      <c r="L198" s="361"/>
      <c r="M198" s="361"/>
      <c r="N198" s="361"/>
      <c r="O198" s="361"/>
      <c r="P198" s="361"/>
      <c r="Q198" s="361"/>
      <c r="R198" s="361"/>
      <c r="S198" s="361"/>
      <c r="T198" s="361"/>
    </row>
    <row r="199" spans="2:20" s="349" customFormat="1" ht="20.100000000000001" customHeight="1">
      <c r="B199" s="361"/>
      <c r="C199" s="361"/>
      <c r="D199" s="361"/>
      <c r="E199" s="361"/>
      <c r="F199" s="361"/>
      <c r="G199" s="361"/>
      <c r="H199" s="361"/>
      <c r="I199" s="361"/>
      <c r="J199" s="361"/>
      <c r="K199" s="361"/>
      <c r="L199" s="361"/>
      <c r="M199" s="361"/>
      <c r="N199" s="361"/>
      <c r="O199" s="361"/>
      <c r="P199" s="361"/>
      <c r="Q199" s="361"/>
      <c r="R199" s="361"/>
      <c r="S199" s="361"/>
      <c r="T199" s="361"/>
    </row>
    <row r="200" spans="2:20" s="349" customFormat="1" ht="20.100000000000001" customHeight="1">
      <c r="B200" s="361"/>
      <c r="C200" s="361"/>
      <c r="D200" s="361"/>
      <c r="E200" s="361"/>
      <c r="F200" s="361"/>
      <c r="G200" s="361"/>
      <c r="H200" s="361"/>
      <c r="I200" s="361"/>
      <c r="J200" s="361"/>
      <c r="K200" s="361"/>
      <c r="L200" s="361"/>
      <c r="M200" s="361"/>
      <c r="N200" s="361"/>
      <c r="O200" s="361"/>
      <c r="P200" s="361"/>
      <c r="Q200" s="361"/>
      <c r="R200" s="361"/>
      <c r="S200" s="361"/>
      <c r="T200" s="361"/>
    </row>
    <row r="201" spans="2:20" s="349" customFormat="1" ht="20.100000000000001" customHeight="1">
      <c r="B201" s="361"/>
      <c r="C201" s="361"/>
      <c r="D201" s="361"/>
      <c r="E201" s="361"/>
      <c r="F201" s="361"/>
      <c r="G201" s="361"/>
      <c r="H201" s="361"/>
      <c r="I201" s="361"/>
      <c r="J201" s="361"/>
      <c r="K201" s="361"/>
      <c r="L201" s="361"/>
      <c r="M201" s="361"/>
      <c r="N201" s="361"/>
      <c r="O201" s="361"/>
      <c r="P201" s="361"/>
      <c r="Q201" s="361"/>
      <c r="R201" s="361"/>
      <c r="S201" s="361"/>
      <c r="T201" s="361"/>
    </row>
    <row r="202" spans="2:20" s="349" customFormat="1" ht="20.100000000000001" customHeight="1">
      <c r="B202" s="361"/>
      <c r="C202" s="361"/>
      <c r="D202" s="361"/>
      <c r="E202" s="361"/>
      <c r="F202" s="361"/>
      <c r="G202" s="361"/>
      <c r="H202" s="361"/>
      <c r="I202" s="361"/>
      <c r="J202" s="361"/>
      <c r="K202" s="361"/>
      <c r="L202" s="361"/>
      <c r="M202" s="361"/>
      <c r="N202" s="361"/>
      <c r="O202" s="361"/>
      <c r="P202" s="361"/>
      <c r="Q202" s="361"/>
      <c r="R202" s="361"/>
      <c r="S202" s="361"/>
      <c r="T202" s="361"/>
    </row>
    <row r="203" spans="2:20" s="349" customFormat="1" ht="20.100000000000001" customHeight="1">
      <c r="B203" s="361"/>
      <c r="C203" s="361"/>
      <c r="D203" s="361"/>
      <c r="E203" s="361"/>
      <c r="F203" s="361"/>
      <c r="G203" s="361"/>
      <c r="H203" s="361"/>
      <c r="I203" s="361"/>
      <c r="J203" s="361"/>
      <c r="K203" s="361"/>
      <c r="L203" s="361"/>
      <c r="M203" s="361"/>
      <c r="N203" s="361"/>
      <c r="O203" s="361"/>
      <c r="P203" s="361"/>
      <c r="Q203" s="361"/>
      <c r="R203" s="361"/>
      <c r="S203" s="361"/>
      <c r="T203" s="361"/>
    </row>
    <row r="204" spans="2:20" s="349" customFormat="1" ht="20.100000000000001" customHeight="1">
      <c r="B204" s="361"/>
      <c r="C204" s="361"/>
      <c r="D204" s="361"/>
      <c r="E204" s="361"/>
      <c r="F204" s="361"/>
      <c r="G204" s="361"/>
      <c r="H204" s="361"/>
      <c r="I204" s="361"/>
      <c r="J204" s="361"/>
      <c r="K204" s="361"/>
      <c r="L204" s="361"/>
      <c r="M204" s="361"/>
      <c r="N204" s="361"/>
      <c r="O204" s="361"/>
      <c r="P204" s="361"/>
      <c r="Q204" s="361"/>
      <c r="R204" s="361"/>
      <c r="S204" s="361"/>
      <c r="T204" s="361"/>
    </row>
    <row r="205" spans="2:20" s="349" customFormat="1" ht="20.100000000000001" customHeight="1">
      <c r="B205" s="361"/>
      <c r="C205" s="361"/>
      <c r="D205" s="361"/>
      <c r="E205" s="361"/>
      <c r="F205" s="361"/>
      <c r="G205" s="361"/>
      <c r="H205" s="361"/>
      <c r="I205" s="361"/>
      <c r="J205" s="361"/>
      <c r="K205" s="361"/>
      <c r="L205" s="361"/>
      <c r="M205" s="361"/>
      <c r="N205" s="361"/>
      <c r="O205" s="361"/>
      <c r="P205" s="361"/>
      <c r="Q205" s="361"/>
      <c r="R205" s="361"/>
      <c r="S205" s="361"/>
      <c r="T205" s="361"/>
    </row>
    <row r="206" spans="2:20" s="349" customFormat="1" ht="20.100000000000001" customHeight="1">
      <c r="B206" s="361"/>
      <c r="C206" s="361"/>
      <c r="D206" s="361"/>
      <c r="E206" s="361"/>
      <c r="F206" s="361"/>
      <c r="G206" s="361"/>
      <c r="H206" s="361"/>
      <c r="I206" s="361"/>
      <c r="J206" s="361"/>
      <c r="K206" s="361"/>
      <c r="L206" s="361"/>
      <c r="M206" s="361"/>
      <c r="N206" s="361"/>
      <c r="O206" s="361"/>
      <c r="P206" s="361"/>
      <c r="Q206" s="361"/>
      <c r="R206" s="361"/>
      <c r="S206" s="361"/>
      <c r="T206" s="361"/>
    </row>
    <row r="207" spans="2:20" s="349" customFormat="1" ht="20.100000000000001" customHeight="1">
      <c r="B207" s="361"/>
      <c r="C207" s="361"/>
      <c r="D207" s="361"/>
      <c r="E207" s="361"/>
      <c r="F207" s="361"/>
      <c r="G207" s="361"/>
      <c r="H207" s="361"/>
      <c r="I207" s="361"/>
      <c r="J207" s="361"/>
      <c r="K207" s="361"/>
      <c r="L207" s="361"/>
      <c r="M207" s="361"/>
      <c r="N207" s="361"/>
      <c r="O207" s="361"/>
      <c r="P207" s="361"/>
      <c r="Q207" s="361"/>
      <c r="R207" s="361"/>
      <c r="S207" s="361"/>
      <c r="T207" s="361"/>
    </row>
    <row r="208" spans="2:20" s="349" customFormat="1" ht="20.100000000000001" customHeight="1">
      <c r="B208" s="361"/>
      <c r="C208" s="361"/>
      <c r="D208" s="361"/>
      <c r="E208" s="361"/>
      <c r="F208" s="361"/>
      <c r="G208" s="361"/>
      <c r="H208" s="361"/>
      <c r="I208" s="361"/>
      <c r="J208" s="361"/>
      <c r="K208" s="361"/>
      <c r="L208" s="361"/>
      <c r="M208" s="361"/>
      <c r="N208" s="361"/>
      <c r="O208" s="361"/>
      <c r="P208" s="361"/>
      <c r="Q208" s="361"/>
      <c r="R208" s="361"/>
      <c r="S208" s="361"/>
      <c r="T208" s="361"/>
    </row>
    <row r="209" spans="2:20" s="349" customFormat="1" ht="20.100000000000001" customHeight="1">
      <c r="B209" s="361"/>
      <c r="C209" s="361"/>
      <c r="D209" s="361"/>
      <c r="E209" s="361"/>
      <c r="F209" s="361"/>
      <c r="G209" s="361"/>
      <c r="H209" s="361"/>
      <c r="I209" s="361"/>
      <c r="J209" s="361"/>
      <c r="K209" s="361"/>
      <c r="L209" s="361"/>
      <c r="M209" s="361"/>
      <c r="N209" s="361"/>
      <c r="O209" s="361"/>
      <c r="P209" s="361"/>
      <c r="Q209" s="361"/>
      <c r="R209" s="361"/>
      <c r="S209" s="361"/>
      <c r="T209" s="361"/>
    </row>
    <row r="210" spans="2:20" s="349" customFormat="1" ht="19.899999999999999" customHeight="1">
      <c r="B210" s="361"/>
      <c r="C210" s="361"/>
      <c r="D210" s="361"/>
      <c r="E210" s="361"/>
      <c r="F210" s="361"/>
      <c r="G210" s="361"/>
      <c r="H210" s="361"/>
      <c r="I210" s="361"/>
      <c r="J210" s="361"/>
      <c r="K210" s="361"/>
      <c r="L210" s="361"/>
      <c r="M210" s="361"/>
      <c r="N210" s="361"/>
      <c r="O210" s="361"/>
      <c r="P210" s="361"/>
      <c r="Q210" s="361"/>
      <c r="R210" s="361"/>
      <c r="S210" s="361"/>
      <c r="T210" s="361"/>
    </row>
    <row r="211" spans="2:20" s="349" customFormat="1" ht="20.100000000000001" customHeight="1">
      <c r="B211" s="361"/>
      <c r="C211" s="361"/>
      <c r="D211" s="361"/>
      <c r="E211" s="361"/>
      <c r="F211" s="361"/>
      <c r="G211" s="361"/>
      <c r="H211" s="361"/>
      <c r="I211" s="361"/>
      <c r="J211" s="361"/>
      <c r="K211" s="361"/>
      <c r="L211" s="361"/>
      <c r="M211" s="361"/>
      <c r="N211" s="361"/>
      <c r="O211" s="361"/>
      <c r="P211" s="361"/>
      <c r="Q211" s="361"/>
      <c r="R211" s="361"/>
      <c r="S211" s="361"/>
      <c r="T211" s="361"/>
    </row>
    <row r="212" spans="2:20" s="349" customFormat="1" ht="20.100000000000001" customHeight="1">
      <c r="B212" s="361"/>
      <c r="C212" s="361"/>
      <c r="D212" s="361"/>
      <c r="E212" s="361"/>
      <c r="F212" s="361"/>
      <c r="G212" s="361"/>
      <c r="H212" s="361"/>
      <c r="I212" s="361"/>
      <c r="J212" s="361"/>
      <c r="K212" s="361"/>
      <c r="L212" s="361"/>
      <c r="M212" s="361"/>
      <c r="N212" s="361"/>
      <c r="O212" s="361"/>
      <c r="P212" s="361"/>
      <c r="Q212" s="361"/>
      <c r="R212" s="361"/>
      <c r="S212" s="361"/>
      <c r="T212" s="361"/>
    </row>
    <row r="213" spans="2:20" s="349" customFormat="1" ht="20.100000000000001" customHeight="1">
      <c r="B213" s="361"/>
      <c r="C213" s="361"/>
      <c r="D213" s="361"/>
      <c r="E213" s="361"/>
      <c r="F213" s="361"/>
      <c r="G213" s="361"/>
      <c r="H213" s="361"/>
      <c r="I213" s="361"/>
      <c r="J213" s="361"/>
      <c r="K213" s="361"/>
      <c r="L213" s="361"/>
      <c r="M213" s="361"/>
      <c r="N213" s="361"/>
      <c r="O213" s="361"/>
      <c r="P213" s="361"/>
      <c r="Q213" s="361"/>
      <c r="R213" s="361"/>
      <c r="S213" s="361"/>
      <c r="T213" s="361"/>
    </row>
    <row r="214" spans="2:20" s="349" customFormat="1" ht="20.100000000000001" customHeight="1">
      <c r="B214" s="361"/>
      <c r="C214" s="361"/>
      <c r="D214" s="361"/>
      <c r="E214" s="361"/>
      <c r="F214" s="361"/>
      <c r="G214" s="361"/>
      <c r="H214" s="361"/>
      <c r="I214" s="361"/>
      <c r="J214" s="361"/>
      <c r="K214" s="361"/>
      <c r="L214" s="361"/>
      <c r="M214" s="361"/>
      <c r="N214" s="361"/>
      <c r="O214" s="361"/>
      <c r="P214" s="361"/>
      <c r="Q214" s="361"/>
      <c r="R214" s="361"/>
      <c r="S214" s="361"/>
      <c r="T214" s="361"/>
    </row>
    <row r="215" spans="2:20" s="349" customFormat="1" ht="20.100000000000001" customHeight="1">
      <c r="B215" s="361"/>
      <c r="C215" s="361"/>
      <c r="D215" s="361"/>
      <c r="E215" s="361"/>
      <c r="F215" s="361"/>
      <c r="G215" s="361"/>
      <c r="H215" s="361"/>
      <c r="I215" s="361"/>
      <c r="J215" s="361"/>
      <c r="K215" s="361"/>
      <c r="L215" s="361"/>
      <c r="M215" s="361"/>
      <c r="N215" s="361"/>
      <c r="O215" s="361"/>
      <c r="P215" s="361"/>
      <c r="Q215" s="361"/>
      <c r="R215" s="361"/>
      <c r="S215" s="361"/>
      <c r="T215" s="361"/>
    </row>
    <row r="216" spans="2:20" s="349" customFormat="1" ht="20.100000000000001" customHeight="1">
      <c r="B216" s="361"/>
      <c r="C216" s="361"/>
      <c r="D216" s="361"/>
      <c r="E216" s="361"/>
      <c r="F216" s="361"/>
      <c r="G216" s="361"/>
      <c r="H216" s="361"/>
      <c r="I216" s="361"/>
      <c r="J216" s="361"/>
      <c r="K216" s="361"/>
      <c r="L216" s="361"/>
      <c r="M216" s="361"/>
      <c r="N216" s="361"/>
      <c r="O216" s="361"/>
      <c r="P216" s="361"/>
      <c r="Q216" s="361"/>
      <c r="R216" s="361"/>
      <c r="S216" s="361"/>
      <c r="T216" s="361"/>
    </row>
    <row r="217" spans="2:20" s="349" customFormat="1" ht="20.100000000000001" customHeight="1">
      <c r="B217" s="361"/>
      <c r="C217" s="361"/>
      <c r="D217" s="361"/>
      <c r="E217" s="361"/>
      <c r="F217" s="361"/>
      <c r="G217" s="361"/>
      <c r="H217" s="361"/>
      <c r="I217" s="361"/>
      <c r="J217" s="361"/>
      <c r="K217" s="361"/>
      <c r="L217" s="361"/>
      <c r="M217" s="361"/>
      <c r="N217" s="361"/>
      <c r="O217" s="361"/>
      <c r="P217" s="361"/>
      <c r="Q217" s="361"/>
      <c r="R217" s="361"/>
      <c r="S217" s="361"/>
      <c r="T217" s="361"/>
    </row>
    <row r="218" spans="2:20" s="349" customFormat="1" ht="20.100000000000001" customHeight="1">
      <c r="B218" s="361"/>
      <c r="C218" s="361"/>
      <c r="D218" s="361"/>
      <c r="E218" s="361"/>
      <c r="F218" s="361"/>
      <c r="G218" s="361"/>
      <c r="H218" s="361"/>
      <c r="I218" s="361"/>
      <c r="J218" s="361"/>
      <c r="K218" s="361"/>
      <c r="L218" s="361"/>
      <c r="M218" s="361"/>
      <c r="N218" s="361"/>
      <c r="O218" s="361"/>
      <c r="P218" s="361"/>
      <c r="Q218" s="361"/>
      <c r="R218" s="361"/>
      <c r="S218" s="361"/>
      <c r="T218" s="361"/>
    </row>
    <row r="219" spans="2:20" s="349" customFormat="1" ht="20.100000000000001" customHeight="1">
      <c r="B219" s="361"/>
      <c r="C219" s="361"/>
      <c r="D219" s="361"/>
      <c r="E219" s="361"/>
      <c r="F219" s="361"/>
      <c r="G219" s="361"/>
      <c r="H219" s="361"/>
      <c r="I219" s="361"/>
      <c r="J219" s="361"/>
      <c r="K219" s="361"/>
      <c r="L219" s="361"/>
      <c r="M219" s="361"/>
      <c r="N219" s="361"/>
      <c r="O219" s="361"/>
      <c r="P219" s="361"/>
      <c r="Q219" s="361"/>
      <c r="R219" s="361"/>
      <c r="S219" s="361"/>
      <c r="T219" s="361"/>
    </row>
    <row r="220" spans="2:20" s="349" customFormat="1" ht="20.100000000000001" customHeight="1">
      <c r="B220" s="361"/>
      <c r="C220" s="361"/>
      <c r="D220" s="361"/>
      <c r="E220" s="361"/>
      <c r="F220" s="361"/>
      <c r="G220" s="361"/>
      <c r="H220" s="361"/>
      <c r="I220" s="361"/>
      <c r="J220" s="361"/>
      <c r="K220" s="361"/>
      <c r="L220" s="361"/>
      <c r="M220" s="361"/>
      <c r="N220" s="361"/>
      <c r="O220" s="361"/>
      <c r="P220" s="361"/>
      <c r="Q220" s="361"/>
      <c r="R220" s="361"/>
      <c r="S220" s="361"/>
      <c r="T220" s="361"/>
    </row>
    <row r="221" spans="2:20" s="349" customFormat="1" ht="20.100000000000001" customHeight="1">
      <c r="B221" s="361"/>
      <c r="C221" s="361"/>
      <c r="D221" s="361"/>
      <c r="E221" s="361"/>
      <c r="F221" s="361"/>
      <c r="G221" s="361"/>
      <c r="H221" s="361"/>
      <c r="I221" s="361"/>
      <c r="J221" s="361"/>
      <c r="K221" s="361"/>
      <c r="L221" s="361"/>
      <c r="M221" s="361"/>
      <c r="N221" s="361"/>
      <c r="O221" s="361"/>
      <c r="P221" s="361"/>
      <c r="Q221" s="361"/>
      <c r="R221" s="361"/>
      <c r="S221" s="361"/>
      <c r="T221" s="361"/>
    </row>
    <row r="222" spans="2:20" s="349" customFormat="1" ht="20.100000000000001" customHeight="1">
      <c r="B222" s="361"/>
      <c r="C222" s="361"/>
      <c r="D222" s="361"/>
      <c r="E222" s="361"/>
      <c r="F222" s="361"/>
      <c r="G222" s="361"/>
      <c r="H222" s="361"/>
      <c r="I222" s="361"/>
      <c r="J222" s="361"/>
      <c r="K222" s="361"/>
      <c r="L222" s="361"/>
      <c r="M222" s="361"/>
      <c r="N222" s="361"/>
      <c r="O222" s="361"/>
      <c r="P222" s="361"/>
      <c r="Q222" s="361"/>
      <c r="R222" s="361"/>
      <c r="S222" s="361"/>
      <c r="T222" s="361"/>
    </row>
    <row r="223" spans="2:20" s="349" customFormat="1" ht="20.100000000000001" customHeight="1">
      <c r="B223" s="361"/>
      <c r="C223" s="361"/>
      <c r="D223" s="361"/>
      <c r="E223" s="361"/>
      <c r="F223" s="361"/>
      <c r="G223" s="361"/>
      <c r="H223" s="361"/>
      <c r="I223" s="361"/>
      <c r="J223" s="361"/>
      <c r="K223" s="361"/>
      <c r="L223" s="361"/>
      <c r="M223" s="361"/>
      <c r="N223" s="361"/>
      <c r="O223" s="361"/>
      <c r="P223" s="361"/>
      <c r="Q223" s="361"/>
      <c r="R223" s="361"/>
      <c r="S223" s="361"/>
      <c r="T223" s="361"/>
    </row>
    <row r="224" spans="2:20" s="349" customFormat="1" ht="20.100000000000001" customHeight="1">
      <c r="B224" s="361"/>
      <c r="C224" s="361"/>
      <c r="D224" s="361"/>
      <c r="E224" s="361"/>
      <c r="F224" s="361"/>
      <c r="G224" s="361"/>
      <c r="H224" s="361"/>
      <c r="I224" s="361"/>
      <c r="J224" s="361"/>
      <c r="K224" s="361"/>
      <c r="L224" s="361"/>
      <c r="M224" s="361"/>
      <c r="N224" s="361"/>
      <c r="O224" s="361"/>
      <c r="P224" s="361"/>
      <c r="Q224" s="361"/>
      <c r="R224" s="361"/>
      <c r="S224" s="361"/>
      <c r="T224" s="361"/>
    </row>
    <row r="225" spans="2:20" ht="20.100000000000001" customHeight="1"/>
    <row r="226" spans="2:20" ht="9.9499999999999993" customHeight="1"/>
    <row r="227" spans="2:20" ht="20.100000000000001" customHeight="1"/>
    <row r="228" spans="2:20" ht="20.100000000000001" customHeight="1"/>
    <row r="229" spans="2:20" ht="20.100000000000001" customHeight="1"/>
    <row r="230" spans="2:20" ht="20.100000000000001" customHeight="1"/>
    <row r="231" spans="2:20" s="349" customFormat="1" ht="20.100000000000001" customHeight="1">
      <c r="B231" s="361"/>
      <c r="C231" s="361"/>
      <c r="D231" s="361"/>
      <c r="E231" s="361"/>
      <c r="F231" s="361"/>
      <c r="G231" s="361"/>
      <c r="H231" s="361"/>
      <c r="I231" s="361"/>
      <c r="J231" s="361"/>
      <c r="K231" s="361"/>
      <c r="L231" s="361"/>
      <c r="M231" s="361"/>
      <c r="N231" s="361"/>
      <c r="O231" s="361"/>
      <c r="P231" s="361"/>
      <c r="Q231" s="361"/>
      <c r="R231" s="361"/>
      <c r="S231" s="361"/>
      <c r="T231" s="361"/>
    </row>
    <row r="232" spans="2:20" s="349" customFormat="1" ht="20.100000000000001" customHeight="1">
      <c r="B232" s="361"/>
      <c r="C232" s="361"/>
      <c r="D232" s="361"/>
      <c r="E232" s="361"/>
      <c r="F232" s="361"/>
      <c r="G232" s="361"/>
      <c r="H232" s="361"/>
      <c r="I232" s="361"/>
      <c r="J232" s="361"/>
      <c r="K232" s="361"/>
      <c r="L232" s="361"/>
      <c r="M232" s="361"/>
      <c r="N232" s="361"/>
      <c r="O232" s="361"/>
      <c r="P232" s="361"/>
      <c r="Q232" s="361"/>
      <c r="R232" s="361"/>
      <c r="S232" s="361"/>
      <c r="T232" s="361"/>
    </row>
    <row r="233" spans="2:20" s="349" customFormat="1" ht="20.100000000000001" customHeight="1">
      <c r="B233" s="361"/>
      <c r="C233" s="361"/>
      <c r="D233" s="361"/>
      <c r="E233" s="361"/>
      <c r="F233" s="361"/>
      <c r="G233" s="361"/>
      <c r="H233" s="361"/>
      <c r="I233" s="361"/>
      <c r="J233" s="361"/>
      <c r="K233" s="361"/>
      <c r="L233" s="361"/>
      <c r="M233" s="361"/>
      <c r="N233" s="361"/>
      <c r="O233" s="361"/>
      <c r="P233" s="361"/>
      <c r="Q233" s="361"/>
      <c r="R233" s="361"/>
      <c r="S233" s="361"/>
      <c r="T233" s="361"/>
    </row>
    <row r="234" spans="2:20" s="349" customFormat="1" ht="20.100000000000001" customHeight="1">
      <c r="B234" s="361"/>
      <c r="C234" s="361"/>
      <c r="D234" s="361"/>
      <c r="E234" s="361"/>
      <c r="F234" s="361"/>
      <c r="G234" s="361"/>
      <c r="H234" s="361"/>
      <c r="I234" s="361"/>
      <c r="J234" s="361"/>
      <c r="K234" s="361"/>
      <c r="L234" s="361"/>
      <c r="M234" s="361"/>
      <c r="N234" s="361"/>
      <c r="O234" s="361"/>
      <c r="P234" s="361"/>
      <c r="Q234" s="361"/>
      <c r="R234" s="361"/>
      <c r="S234" s="361"/>
      <c r="T234" s="361"/>
    </row>
    <row r="235" spans="2:20" s="349" customFormat="1" ht="20.100000000000001" customHeight="1">
      <c r="B235" s="361"/>
      <c r="C235" s="361"/>
      <c r="D235" s="361"/>
      <c r="E235" s="361"/>
      <c r="F235" s="361"/>
      <c r="G235" s="361"/>
      <c r="H235" s="361"/>
      <c r="I235" s="361"/>
      <c r="J235" s="361"/>
      <c r="K235" s="361"/>
      <c r="L235" s="361"/>
      <c r="M235" s="361"/>
      <c r="N235" s="361"/>
      <c r="O235" s="361"/>
      <c r="P235" s="361"/>
      <c r="Q235" s="361"/>
      <c r="R235" s="361"/>
      <c r="S235" s="361"/>
      <c r="T235" s="361"/>
    </row>
    <row r="236" spans="2:20" s="349" customFormat="1" ht="20.100000000000001" customHeight="1">
      <c r="B236" s="361"/>
      <c r="C236" s="361"/>
      <c r="D236" s="361"/>
      <c r="E236" s="361"/>
      <c r="F236" s="361"/>
      <c r="G236" s="361"/>
      <c r="H236" s="361"/>
      <c r="I236" s="361"/>
      <c r="J236" s="361"/>
      <c r="K236" s="361"/>
      <c r="L236" s="361"/>
      <c r="M236" s="361"/>
      <c r="N236" s="361"/>
      <c r="O236" s="361"/>
      <c r="P236" s="361"/>
      <c r="Q236" s="361"/>
      <c r="R236" s="361"/>
      <c r="S236" s="361"/>
      <c r="T236" s="361"/>
    </row>
    <row r="237" spans="2:20" s="349" customFormat="1" ht="20.100000000000001" customHeight="1">
      <c r="B237" s="361"/>
      <c r="C237" s="361"/>
      <c r="D237" s="361"/>
      <c r="E237" s="361"/>
      <c r="F237" s="361"/>
      <c r="G237" s="361"/>
      <c r="H237" s="361"/>
      <c r="I237" s="361"/>
      <c r="J237" s="361"/>
      <c r="K237" s="361"/>
      <c r="L237" s="361"/>
      <c r="M237" s="361"/>
      <c r="N237" s="361"/>
      <c r="O237" s="361"/>
      <c r="P237" s="361"/>
      <c r="Q237" s="361"/>
      <c r="R237" s="361"/>
      <c r="S237" s="361"/>
      <c r="T237" s="361"/>
    </row>
    <row r="238" spans="2:20" s="349" customFormat="1" ht="20.100000000000001" customHeight="1">
      <c r="B238" s="361"/>
      <c r="C238" s="361"/>
      <c r="D238" s="361"/>
      <c r="E238" s="361"/>
      <c r="F238" s="361"/>
      <c r="G238" s="361"/>
      <c r="H238" s="361"/>
      <c r="I238" s="361"/>
      <c r="J238" s="361"/>
      <c r="K238" s="361"/>
      <c r="L238" s="361"/>
      <c r="M238" s="361"/>
      <c r="N238" s="361"/>
      <c r="O238" s="361"/>
      <c r="P238" s="361"/>
      <c r="Q238" s="361"/>
      <c r="R238" s="361"/>
      <c r="S238" s="361"/>
      <c r="T238" s="361"/>
    </row>
    <row r="239" spans="2:20" s="349" customFormat="1" ht="20.100000000000001" customHeight="1">
      <c r="B239" s="361"/>
      <c r="C239" s="361"/>
      <c r="D239" s="361"/>
      <c r="E239" s="361"/>
      <c r="F239" s="361"/>
      <c r="G239" s="361"/>
      <c r="H239" s="361"/>
      <c r="I239" s="361"/>
      <c r="J239" s="361"/>
      <c r="K239" s="361"/>
      <c r="L239" s="361"/>
      <c r="M239" s="361"/>
      <c r="N239" s="361"/>
      <c r="O239" s="361"/>
      <c r="P239" s="361"/>
      <c r="Q239" s="361"/>
      <c r="R239" s="361"/>
      <c r="S239" s="361"/>
      <c r="T239" s="361"/>
    </row>
    <row r="240" spans="2:20" s="349" customFormat="1" ht="20.100000000000001" customHeight="1">
      <c r="B240" s="361"/>
      <c r="C240" s="361"/>
      <c r="D240" s="361"/>
      <c r="E240" s="361"/>
      <c r="F240" s="361"/>
      <c r="G240" s="361"/>
      <c r="H240" s="361"/>
      <c r="I240" s="361"/>
      <c r="J240" s="361"/>
      <c r="K240" s="361"/>
      <c r="L240" s="361"/>
      <c r="M240" s="361"/>
      <c r="N240" s="361"/>
      <c r="O240" s="361"/>
      <c r="P240" s="361"/>
      <c r="Q240" s="361"/>
      <c r="R240" s="361"/>
      <c r="S240" s="361"/>
      <c r="T240" s="361"/>
    </row>
    <row r="241" spans="2:20" s="349" customFormat="1" ht="20.100000000000001" customHeight="1">
      <c r="B241" s="361"/>
      <c r="C241" s="361"/>
      <c r="D241" s="361"/>
      <c r="E241" s="361"/>
      <c r="F241" s="361"/>
      <c r="G241" s="361"/>
      <c r="H241" s="361"/>
      <c r="I241" s="361"/>
      <c r="J241" s="361"/>
      <c r="K241" s="361"/>
      <c r="L241" s="361"/>
      <c r="M241" s="361"/>
      <c r="N241" s="361"/>
      <c r="O241" s="361"/>
      <c r="P241" s="361"/>
      <c r="Q241" s="361"/>
      <c r="R241" s="361"/>
      <c r="S241" s="361"/>
      <c r="T241" s="361"/>
    </row>
    <row r="242" spans="2:20" s="349" customFormat="1" ht="20.100000000000001" customHeight="1">
      <c r="B242" s="361"/>
      <c r="C242" s="361"/>
      <c r="D242" s="361"/>
      <c r="E242" s="361"/>
      <c r="F242" s="361"/>
      <c r="G242" s="361"/>
      <c r="H242" s="361"/>
      <c r="I242" s="361"/>
      <c r="J242" s="361"/>
      <c r="K242" s="361"/>
      <c r="L242" s="361"/>
      <c r="M242" s="361"/>
      <c r="N242" s="361"/>
      <c r="O242" s="361"/>
      <c r="P242" s="361"/>
      <c r="Q242" s="361"/>
      <c r="R242" s="361"/>
      <c r="S242" s="361"/>
      <c r="T242" s="361"/>
    </row>
    <row r="243" spans="2:20" s="349" customFormat="1" ht="20.100000000000001" customHeight="1">
      <c r="B243" s="361"/>
      <c r="C243" s="361"/>
      <c r="D243" s="361"/>
      <c r="E243" s="361"/>
      <c r="F243" s="361"/>
      <c r="G243" s="361"/>
      <c r="H243" s="361"/>
      <c r="I243" s="361"/>
      <c r="J243" s="361"/>
      <c r="K243" s="361"/>
      <c r="L243" s="361"/>
      <c r="M243" s="361"/>
      <c r="N243" s="361"/>
      <c r="O243" s="361"/>
      <c r="P243" s="361"/>
      <c r="Q243" s="361"/>
      <c r="R243" s="361"/>
      <c r="S243" s="361"/>
      <c r="T243" s="361"/>
    </row>
    <row r="244" spans="2:20" s="349" customFormat="1" ht="20.100000000000001" customHeight="1">
      <c r="B244" s="361"/>
      <c r="C244" s="361"/>
      <c r="D244" s="361"/>
      <c r="E244" s="361"/>
      <c r="F244" s="361"/>
      <c r="G244" s="361"/>
      <c r="H244" s="361"/>
      <c r="I244" s="361"/>
      <c r="J244" s="361"/>
      <c r="K244" s="361"/>
      <c r="L244" s="361"/>
      <c r="M244" s="361"/>
      <c r="N244" s="361"/>
      <c r="O244" s="361"/>
      <c r="P244" s="361"/>
      <c r="Q244" s="361"/>
      <c r="R244" s="361"/>
      <c r="S244" s="361"/>
      <c r="T244" s="361"/>
    </row>
    <row r="245" spans="2:20" s="349" customFormat="1" ht="20.100000000000001" customHeight="1">
      <c r="B245" s="361"/>
      <c r="C245" s="361"/>
      <c r="D245" s="361"/>
      <c r="E245" s="361"/>
      <c r="F245" s="361"/>
      <c r="G245" s="361"/>
      <c r="H245" s="361"/>
      <c r="I245" s="361"/>
      <c r="J245" s="361"/>
      <c r="K245" s="361"/>
      <c r="L245" s="361"/>
      <c r="M245" s="361"/>
      <c r="N245" s="361"/>
      <c r="O245" s="361"/>
      <c r="P245" s="361"/>
      <c r="Q245" s="361"/>
      <c r="R245" s="361"/>
      <c r="S245" s="361"/>
      <c r="T245" s="361"/>
    </row>
    <row r="246" spans="2:20" s="349" customFormat="1" ht="20.100000000000001" customHeight="1">
      <c r="B246" s="361"/>
      <c r="C246" s="361"/>
      <c r="D246" s="361"/>
      <c r="E246" s="361"/>
      <c r="F246" s="361"/>
      <c r="G246" s="361"/>
      <c r="H246" s="361"/>
      <c r="I246" s="361"/>
      <c r="J246" s="361"/>
      <c r="K246" s="361"/>
      <c r="L246" s="361"/>
      <c r="M246" s="361"/>
      <c r="N246" s="361"/>
      <c r="O246" s="361"/>
      <c r="P246" s="361"/>
      <c r="Q246" s="361"/>
      <c r="R246" s="361"/>
      <c r="S246" s="361"/>
      <c r="T246" s="361"/>
    </row>
    <row r="247" spans="2:20" s="349" customFormat="1" ht="20.100000000000001" customHeight="1">
      <c r="B247" s="361"/>
      <c r="C247" s="361"/>
      <c r="D247" s="361"/>
      <c r="E247" s="361"/>
      <c r="F247" s="361"/>
      <c r="G247" s="361"/>
      <c r="H247" s="361"/>
      <c r="I247" s="361"/>
      <c r="J247" s="361"/>
      <c r="K247" s="361"/>
      <c r="L247" s="361"/>
      <c r="M247" s="361"/>
      <c r="N247" s="361"/>
      <c r="O247" s="361"/>
      <c r="P247" s="361"/>
      <c r="Q247" s="361"/>
      <c r="R247" s="361"/>
      <c r="S247" s="361"/>
      <c r="T247" s="361"/>
    </row>
    <row r="248" spans="2:20" s="349" customFormat="1" ht="20.100000000000001" customHeight="1">
      <c r="B248" s="361"/>
      <c r="C248" s="361"/>
      <c r="D248" s="361"/>
      <c r="E248" s="361"/>
      <c r="F248" s="361"/>
      <c r="G248" s="361"/>
      <c r="H248" s="361"/>
      <c r="I248" s="361"/>
      <c r="J248" s="361"/>
      <c r="K248" s="361"/>
      <c r="L248" s="361"/>
      <c r="M248" s="361"/>
      <c r="N248" s="361"/>
      <c r="O248" s="361"/>
      <c r="P248" s="361"/>
      <c r="Q248" s="361"/>
      <c r="R248" s="361"/>
      <c r="S248" s="361"/>
      <c r="T248" s="361"/>
    </row>
    <row r="249" spans="2:20" s="349" customFormat="1" ht="20.100000000000001" customHeight="1">
      <c r="B249" s="361"/>
      <c r="C249" s="361"/>
      <c r="D249" s="361"/>
      <c r="E249" s="361"/>
      <c r="F249" s="361"/>
      <c r="G249" s="361"/>
      <c r="H249" s="361"/>
      <c r="I249" s="361"/>
      <c r="J249" s="361"/>
      <c r="K249" s="361"/>
      <c r="L249" s="361"/>
      <c r="M249" s="361"/>
      <c r="N249" s="361"/>
      <c r="O249" s="361"/>
      <c r="P249" s="361"/>
      <c r="Q249" s="361"/>
      <c r="R249" s="361"/>
      <c r="S249" s="361"/>
      <c r="T249" s="361"/>
    </row>
    <row r="250" spans="2:20" s="349" customFormat="1" ht="20.100000000000001" customHeight="1">
      <c r="B250" s="361"/>
      <c r="C250" s="361"/>
      <c r="D250" s="361"/>
      <c r="E250" s="361"/>
      <c r="F250" s="361"/>
      <c r="G250" s="361"/>
      <c r="H250" s="361"/>
      <c r="I250" s="361"/>
      <c r="J250" s="361"/>
      <c r="K250" s="361"/>
      <c r="L250" s="361"/>
      <c r="M250" s="361"/>
      <c r="N250" s="361"/>
      <c r="O250" s="361"/>
      <c r="P250" s="361"/>
      <c r="Q250" s="361"/>
      <c r="R250" s="361"/>
      <c r="S250" s="361"/>
      <c r="T250" s="361"/>
    </row>
    <row r="251" spans="2:20" s="349" customFormat="1" ht="20.100000000000001" customHeight="1">
      <c r="B251" s="361"/>
      <c r="C251" s="361"/>
      <c r="D251" s="361"/>
      <c r="E251" s="361"/>
      <c r="F251" s="361"/>
      <c r="G251" s="361"/>
      <c r="H251" s="361"/>
      <c r="I251" s="361"/>
      <c r="J251" s="361"/>
      <c r="K251" s="361"/>
      <c r="L251" s="361"/>
      <c r="M251" s="361"/>
      <c r="N251" s="361"/>
      <c r="O251" s="361"/>
      <c r="P251" s="361"/>
      <c r="Q251" s="361"/>
      <c r="R251" s="361"/>
      <c r="S251" s="361"/>
      <c r="T251" s="361"/>
    </row>
    <row r="252" spans="2:20" s="349" customFormat="1" ht="20.100000000000001" customHeight="1">
      <c r="B252" s="361"/>
      <c r="C252" s="361"/>
      <c r="D252" s="361"/>
      <c r="E252" s="361"/>
      <c r="F252" s="361"/>
      <c r="G252" s="361"/>
      <c r="H252" s="361"/>
      <c r="I252" s="361"/>
      <c r="J252" s="361"/>
      <c r="K252" s="361"/>
      <c r="L252" s="361"/>
      <c r="M252" s="361"/>
      <c r="N252" s="361"/>
      <c r="O252" s="361"/>
      <c r="P252" s="361"/>
      <c r="Q252" s="361"/>
      <c r="R252" s="361"/>
      <c r="S252" s="361"/>
      <c r="T252" s="361"/>
    </row>
    <row r="253" spans="2:20" s="349" customFormat="1" ht="20.100000000000001" customHeight="1">
      <c r="B253" s="361"/>
      <c r="C253" s="361"/>
      <c r="D253" s="361"/>
      <c r="E253" s="361"/>
      <c r="F253" s="361"/>
      <c r="G253" s="361"/>
      <c r="H253" s="361"/>
      <c r="I253" s="361"/>
      <c r="J253" s="361"/>
      <c r="K253" s="361"/>
      <c r="L253" s="361"/>
      <c r="M253" s="361"/>
      <c r="N253" s="361"/>
      <c r="O253" s="361"/>
      <c r="P253" s="361"/>
      <c r="Q253" s="361"/>
      <c r="R253" s="361"/>
      <c r="S253" s="361"/>
      <c r="T253" s="361"/>
    </row>
    <row r="254" spans="2:20" s="349" customFormat="1" ht="20.100000000000001" customHeight="1">
      <c r="B254" s="361"/>
      <c r="C254" s="361"/>
      <c r="D254" s="361"/>
      <c r="E254" s="361"/>
      <c r="F254" s="361"/>
      <c r="G254" s="361"/>
      <c r="H254" s="361"/>
      <c r="I254" s="361"/>
      <c r="J254" s="361"/>
      <c r="K254" s="361"/>
      <c r="L254" s="361"/>
      <c r="M254" s="361"/>
      <c r="N254" s="361"/>
      <c r="O254" s="361"/>
      <c r="P254" s="361"/>
      <c r="Q254" s="361"/>
      <c r="R254" s="361"/>
      <c r="S254" s="361"/>
      <c r="T254" s="361"/>
    </row>
    <row r="255" spans="2:20" s="349" customFormat="1" ht="20.100000000000001" customHeight="1">
      <c r="B255" s="361"/>
      <c r="C255" s="361"/>
      <c r="D255" s="361"/>
      <c r="E255" s="361"/>
      <c r="F255" s="361"/>
      <c r="G255" s="361"/>
      <c r="H255" s="361"/>
      <c r="I255" s="361"/>
      <c r="J255" s="361"/>
      <c r="K255" s="361"/>
      <c r="L255" s="361"/>
      <c r="M255" s="361"/>
      <c r="N255" s="361"/>
      <c r="O255" s="361"/>
      <c r="P255" s="361"/>
      <c r="Q255" s="361"/>
      <c r="R255" s="361"/>
      <c r="S255" s="361"/>
      <c r="T255" s="361"/>
    </row>
    <row r="256" spans="2:20" s="349" customFormat="1" ht="20.100000000000001" customHeight="1">
      <c r="B256" s="361"/>
      <c r="C256" s="361"/>
      <c r="D256" s="361"/>
      <c r="E256" s="361"/>
      <c r="F256" s="361"/>
      <c r="G256" s="361"/>
      <c r="H256" s="361"/>
      <c r="I256" s="361"/>
      <c r="J256" s="361"/>
      <c r="K256" s="361"/>
      <c r="L256" s="361"/>
      <c r="M256" s="361"/>
      <c r="N256" s="361"/>
      <c r="O256" s="361"/>
      <c r="P256" s="361"/>
      <c r="Q256" s="361"/>
      <c r="R256" s="361"/>
      <c r="S256" s="361"/>
      <c r="T256" s="361"/>
    </row>
    <row r="257" spans="2:20" s="349" customFormat="1" ht="20.100000000000001" customHeight="1">
      <c r="B257" s="361"/>
      <c r="C257" s="361"/>
      <c r="D257" s="361"/>
      <c r="E257" s="361"/>
      <c r="F257" s="361"/>
      <c r="G257" s="361"/>
      <c r="H257" s="361"/>
      <c r="I257" s="361"/>
      <c r="J257" s="361"/>
      <c r="K257" s="361"/>
      <c r="L257" s="361"/>
      <c r="M257" s="361"/>
      <c r="N257" s="361"/>
      <c r="O257" s="361"/>
      <c r="P257" s="361"/>
      <c r="Q257" s="361"/>
      <c r="R257" s="361"/>
      <c r="S257" s="361"/>
      <c r="T257" s="361"/>
    </row>
    <row r="258" spans="2:20" s="349" customFormat="1" ht="20.100000000000001" customHeight="1">
      <c r="B258" s="361"/>
      <c r="C258" s="361"/>
      <c r="D258" s="361"/>
      <c r="E258" s="361"/>
      <c r="F258" s="361"/>
      <c r="G258" s="361"/>
      <c r="H258" s="361"/>
      <c r="I258" s="361"/>
      <c r="J258" s="361"/>
      <c r="K258" s="361"/>
      <c r="L258" s="361"/>
      <c r="M258" s="361"/>
      <c r="N258" s="361"/>
      <c r="O258" s="361"/>
      <c r="P258" s="361"/>
      <c r="Q258" s="361"/>
      <c r="R258" s="361"/>
      <c r="S258" s="361"/>
      <c r="T258" s="361"/>
    </row>
    <row r="259" spans="2:20" s="349" customFormat="1" ht="20.100000000000001" customHeight="1">
      <c r="B259" s="361"/>
      <c r="C259" s="361"/>
      <c r="D259" s="361"/>
      <c r="E259" s="361"/>
      <c r="F259" s="361"/>
      <c r="G259" s="361"/>
      <c r="H259" s="361"/>
      <c r="I259" s="361"/>
      <c r="J259" s="361"/>
      <c r="K259" s="361"/>
      <c r="L259" s="361"/>
      <c r="M259" s="361"/>
      <c r="N259" s="361"/>
      <c r="O259" s="361"/>
      <c r="P259" s="361"/>
      <c r="Q259" s="361"/>
      <c r="R259" s="361"/>
      <c r="S259" s="361"/>
      <c r="T259" s="361"/>
    </row>
    <row r="260" spans="2:20" s="349" customFormat="1" ht="20.100000000000001" customHeight="1">
      <c r="B260" s="361"/>
      <c r="C260" s="361"/>
      <c r="D260" s="361"/>
      <c r="E260" s="361"/>
      <c r="F260" s="361"/>
      <c r="G260" s="361"/>
      <c r="H260" s="361"/>
      <c r="I260" s="361"/>
      <c r="J260" s="361"/>
      <c r="K260" s="361"/>
      <c r="L260" s="361"/>
      <c r="M260" s="361"/>
      <c r="N260" s="361"/>
      <c r="O260" s="361"/>
      <c r="P260" s="361"/>
      <c r="Q260" s="361"/>
      <c r="R260" s="361"/>
      <c r="S260" s="361"/>
      <c r="T260" s="361"/>
    </row>
    <row r="261" spans="2:20" s="349" customFormat="1" ht="20.100000000000001" customHeight="1">
      <c r="B261" s="361"/>
      <c r="C261" s="361"/>
      <c r="D261" s="361"/>
      <c r="E261" s="361"/>
      <c r="F261" s="361"/>
      <c r="G261" s="361"/>
      <c r="H261" s="361"/>
      <c r="I261" s="361"/>
      <c r="J261" s="361"/>
      <c r="K261" s="361"/>
      <c r="L261" s="361"/>
      <c r="M261" s="361"/>
      <c r="N261" s="361"/>
      <c r="O261" s="361"/>
      <c r="P261" s="361"/>
      <c r="Q261" s="361"/>
      <c r="R261" s="361"/>
      <c r="S261" s="361"/>
      <c r="T261" s="361"/>
    </row>
    <row r="262" spans="2:20" s="349" customFormat="1" ht="20.100000000000001" customHeight="1">
      <c r="B262" s="361"/>
      <c r="C262" s="361"/>
      <c r="D262" s="361"/>
      <c r="E262" s="361"/>
      <c r="F262" s="361"/>
      <c r="G262" s="361"/>
      <c r="H262" s="361"/>
      <c r="I262" s="361"/>
      <c r="J262" s="361"/>
      <c r="K262" s="361"/>
      <c r="L262" s="361"/>
      <c r="M262" s="361"/>
      <c r="N262" s="361"/>
      <c r="O262" s="361"/>
      <c r="P262" s="361"/>
      <c r="Q262" s="361"/>
      <c r="R262" s="361"/>
      <c r="S262" s="361"/>
      <c r="T262" s="361"/>
    </row>
    <row r="263" spans="2:20" s="349" customFormat="1" ht="20.100000000000001" customHeight="1">
      <c r="B263" s="361"/>
      <c r="C263" s="361"/>
      <c r="D263" s="361"/>
      <c r="E263" s="361"/>
      <c r="F263" s="361"/>
      <c r="G263" s="361"/>
      <c r="H263" s="361"/>
      <c r="I263" s="361"/>
      <c r="J263" s="361"/>
      <c r="K263" s="361"/>
      <c r="L263" s="361"/>
      <c r="M263" s="361"/>
      <c r="N263" s="361"/>
      <c r="O263" s="361"/>
      <c r="P263" s="361"/>
      <c r="Q263" s="361"/>
      <c r="R263" s="361"/>
      <c r="S263" s="361"/>
      <c r="T263" s="361"/>
    </row>
    <row r="264" spans="2:20" s="349" customFormat="1" ht="20.100000000000001" customHeight="1">
      <c r="B264" s="361"/>
      <c r="C264" s="361"/>
      <c r="D264" s="361"/>
      <c r="E264" s="361"/>
      <c r="F264" s="361"/>
      <c r="G264" s="361"/>
      <c r="H264" s="361"/>
      <c r="I264" s="361"/>
      <c r="J264" s="361"/>
      <c r="K264" s="361"/>
      <c r="L264" s="361"/>
      <c r="M264" s="361"/>
      <c r="N264" s="361"/>
      <c r="O264" s="361"/>
      <c r="P264" s="361"/>
      <c r="Q264" s="361"/>
      <c r="R264" s="361"/>
      <c r="S264" s="361"/>
      <c r="T264" s="361"/>
    </row>
    <row r="265" spans="2:20" s="349" customFormat="1" ht="20.100000000000001" customHeight="1">
      <c r="B265" s="361"/>
      <c r="C265" s="361"/>
      <c r="D265" s="361"/>
      <c r="E265" s="361"/>
      <c r="F265" s="361"/>
      <c r="G265" s="361"/>
      <c r="H265" s="361"/>
      <c r="I265" s="361"/>
      <c r="J265" s="361"/>
      <c r="K265" s="361"/>
      <c r="L265" s="361"/>
      <c r="M265" s="361"/>
      <c r="N265" s="361"/>
      <c r="O265" s="361"/>
      <c r="P265" s="361"/>
      <c r="Q265" s="361"/>
      <c r="R265" s="361"/>
      <c r="S265" s="361"/>
      <c r="T265" s="361"/>
    </row>
    <row r="266" spans="2:20" s="349" customFormat="1" ht="20.100000000000001" customHeight="1">
      <c r="B266" s="361"/>
      <c r="C266" s="361"/>
      <c r="D266" s="361"/>
      <c r="E266" s="361"/>
      <c r="F266" s="361"/>
      <c r="G266" s="361"/>
      <c r="H266" s="361"/>
      <c r="I266" s="361"/>
      <c r="J266" s="361"/>
      <c r="K266" s="361"/>
      <c r="L266" s="361"/>
      <c r="M266" s="361"/>
      <c r="N266" s="361"/>
      <c r="O266" s="361"/>
      <c r="P266" s="361"/>
      <c r="Q266" s="361"/>
      <c r="R266" s="361"/>
      <c r="S266" s="361"/>
      <c r="T266" s="361"/>
    </row>
    <row r="267" spans="2:20" s="349" customFormat="1" ht="20.100000000000001" customHeight="1">
      <c r="B267" s="361"/>
      <c r="C267" s="361"/>
      <c r="D267" s="361"/>
      <c r="E267" s="361"/>
      <c r="F267" s="361"/>
      <c r="G267" s="361"/>
      <c r="H267" s="361"/>
      <c r="I267" s="361"/>
      <c r="J267" s="361"/>
      <c r="K267" s="361"/>
      <c r="L267" s="361"/>
      <c r="M267" s="361"/>
      <c r="N267" s="361"/>
      <c r="O267" s="361"/>
      <c r="P267" s="361"/>
      <c r="Q267" s="361"/>
      <c r="R267" s="361"/>
      <c r="S267" s="361"/>
      <c r="T267" s="361"/>
    </row>
    <row r="268" spans="2:20" ht="20.100000000000001" customHeight="1"/>
    <row r="269" spans="2:20" ht="9.9499999999999993" customHeight="1"/>
    <row r="270" spans="2:20" ht="20.100000000000001" customHeight="1"/>
    <row r="271" spans="2:20" ht="20.100000000000001" customHeight="1"/>
    <row r="272" spans="2:20" ht="20.100000000000001" customHeight="1"/>
    <row r="273" spans="2:20" s="349" customFormat="1" ht="20.100000000000001" customHeight="1">
      <c r="B273" s="361"/>
      <c r="C273" s="361"/>
      <c r="D273" s="361"/>
      <c r="E273" s="361"/>
      <c r="F273" s="361"/>
      <c r="G273" s="361"/>
      <c r="H273" s="361"/>
      <c r="I273" s="361"/>
      <c r="J273" s="361"/>
      <c r="K273" s="361"/>
      <c r="L273" s="361"/>
      <c r="M273" s="361"/>
      <c r="N273" s="361"/>
      <c r="O273" s="361"/>
      <c r="P273" s="361"/>
      <c r="Q273" s="361"/>
      <c r="R273" s="361"/>
      <c r="S273" s="361"/>
      <c r="T273" s="361"/>
    </row>
    <row r="274" spans="2:20" s="349" customFormat="1" ht="20.100000000000001" customHeight="1">
      <c r="B274" s="361"/>
      <c r="C274" s="361"/>
      <c r="D274" s="361"/>
      <c r="E274" s="361"/>
      <c r="F274" s="361"/>
      <c r="G274" s="361"/>
      <c r="H274" s="361"/>
      <c r="I274" s="361"/>
      <c r="J274" s="361"/>
      <c r="K274" s="361"/>
      <c r="L274" s="361"/>
      <c r="M274" s="361"/>
      <c r="N274" s="361"/>
      <c r="O274" s="361"/>
      <c r="P274" s="361"/>
      <c r="Q274" s="361"/>
      <c r="R274" s="361"/>
      <c r="S274" s="361"/>
      <c r="T274" s="361"/>
    </row>
    <row r="275" spans="2:20" s="349" customFormat="1" ht="20.100000000000001" customHeight="1">
      <c r="B275" s="361"/>
      <c r="C275" s="361"/>
      <c r="D275" s="361"/>
      <c r="E275" s="361"/>
      <c r="F275" s="361"/>
      <c r="G275" s="361"/>
      <c r="H275" s="361"/>
      <c r="I275" s="361"/>
      <c r="J275" s="361"/>
      <c r="K275" s="361"/>
      <c r="L275" s="361"/>
      <c r="M275" s="361"/>
      <c r="N275" s="361"/>
      <c r="O275" s="361"/>
      <c r="P275" s="361"/>
      <c r="Q275" s="361"/>
      <c r="R275" s="361"/>
      <c r="S275" s="361"/>
      <c r="T275" s="361"/>
    </row>
    <row r="276" spans="2:20" s="349" customFormat="1" ht="20.100000000000001" customHeight="1">
      <c r="B276" s="361"/>
      <c r="C276" s="361"/>
      <c r="D276" s="361"/>
      <c r="E276" s="361"/>
      <c r="F276" s="361"/>
      <c r="G276" s="361"/>
      <c r="H276" s="361"/>
      <c r="I276" s="361"/>
      <c r="J276" s="361"/>
      <c r="K276" s="361"/>
      <c r="L276" s="361"/>
      <c r="M276" s="361"/>
      <c r="N276" s="361"/>
      <c r="O276" s="361"/>
      <c r="P276" s="361"/>
      <c r="Q276" s="361"/>
      <c r="R276" s="361"/>
      <c r="S276" s="361"/>
      <c r="T276" s="361"/>
    </row>
    <row r="277" spans="2:20" s="349" customFormat="1" ht="20.100000000000001" customHeight="1">
      <c r="B277" s="361"/>
      <c r="C277" s="361"/>
      <c r="D277" s="361"/>
      <c r="E277" s="361"/>
      <c r="F277" s="361"/>
      <c r="G277" s="361"/>
      <c r="H277" s="361"/>
      <c r="I277" s="361"/>
      <c r="J277" s="361"/>
      <c r="K277" s="361"/>
      <c r="L277" s="361"/>
      <c r="M277" s="361"/>
      <c r="N277" s="361"/>
      <c r="O277" s="361"/>
      <c r="P277" s="361"/>
      <c r="Q277" s="361"/>
      <c r="R277" s="361"/>
      <c r="S277" s="361"/>
      <c r="T277" s="361"/>
    </row>
    <row r="278" spans="2:20" s="349" customFormat="1" ht="20.100000000000001" customHeight="1">
      <c r="B278" s="361"/>
      <c r="C278" s="361"/>
      <c r="D278" s="361"/>
      <c r="E278" s="361"/>
      <c r="F278" s="361"/>
      <c r="G278" s="361"/>
      <c r="H278" s="361"/>
      <c r="I278" s="361"/>
      <c r="J278" s="361"/>
      <c r="K278" s="361"/>
      <c r="L278" s="361"/>
      <c r="M278" s="361"/>
      <c r="N278" s="361"/>
      <c r="O278" s="361"/>
      <c r="P278" s="361"/>
      <c r="Q278" s="361"/>
      <c r="R278" s="361"/>
      <c r="S278" s="361"/>
      <c r="T278" s="361"/>
    </row>
    <row r="279" spans="2:20" s="349" customFormat="1" ht="20.100000000000001" customHeight="1">
      <c r="B279" s="361"/>
      <c r="C279" s="361"/>
      <c r="D279" s="361"/>
      <c r="E279" s="361"/>
      <c r="F279" s="361"/>
      <c r="G279" s="361"/>
      <c r="H279" s="361"/>
      <c r="I279" s="361"/>
      <c r="J279" s="361"/>
      <c r="K279" s="361"/>
      <c r="L279" s="361"/>
      <c r="M279" s="361"/>
      <c r="N279" s="361"/>
      <c r="O279" s="361"/>
      <c r="P279" s="361"/>
      <c r="Q279" s="361"/>
      <c r="R279" s="361"/>
      <c r="S279" s="361"/>
      <c r="T279" s="361"/>
    </row>
    <row r="280" spans="2:20" s="349" customFormat="1" ht="20.100000000000001" customHeight="1">
      <c r="B280" s="361"/>
      <c r="C280" s="361"/>
      <c r="D280" s="361"/>
      <c r="E280" s="361"/>
      <c r="F280" s="361"/>
      <c r="G280" s="361"/>
      <c r="H280" s="361"/>
      <c r="I280" s="361"/>
      <c r="J280" s="361"/>
      <c r="K280" s="361"/>
      <c r="L280" s="361"/>
      <c r="M280" s="361"/>
      <c r="N280" s="361"/>
      <c r="O280" s="361"/>
      <c r="P280" s="361"/>
      <c r="Q280" s="361"/>
      <c r="R280" s="361"/>
      <c r="S280" s="361"/>
      <c r="T280" s="361"/>
    </row>
    <row r="281" spans="2:20" s="349" customFormat="1" ht="20.100000000000001" customHeight="1">
      <c r="B281" s="361"/>
      <c r="C281" s="361"/>
      <c r="D281" s="361"/>
      <c r="E281" s="361"/>
      <c r="F281" s="361"/>
      <c r="G281" s="361"/>
      <c r="H281" s="361"/>
      <c r="I281" s="361"/>
      <c r="J281" s="361"/>
      <c r="K281" s="361"/>
      <c r="L281" s="361"/>
      <c r="M281" s="361"/>
      <c r="N281" s="361"/>
      <c r="O281" s="361"/>
      <c r="P281" s="361"/>
      <c r="Q281" s="361"/>
      <c r="R281" s="361"/>
      <c r="S281" s="361"/>
      <c r="T281" s="361"/>
    </row>
    <row r="282" spans="2:20" s="349" customFormat="1" ht="20.100000000000001" customHeight="1">
      <c r="B282" s="361"/>
      <c r="C282" s="361"/>
      <c r="D282" s="361"/>
      <c r="E282" s="361"/>
      <c r="F282" s="361"/>
      <c r="G282" s="361"/>
      <c r="H282" s="361"/>
      <c r="I282" s="361"/>
      <c r="J282" s="361"/>
      <c r="K282" s="361"/>
      <c r="L282" s="361"/>
      <c r="M282" s="361"/>
      <c r="N282" s="361"/>
      <c r="O282" s="361"/>
      <c r="P282" s="361"/>
      <c r="Q282" s="361"/>
      <c r="R282" s="361"/>
      <c r="S282" s="361"/>
      <c r="T282" s="361"/>
    </row>
    <row r="283" spans="2:20" s="349" customFormat="1" ht="20.100000000000001" customHeight="1">
      <c r="B283" s="361"/>
      <c r="C283" s="361"/>
      <c r="D283" s="361"/>
      <c r="E283" s="361"/>
      <c r="F283" s="361"/>
      <c r="G283" s="361"/>
      <c r="H283" s="361"/>
      <c r="I283" s="361"/>
      <c r="J283" s="361"/>
      <c r="K283" s="361"/>
      <c r="L283" s="361"/>
      <c r="M283" s="361"/>
      <c r="N283" s="361"/>
      <c r="O283" s="361"/>
      <c r="P283" s="361"/>
      <c r="Q283" s="361"/>
      <c r="R283" s="361"/>
      <c r="S283" s="361"/>
      <c r="T283" s="361"/>
    </row>
    <row r="284" spans="2:20" s="349" customFormat="1" ht="20.100000000000001" customHeight="1">
      <c r="B284" s="361"/>
      <c r="C284" s="361"/>
      <c r="D284" s="361"/>
      <c r="E284" s="361"/>
      <c r="F284" s="361"/>
      <c r="G284" s="361"/>
      <c r="H284" s="361"/>
      <c r="I284" s="361"/>
      <c r="J284" s="361"/>
      <c r="K284" s="361"/>
      <c r="L284" s="361"/>
      <c r="M284" s="361"/>
      <c r="N284" s="361"/>
      <c r="O284" s="361"/>
      <c r="P284" s="361"/>
      <c r="Q284" s="361"/>
      <c r="R284" s="361"/>
      <c r="S284" s="361"/>
      <c r="T284" s="361"/>
    </row>
    <row r="285" spans="2:20" s="349" customFormat="1" ht="20.100000000000001" customHeight="1">
      <c r="B285" s="361"/>
      <c r="C285" s="361"/>
      <c r="D285" s="361"/>
      <c r="E285" s="361"/>
      <c r="F285" s="361"/>
      <c r="G285" s="361"/>
      <c r="H285" s="361"/>
      <c r="I285" s="361"/>
      <c r="J285" s="361"/>
      <c r="K285" s="361"/>
      <c r="L285" s="361"/>
      <c r="M285" s="361"/>
      <c r="N285" s="361"/>
      <c r="O285" s="361"/>
      <c r="P285" s="361"/>
      <c r="Q285" s="361"/>
      <c r="R285" s="361"/>
      <c r="S285" s="361"/>
      <c r="T285" s="361"/>
    </row>
    <row r="286" spans="2:20" s="349" customFormat="1" ht="20.100000000000001" customHeight="1">
      <c r="B286" s="361"/>
      <c r="C286" s="361"/>
      <c r="D286" s="361"/>
      <c r="E286" s="361"/>
      <c r="F286" s="361"/>
      <c r="G286" s="361"/>
      <c r="H286" s="361"/>
      <c r="I286" s="361"/>
      <c r="J286" s="361"/>
      <c r="K286" s="361"/>
      <c r="L286" s="361"/>
      <c r="M286" s="361"/>
      <c r="N286" s="361"/>
      <c r="O286" s="361"/>
      <c r="P286" s="361"/>
      <c r="Q286" s="361"/>
      <c r="R286" s="361"/>
      <c r="S286" s="361"/>
      <c r="T286" s="361"/>
    </row>
    <row r="287" spans="2:20" s="349" customFormat="1" ht="20.100000000000001" customHeight="1">
      <c r="B287" s="361"/>
      <c r="C287" s="361"/>
      <c r="D287" s="361"/>
      <c r="E287" s="361"/>
      <c r="F287" s="361"/>
      <c r="G287" s="361"/>
      <c r="H287" s="361"/>
      <c r="I287" s="361"/>
      <c r="J287" s="361"/>
      <c r="K287" s="361"/>
      <c r="L287" s="361"/>
      <c r="M287" s="361"/>
      <c r="N287" s="361"/>
      <c r="O287" s="361"/>
      <c r="P287" s="361"/>
      <c r="Q287" s="361"/>
      <c r="R287" s="361"/>
      <c r="S287" s="361"/>
      <c r="T287" s="361"/>
    </row>
    <row r="288" spans="2:20" s="349" customFormat="1" ht="20.100000000000001" customHeight="1">
      <c r="B288" s="361"/>
      <c r="C288" s="361"/>
      <c r="D288" s="361"/>
      <c r="E288" s="361"/>
      <c r="F288" s="361"/>
      <c r="G288" s="361"/>
      <c r="H288" s="361"/>
      <c r="I288" s="361"/>
      <c r="J288" s="361"/>
      <c r="K288" s="361"/>
      <c r="L288" s="361"/>
      <c r="M288" s="361"/>
      <c r="N288" s="361"/>
      <c r="O288" s="361"/>
      <c r="P288" s="361"/>
      <c r="Q288" s="361"/>
      <c r="R288" s="361"/>
      <c r="S288" s="361"/>
      <c r="T288" s="361"/>
    </row>
    <row r="289" spans="2:20" s="349" customFormat="1" ht="20.100000000000001" customHeight="1">
      <c r="B289" s="361"/>
      <c r="C289" s="361"/>
      <c r="D289" s="361"/>
      <c r="E289" s="361"/>
      <c r="F289" s="361"/>
      <c r="G289" s="361"/>
      <c r="H289" s="361"/>
      <c r="I289" s="361"/>
      <c r="J289" s="361"/>
      <c r="K289" s="361"/>
      <c r="L289" s="361"/>
      <c r="M289" s="361"/>
      <c r="N289" s="361"/>
      <c r="O289" s="361"/>
      <c r="P289" s="361"/>
      <c r="Q289" s="361"/>
      <c r="R289" s="361"/>
      <c r="S289" s="361"/>
      <c r="T289" s="361"/>
    </row>
    <row r="290" spans="2:20" s="349" customFormat="1" ht="20.100000000000001" customHeight="1">
      <c r="B290" s="361"/>
      <c r="C290" s="361"/>
      <c r="D290" s="361"/>
      <c r="E290" s="361"/>
      <c r="F290" s="361"/>
      <c r="G290" s="361"/>
      <c r="H290" s="361"/>
      <c r="I290" s="361"/>
      <c r="J290" s="361"/>
      <c r="K290" s="361"/>
      <c r="L290" s="361"/>
      <c r="M290" s="361"/>
      <c r="N290" s="361"/>
      <c r="O290" s="361"/>
      <c r="P290" s="361"/>
      <c r="Q290" s="361"/>
      <c r="R290" s="361"/>
      <c r="S290" s="361"/>
      <c r="T290" s="361"/>
    </row>
    <row r="291" spans="2:20" s="349" customFormat="1" ht="20.100000000000001" customHeight="1">
      <c r="B291" s="361"/>
      <c r="C291" s="361"/>
      <c r="D291" s="361"/>
      <c r="E291" s="361"/>
      <c r="F291" s="361"/>
      <c r="G291" s="361"/>
      <c r="H291" s="361"/>
      <c r="I291" s="361"/>
      <c r="J291" s="361"/>
      <c r="K291" s="361"/>
      <c r="L291" s="361"/>
      <c r="M291" s="361"/>
      <c r="N291" s="361"/>
      <c r="O291" s="361"/>
      <c r="P291" s="361"/>
      <c r="Q291" s="361"/>
      <c r="R291" s="361"/>
      <c r="S291" s="361"/>
      <c r="T291" s="361"/>
    </row>
    <row r="292" spans="2:20" s="349" customFormat="1" ht="20.100000000000001" customHeight="1">
      <c r="B292" s="361"/>
      <c r="C292" s="361"/>
      <c r="D292" s="361"/>
      <c r="E292" s="361"/>
      <c r="F292" s="361"/>
      <c r="G292" s="361"/>
      <c r="H292" s="361"/>
      <c r="I292" s="361"/>
      <c r="J292" s="361"/>
      <c r="K292" s="361"/>
      <c r="L292" s="361"/>
      <c r="M292" s="361"/>
      <c r="N292" s="361"/>
      <c r="O292" s="361"/>
      <c r="P292" s="361"/>
      <c r="Q292" s="361"/>
      <c r="R292" s="361"/>
      <c r="S292" s="361"/>
      <c r="T292" s="361"/>
    </row>
    <row r="293" spans="2:20" s="349" customFormat="1" ht="20.100000000000001" customHeight="1">
      <c r="B293" s="361"/>
      <c r="C293" s="361"/>
      <c r="D293" s="361"/>
      <c r="E293" s="361"/>
      <c r="F293" s="361"/>
      <c r="G293" s="361"/>
      <c r="H293" s="361"/>
      <c r="I293" s="361"/>
      <c r="J293" s="361"/>
      <c r="K293" s="361"/>
      <c r="L293" s="361"/>
      <c r="M293" s="361"/>
      <c r="N293" s="361"/>
      <c r="O293" s="361"/>
      <c r="P293" s="361"/>
      <c r="Q293" s="361"/>
      <c r="R293" s="361"/>
      <c r="S293" s="361"/>
      <c r="T293" s="361"/>
    </row>
    <row r="294" spans="2:20" s="349" customFormat="1" ht="20.100000000000001" customHeight="1">
      <c r="B294" s="361"/>
      <c r="C294" s="361"/>
      <c r="D294" s="361"/>
      <c r="E294" s="361"/>
      <c r="F294" s="361"/>
      <c r="G294" s="361"/>
      <c r="H294" s="361"/>
      <c r="I294" s="361"/>
      <c r="J294" s="361"/>
      <c r="K294" s="361"/>
      <c r="L294" s="361"/>
      <c r="M294" s="361"/>
      <c r="N294" s="361"/>
      <c r="O294" s="361"/>
      <c r="P294" s="361"/>
      <c r="Q294" s="361"/>
      <c r="R294" s="361"/>
      <c r="S294" s="361"/>
      <c r="T294" s="361"/>
    </row>
    <row r="295" spans="2:20" s="349" customFormat="1" ht="20.100000000000001" customHeight="1">
      <c r="B295" s="361"/>
      <c r="C295" s="361"/>
      <c r="D295" s="361"/>
      <c r="E295" s="361"/>
      <c r="F295" s="361"/>
      <c r="G295" s="361"/>
      <c r="H295" s="361"/>
      <c r="I295" s="361"/>
      <c r="J295" s="361"/>
      <c r="K295" s="361"/>
      <c r="L295" s="361"/>
      <c r="M295" s="361"/>
      <c r="N295" s="361"/>
      <c r="O295" s="361"/>
      <c r="P295" s="361"/>
      <c r="Q295" s="361"/>
      <c r="R295" s="361"/>
      <c r="S295" s="361"/>
      <c r="T295" s="361"/>
    </row>
    <row r="296" spans="2:20" s="349" customFormat="1" ht="20.100000000000001" customHeight="1">
      <c r="B296" s="361"/>
      <c r="C296" s="361"/>
      <c r="D296" s="361"/>
      <c r="E296" s="361"/>
      <c r="F296" s="361"/>
      <c r="G296" s="361"/>
      <c r="H296" s="361"/>
      <c r="I296" s="361"/>
      <c r="J296" s="361"/>
      <c r="K296" s="361"/>
      <c r="L296" s="361"/>
      <c r="M296" s="361"/>
      <c r="N296" s="361"/>
      <c r="O296" s="361"/>
      <c r="P296" s="361"/>
      <c r="Q296" s="361"/>
      <c r="R296" s="361"/>
      <c r="S296" s="361"/>
      <c r="T296" s="361"/>
    </row>
    <row r="297" spans="2:20" s="349" customFormat="1" ht="20.100000000000001" customHeight="1">
      <c r="B297" s="361"/>
      <c r="C297" s="361"/>
      <c r="D297" s="361"/>
      <c r="E297" s="361"/>
      <c r="F297" s="361"/>
      <c r="G297" s="361"/>
      <c r="H297" s="361"/>
      <c r="I297" s="361"/>
      <c r="J297" s="361"/>
      <c r="K297" s="361"/>
      <c r="L297" s="361"/>
      <c r="M297" s="361"/>
      <c r="N297" s="361"/>
      <c r="O297" s="361"/>
      <c r="P297" s="361"/>
      <c r="Q297" s="361"/>
      <c r="R297" s="361"/>
      <c r="S297" s="361"/>
      <c r="T297" s="361"/>
    </row>
    <row r="298" spans="2:20" s="349" customFormat="1" ht="20.100000000000001" customHeight="1">
      <c r="B298" s="361"/>
      <c r="C298" s="361"/>
      <c r="D298" s="361"/>
      <c r="E298" s="361"/>
      <c r="F298" s="361"/>
      <c r="G298" s="361"/>
      <c r="H298" s="361"/>
      <c r="I298" s="361"/>
      <c r="J298" s="361"/>
      <c r="K298" s="361"/>
      <c r="L298" s="361"/>
      <c r="M298" s="361"/>
      <c r="N298" s="361"/>
      <c r="O298" s="361"/>
      <c r="P298" s="361"/>
      <c r="Q298" s="361"/>
      <c r="R298" s="361"/>
      <c r="S298" s="361"/>
      <c r="T298" s="361"/>
    </row>
    <row r="299" spans="2:20" s="349" customFormat="1" ht="20.100000000000001" customHeight="1">
      <c r="B299" s="361"/>
      <c r="C299" s="361"/>
      <c r="D299" s="361"/>
      <c r="E299" s="361"/>
      <c r="F299" s="361"/>
      <c r="G299" s="361"/>
      <c r="H299" s="361"/>
      <c r="I299" s="361"/>
      <c r="J299" s="361"/>
      <c r="K299" s="361"/>
      <c r="L299" s="361"/>
      <c r="M299" s="361"/>
      <c r="N299" s="361"/>
      <c r="O299" s="361"/>
      <c r="P299" s="361"/>
      <c r="Q299" s="361"/>
      <c r="R299" s="361"/>
      <c r="S299" s="361"/>
      <c r="T299" s="361"/>
    </row>
    <row r="300" spans="2:20" s="349" customFormat="1" ht="20.100000000000001" customHeight="1">
      <c r="B300" s="361"/>
      <c r="C300" s="361"/>
      <c r="D300" s="361"/>
      <c r="E300" s="361"/>
      <c r="F300" s="361"/>
      <c r="G300" s="361"/>
      <c r="H300" s="361"/>
      <c r="I300" s="361"/>
      <c r="J300" s="361"/>
      <c r="K300" s="361"/>
      <c r="L300" s="361"/>
      <c r="M300" s="361"/>
      <c r="N300" s="361"/>
      <c r="O300" s="361"/>
      <c r="P300" s="361"/>
      <c r="Q300" s="361"/>
      <c r="R300" s="361"/>
      <c r="S300" s="361"/>
      <c r="T300" s="361"/>
    </row>
    <row r="301" spans="2:20" s="349" customFormat="1" ht="20.100000000000001" customHeight="1">
      <c r="B301" s="361"/>
      <c r="C301" s="361"/>
      <c r="D301" s="361"/>
      <c r="E301" s="361"/>
      <c r="F301" s="361"/>
      <c r="G301" s="361"/>
      <c r="H301" s="361"/>
      <c r="I301" s="361"/>
      <c r="J301" s="361"/>
      <c r="K301" s="361"/>
      <c r="L301" s="361"/>
      <c r="M301" s="361"/>
      <c r="N301" s="361"/>
      <c r="O301" s="361"/>
      <c r="P301" s="361"/>
      <c r="Q301" s="361"/>
      <c r="R301" s="361"/>
      <c r="S301" s="361"/>
      <c r="T301" s="361"/>
    </row>
    <row r="302" spans="2:20" s="349" customFormat="1" ht="20.100000000000001" customHeight="1">
      <c r="B302" s="361"/>
      <c r="C302" s="361"/>
      <c r="D302" s="361"/>
      <c r="E302" s="361"/>
      <c r="F302" s="361"/>
      <c r="G302" s="361"/>
      <c r="H302" s="361"/>
      <c r="I302" s="361"/>
      <c r="J302" s="361"/>
      <c r="K302" s="361"/>
      <c r="L302" s="361"/>
      <c r="M302" s="361"/>
      <c r="N302" s="361"/>
      <c r="O302" s="361"/>
      <c r="P302" s="361"/>
      <c r="Q302" s="361"/>
      <c r="R302" s="361"/>
      <c r="S302" s="361"/>
      <c r="T302" s="361"/>
    </row>
    <row r="303" spans="2:20" s="349" customFormat="1" ht="20.100000000000001" customHeight="1">
      <c r="B303" s="361"/>
      <c r="C303" s="361"/>
      <c r="D303" s="361"/>
      <c r="E303" s="361"/>
      <c r="F303" s="361"/>
      <c r="G303" s="361"/>
      <c r="H303" s="361"/>
      <c r="I303" s="361"/>
      <c r="J303" s="361"/>
      <c r="K303" s="361"/>
      <c r="L303" s="361"/>
      <c r="M303" s="361"/>
      <c r="N303" s="361"/>
      <c r="O303" s="361"/>
      <c r="P303" s="361"/>
      <c r="Q303" s="361"/>
      <c r="R303" s="361"/>
      <c r="S303" s="361"/>
      <c r="T303" s="361"/>
    </row>
    <row r="304" spans="2:20" s="349" customFormat="1" ht="20.100000000000001" customHeight="1">
      <c r="B304" s="361"/>
      <c r="C304" s="361"/>
      <c r="D304" s="361"/>
      <c r="E304" s="361"/>
      <c r="F304" s="361"/>
      <c r="G304" s="361"/>
      <c r="H304" s="361"/>
      <c r="I304" s="361"/>
      <c r="J304" s="361"/>
      <c r="K304" s="361"/>
      <c r="L304" s="361"/>
      <c r="M304" s="361"/>
      <c r="N304" s="361"/>
      <c r="O304" s="361"/>
      <c r="P304" s="361"/>
      <c r="Q304" s="361"/>
      <c r="R304" s="361"/>
      <c r="S304" s="361"/>
      <c r="T304" s="361"/>
    </row>
    <row r="305" spans="2:20" s="349" customFormat="1" ht="20.100000000000001" customHeight="1">
      <c r="B305" s="361"/>
      <c r="C305" s="361"/>
      <c r="D305" s="361"/>
      <c r="E305" s="361"/>
      <c r="F305" s="361"/>
      <c r="G305" s="361"/>
      <c r="H305" s="361"/>
      <c r="I305" s="361"/>
      <c r="J305" s="361"/>
      <c r="K305" s="361"/>
      <c r="L305" s="361"/>
      <c r="M305" s="361"/>
      <c r="N305" s="361"/>
      <c r="O305" s="361"/>
      <c r="P305" s="361"/>
      <c r="Q305" s="361"/>
      <c r="R305" s="361"/>
      <c r="S305" s="361"/>
      <c r="T305" s="361"/>
    </row>
    <row r="306" spans="2:20" s="349" customFormat="1" ht="20.100000000000001" customHeight="1">
      <c r="B306" s="361"/>
      <c r="C306" s="361"/>
      <c r="D306" s="361"/>
      <c r="E306" s="361"/>
      <c r="F306" s="361"/>
      <c r="G306" s="361"/>
      <c r="H306" s="361"/>
      <c r="I306" s="361"/>
      <c r="J306" s="361"/>
      <c r="K306" s="361"/>
      <c r="L306" s="361"/>
      <c r="M306" s="361"/>
      <c r="N306" s="361"/>
      <c r="O306" s="361"/>
      <c r="P306" s="361"/>
      <c r="Q306" s="361"/>
      <c r="R306" s="361"/>
      <c r="S306" s="361"/>
      <c r="T306" s="361"/>
    </row>
    <row r="307" spans="2:20" s="349" customFormat="1" ht="20.100000000000001" customHeight="1">
      <c r="B307" s="361"/>
      <c r="C307" s="361"/>
      <c r="D307" s="361"/>
      <c r="E307" s="361"/>
      <c r="F307" s="361"/>
      <c r="G307" s="361"/>
      <c r="H307" s="361"/>
      <c r="I307" s="361"/>
      <c r="J307" s="361"/>
      <c r="K307" s="361"/>
      <c r="L307" s="361"/>
      <c r="M307" s="361"/>
      <c r="N307" s="361"/>
      <c r="O307" s="361"/>
      <c r="P307" s="361"/>
      <c r="Q307" s="361"/>
      <c r="R307" s="361"/>
      <c r="S307" s="361"/>
      <c r="T307" s="361"/>
    </row>
    <row r="308" spans="2:20" s="349" customFormat="1" ht="20.100000000000001" customHeight="1">
      <c r="B308" s="361"/>
      <c r="C308" s="361"/>
      <c r="D308" s="361"/>
      <c r="E308" s="361"/>
      <c r="F308" s="361"/>
      <c r="G308" s="361"/>
      <c r="H308" s="361"/>
      <c r="I308" s="361"/>
      <c r="J308" s="361"/>
      <c r="K308" s="361"/>
      <c r="L308" s="361"/>
      <c r="M308" s="361"/>
      <c r="N308" s="361"/>
      <c r="O308" s="361"/>
      <c r="P308" s="361"/>
      <c r="Q308" s="361"/>
      <c r="R308" s="361"/>
      <c r="S308" s="361"/>
      <c r="T308" s="361"/>
    </row>
    <row r="309" spans="2:20" s="349" customFormat="1" ht="20.100000000000001" customHeight="1">
      <c r="B309" s="361"/>
      <c r="C309" s="361"/>
      <c r="D309" s="361"/>
      <c r="E309" s="361"/>
      <c r="F309" s="361"/>
      <c r="G309" s="361"/>
      <c r="H309" s="361"/>
      <c r="I309" s="361"/>
      <c r="J309" s="361"/>
      <c r="K309" s="361"/>
      <c r="L309" s="361"/>
      <c r="M309" s="361"/>
      <c r="N309" s="361"/>
      <c r="O309" s="361"/>
      <c r="P309" s="361"/>
      <c r="Q309" s="361"/>
      <c r="R309" s="361"/>
      <c r="S309" s="361"/>
      <c r="T309" s="361"/>
    </row>
    <row r="310" spans="2:20" ht="20.100000000000001" customHeight="1"/>
    <row r="311" spans="2:20" ht="9.9499999999999993" customHeight="1"/>
    <row r="312" spans="2:20" ht="20.100000000000001" customHeight="1"/>
    <row r="313" spans="2:20" ht="20.100000000000001" customHeight="1"/>
    <row r="314" spans="2:20" ht="20.100000000000001" customHeight="1"/>
    <row r="315" spans="2:20" s="349" customFormat="1" ht="20.100000000000001" customHeight="1">
      <c r="B315" s="361"/>
      <c r="C315" s="361"/>
      <c r="D315" s="361"/>
      <c r="E315" s="361"/>
      <c r="F315" s="361"/>
      <c r="G315" s="361"/>
      <c r="H315" s="361"/>
      <c r="I315" s="361"/>
      <c r="J315" s="361"/>
      <c r="K315" s="361"/>
      <c r="L315" s="361"/>
      <c r="M315" s="361"/>
      <c r="N315" s="361"/>
      <c r="O315" s="361"/>
      <c r="P315" s="361"/>
      <c r="Q315" s="361"/>
      <c r="R315" s="361"/>
      <c r="S315" s="361"/>
      <c r="T315" s="361"/>
    </row>
    <row r="316" spans="2:20" s="349" customFormat="1" ht="20.100000000000001" customHeight="1">
      <c r="B316" s="361"/>
      <c r="C316" s="361"/>
      <c r="D316" s="361"/>
      <c r="E316" s="361"/>
      <c r="F316" s="361"/>
      <c r="G316" s="361"/>
      <c r="H316" s="361"/>
      <c r="I316" s="361"/>
      <c r="J316" s="361"/>
      <c r="K316" s="361"/>
      <c r="L316" s="361"/>
      <c r="M316" s="361"/>
      <c r="N316" s="361"/>
      <c r="O316" s="361"/>
      <c r="P316" s="361"/>
      <c r="Q316" s="361"/>
      <c r="R316" s="361"/>
      <c r="S316" s="361"/>
      <c r="T316" s="361"/>
    </row>
    <row r="317" spans="2:20" s="349" customFormat="1" ht="20.100000000000001" customHeight="1">
      <c r="B317" s="361"/>
      <c r="C317" s="361"/>
      <c r="D317" s="361"/>
      <c r="E317" s="361"/>
      <c r="F317" s="361"/>
      <c r="G317" s="361"/>
      <c r="H317" s="361"/>
      <c r="I317" s="361"/>
      <c r="J317" s="361"/>
      <c r="K317" s="361"/>
      <c r="L317" s="361"/>
      <c r="M317" s="361"/>
      <c r="N317" s="361"/>
      <c r="O317" s="361"/>
      <c r="P317" s="361"/>
      <c r="Q317" s="361"/>
      <c r="R317" s="361"/>
      <c r="S317" s="361"/>
      <c r="T317" s="361"/>
    </row>
    <row r="318" spans="2:20" s="349" customFormat="1" ht="20.100000000000001" customHeight="1">
      <c r="B318" s="361"/>
      <c r="C318" s="361"/>
      <c r="D318" s="361"/>
      <c r="E318" s="361"/>
      <c r="F318" s="361"/>
      <c r="G318" s="361"/>
      <c r="H318" s="361"/>
      <c r="I318" s="361"/>
      <c r="J318" s="361"/>
      <c r="K318" s="361"/>
      <c r="L318" s="361"/>
      <c r="M318" s="361"/>
      <c r="N318" s="361"/>
      <c r="O318" s="361"/>
      <c r="P318" s="361"/>
      <c r="Q318" s="361"/>
      <c r="R318" s="361"/>
      <c r="S318" s="361"/>
      <c r="T318" s="361"/>
    </row>
    <row r="319" spans="2:20" s="349" customFormat="1" ht="20.100000000000001" customHeight="1">
      <c r="B319" s="361"/>
      <c r="C319" s="361"/>
      <c r="D319" s="361"/>
      <c r="E319" s="361"/>
      <c r="F319" s="361"/>
      <c r="G319" s="361"/>
      <c r="H319" s="361"/>
      <c r="I319" s="361"/>
      <c r="J319" s="361"/>
      <c r="K319" s="361"/>
      <c r="L319" s="361"/>
      <c r="M319" s="361"/>
      <c r="N319" s="361"/>
      <c r="O319" s="361"/>
      <c r="P319" s="361"/>
      <c r="Q319" s="361"/>
      <c r="R319" s="361"/>
      <c r="S319" s="361"/>
      <c r="T319" s="361"/>
    </row>
    <row r="320" spans="2:20" s="349" customFormat="1" ht="20.100000000000001" customHeight="1">
      <c r="B320" s="361"/>
      <c r="C320" s="361"/>
      <c r="D320" s="361"/>
      <c r="E320" s="361"/>
      <c r="F320" s="361"/>
      <c r="G320" s="361"/>
      <c r="H320" s="361"/>
      <c r="I320" s="361"/>
      <c r="J320" s="361"/>
      <c r="K320" s="361"/>
      <c r="L320" s="361"/>
      <c r="M320" s="361"/>
      <c r="N320" s="361"/>
      <c r="O320" s="361"/>
      <c r="P320" s="361"/>
      <c r="Q320" s="361"/>
      <c r="R320" s="361"/>
      <c r="S320" s="361"/>
      <c r="T320" s="361"/>
    </row>
    <row r="321" spans="2:20" s="349" customFormat="1" ht="20.100000000000001" customHeight="1">
      <c r="B321" s="361"/>
      <c r="C321" s="361"/>
      <c r="D321" s="361"/>
      <c r="E321" s="361"/>
      <c r="F321" s="361"/>
      <c r="G321" s="361"/>
      <c r="H321" s="361"/>
      <c r="I321" s="361"/>
      <c r="J321" s="361"/>
      <c r="K321" s="361"/>
      <c r="L321" s="361"/>
      <c r="M321" s="361"/>
      <c r="N321" s="361"/>
      <c r="O321" s="361"/>
      <c r="P321" s="361"/>
      <c r="Q321" s="361"/>
      <c r="R321" s="361"/>
      <c r="S321" s="361"/>
      <c r="T321" s="361"/>
    </row>
    <row r="322" spans="2:20" s="349" customFormat="1" ht="20.100000000000001" customHeight="1">
      <c r="B322" s="361"/>
      <c r="C322" s="361"/>
      <c r="D322" s="361"/>
      <c r="E322" s="361"/>
      <c r="F322" s="361"/>
      <c r="G322" s="361"/>
      <c r="H322" s="361"/>
      <c r="I322" s="361"/>
      <c r="J322" s="361"/>
      <c r="K322" s="361"/>
      <c r="L322" s="361"/>
      <c r="M322" s="361"/>
      <c r="N322" s="361"/>
      <c r="O322" s="361"/>
      <c r="P322" s="361"/>
      <c r="Q322" s="361"/>
      <c r="R322" s="361"/>
      <c r="S322" s="361"/>
      <c r="T322" s="361"/>
    </row>
    <row r="323" spans="2:20" s="349" customFormat="1" ht="20.100000000000001" customHeight="1">
      <c r="B323" s="361"/>
      <c r="C323" s="361"/>
      <c r="D323" s="361"/>
      <c r="E323" s="361"/>
      <c r="F323" s="361"/>
      <c r="G323" s="361"/>
      <c r="H323" s="361"/>
      <c r="I323" s="361"/>
      <c r="J323" s="361"/>
      <c r="K323" s="361"/>
      <c r="L323" s="361"/>
      <c r="M323" s="361"/>
      <c r="N323" s="361"/>
      <c r="O323" s="361"/>
      <c r="P323" s="361"/>
      <c r="Q323" s="361"/>
      <c r="R323" s="361"/>
      <c r="S323" s="361"/>
      <c r="T323" s="361"/>
    </row>
    <row r="324" spans="2:20" s="349" customFormat="1" ht="20.100000000000001" customHeight="1">
      <c r="B324" s="361"/>
      <c r="C324" s="361"/>
      <c r="D324" s="361"/>
      <c r="E324" s="361"/>
      <c r="F324" s="361"/>
      <c r="G324" s="361"/>
      <c r="H324" s="361"/>
      <c r="I324" s="361"/>
      <c r="J324" s="361"/>
      <c r="K324" s="361"/>
      <c r="L324" s="361"/>
      <c r="M324" s="361"/>
      <c r="N324" s="361"/>
      <c r="O324" s="361"/>
      <c r="P324" s="361"/>
      <c r="Q324" s="361"/>
      <c r="R324" s="361"/>
      <c r="S324" s="361"/>
      <c r="T324" s="361"/>
    </row>
    <row r="325" spans="2:20" s="349" customFormat="1" ht="20.100000000000001" customHeight="1">
      <c r="B325" s="361"/>
      <c r="C325" s="361"/>
      <c r="D325" s="361"/>
      <c r="E325" s="361"/>
      <c r="F325" s="361"/>
      <c r="G325" s="361"/>
      <c r="H325" s="361"/>
      <c r="I325" s="361"/>
      <c r="J325" s="361"/>
      <c r="K325" s="361"/>
      <c r="L325" s="361"/>
      <c r="M325" s="361"/>
      <c r="N325" s="361"/>
      <c r="O325" s="361"/>
      <c r="P325" s="361"/>
      <c r="Q325" s="361"/>
      <c r="R325" s="361"/>
      <c r="S325" s="361"/>
      <c r="T325" s="361"/>
    </row>
    <row r="326" spans="2:20" s="349" customFormat="1" ht="20.100000000000001" customHeight="1">
      <c r="B326" s="361"/>
      <c r="C326" s="361"/>
      <c r="D326" s="361"/>
      <c r="E326" s="361"/>
      <c r="F326" s="361"/>
      <c r="G326" s="361"/>
      <c r="H326" s="361"/>
      <c r="I326" s="361"/>
      <c r="J326" s="361"/>
      <c r="K326" s="361"/>
      <c r="L326" s="361"/>
      <c r="M326" s="361"/>
      <c r="N326" s="361"/>
      <c r="O326" s="361"/>
      <c r="P326" s="361"/>
      <c r="Q326" s="361"/>
      <c r="R326" s="361"/>
      <c r="S326" s="361"/>
      <c r="T326" s="361"/>
    </row>
    <row r="327" spans="2:20" s="349" customFormat="1" ht="20.100000000000001" customHeight="1">
      <c r="B327" s="361"/>
      <c r="C327" s="361"/>
      <c r="D327" s="361"/>
      <c r="E327" s="361"/>
      <c r="F327" s="361"/>
      <c r="G327" s="361"/>
      <c r="H327" s="361"/>
      <c r="I327" s="361"/>
      <c r="J327" s="361"/>
      <c r="K327" s="361"/>
      <c r="L327" s="361"/>
      <c r="M327" s="361"/>
      <c r="N327" s="361"/>
      <c r="O327" s="361"/>
      <c r="P327" s="361"/>
      <c r="Q327" s="361"/>
      <c r="R327" s="361"/>
      <c r="S327" s="361"/>
      <c r="T327" s="361"/>
    </row>
    <row r="328" spans="2:20" s="349" customFormat="1" ht="20.100000000000001" customHeight="1">
      <c r="B328" s="361"/>
      <c r="C328" s="361"/>
      <c r="D328" s="361"/>
      <c r="E328" s="361"/>
      <c r="F328" s="361"/>
      <c r="G328" s="361"/>
      <c r="H328" s="361"/>
      <c r="I328" s="361"/>
      <c r="J328" s="361"/>
      <c r="K328" s="361"/>
      <c r="L328" s="361"/>
      <c r="M328" s="361"/>
      <c r="N328" s="361"/>
      <c r="O328" s="361"/>
      <c r="P328" s="361"/>
      <c r="Q328" s="361"/>
      <c r="R328" s="361"/>
      <c r="S328" s="361"/>
      <c r="T328" s="361"/>
    </row>
    <row r="329" spans="2:20" s="349" customFormat="1" ht="20.100000000000001" customHeight="1">
      <c r="B329" s="361"/>
      <c r="C329" s="361"/>
      <c r="D329" s="361"/>
      <c r="E329" s="361"/>
      <c r="F329" s="361"/>
      <c r="G329" s="361"/>
      <c r="H329" s="361"/>
      <c r="I329" s="361"/>
      <c r="J329" s="361"/>
      <c r="K329" s="361"/>
      <c r="L329" s="361"/>
      <c r="M329" s="361"/>
      <c r="N329" s="361"/>
      <c r="O329" s="361"/>
      <c r="P329" s="361"/>
      <c r="Q329" s="361"/>
      <c r="R329" s="361"/>
      <c r="S329" s="361"/>
      <c r="T329" s="361"/>
    </row>
    <row r="330" spans="2:20" s="349" customFormat="1" ht="20.100000000000001" customHeight="1">
      <c r="B330" s="361"/>
      <c r="C330" s="361"/>
      <c r="D330" s="361"/>
      <c r="E330" s="361"/>
      <c r="F330" s="361"/>
      <c r="G330" s="361"/>
      <c r="H330" s="361"/>
      <c r="I330" s="361"/>
      <c r="J330" s="361"/>
      <c r="K330" s="361"/>
      <c r="L330" s="361"/>
      <c r="M330" s="361"/>
      <c r="N330" s="361"/>
      <c r="O330" s="361"/>
      <c r="P330" s="361"/>
      <c r="Q330" s="361"/>
      <c r="R330" s="361"/>
      <c r="S330" s="361"/>
      <c r="T330" s="361"/>
    </row>
    <row r="331" spans="2:20" s="349" customFormat="1" ht="20.100000000000001" customHeight="1">
      <c r="B331" s="361"/>
      <c r="C331" s="361"/>
      <c r="D331" s="361"/>
      <c r="E331" s="361"/>
      <c r="F331" s="361"/>
      <c r="G331" s="361"/>
      <c r="H331" s="361"/>
      <c r="I331" s="361"/>
      <c r="J331" s="361"/>
      <c r="K331" s="361"/>
      <c r="L331" s="361"/>
      <c r="M331" s="361"/>
      <c r="N331" s="361"/>
      <c r="O331" s="361"/>
      <c r="P331" s="361"/>
      <c r="Q331" s="361"/>
      <c r="R331" s="361"/>
      <c r="S331" s="361"/>
      <c r="T331" s="361"/>
    </row>
    <row r="332" spans="2:20" s="349" customFormat="1" ht="20.100000000000001" customHeight="1">
      <c r="B332" s="361"/>
      <c r="C332" s="361"/>
      <c r="D332" s="361"/>
      <c r="E332" s="361"/>
      <c r="F332" s="361"/>
      <c r="G332" s="361"/>
      <c r="H332" s="361"/>
      <c r="I332" s="361"/>
      <c r="J332" s="361"/>
      <c r="K332" s="361"/>
      <c r="L332" s="361"/>
      <c r="M332" s="361"/>
      <c r="N332" s="361"/>
      <c r="O332" s="361"/>
      <c r="P332" s="361"/>
      <c r="Q332" s="361"/>
      <c r="R332" s="361"/>
      <c r="S332" s="361"/>
      <c r="T332" s="361"/>
    </row>
    <row r="333" spans="2:20" s="349" customFormat="1" ht="20.100000000000001" customHeight="1">
      <c r="B333" s="361"/>
      <c r="C333" s="361"/>
      <c r="D333" s="361"/>
      <c r="E333" s="361"/>
      <c r="F333" s="361"/>
      <c r="G333" s="361"/>
      <c r="H333" s="361"/>
      <c r="I333" s="361"/>
      <c r="J333" s="361"/>
      <c r="K333" s="361"/>
      <c r="L333" s="361"/>
      <c r="M333" s="361"/>
      <c r="N333" s="361"/>
      <c r="O333" s="361"/>
      <c r="P333" s="361"/>
      <c r="Q333" s="361"/>
      <c r="R333" s="361"/>
      <c r="S333" s="361"/>
      <c r="T333" s="361"/>
    </row>
    <row r="334" spans="2:20" s="349" customFormat="1" ht="20.100000000000001" customHeight="1">
      <c r="B334" s="361"/>
      <c r="C334" s="361"/>
      <c r="D334" s="361"/>
      <c r="E334" s="361"/>
      <c r="F334" s="361"/>
      <c r="G334" s="361"/>
      <c r="H334" s="361"/>
      <c r="I334" s="361"/>
      <c r="J334" s="361"/>
      <c r="K334" s="361"/>
      <c r="L334" s="361"/>
      <c r="M334" s="361"/>
      <c r="N334" s="361"/>
      <c r="O334" s="361"/>
      <c r="P334" s="361"/>
      <c r="Q334" s="361"/>
      <c r="R334" s="361"/>
      <c r="S334" s="361"/>
      <c r="T334" s="361"/>
    </row>
    <row r="335" spans="2:20" s="349" customFormat="1" ht="20.100000000000001" customHeight="1">
      <c r="B335" s="361"/>
      <c r="C335" s="361"/>
      <c r="D335" s="361"/>
      <c r="E335" s="361"/>
      <c r="F335" s="361"/>
      <c r="G335" s="361"/>
      <c r="H335" s="361"/>
      <c r="I335" s="361"/>
      <c r="J335" s="361"/>
      <c r="K335" s="361"/>
      <c r="L335" s="361"/>
      <c r="M335" s="361"/>
      <c r="N335" s="361"/>
      <c r="O335" s="361"/>
      <c r="P335" s="361"/>
      <c r="Q335" s="361"/>
      <c r="R335" s="361"/>
      <c r="S335" s="361"/>
      <c r="T335" s="361"/>
    </row>
    <row r="336" spans="2:20" s="349" customFormat="1" ht="20.100000000000001" customHeight="1">
      <c r="B336" s="361"/>
      <c r="C336" s="361"/>
      <c r="D336" s="361"/>
      <c r="E336" s="361"/>
      <c r="F336" s="361"/>
      <c r="G336" s="361"/>
      <c r="H336" s="361"/>
      <c r="I336" s="361"/>
      <c r="J336" s="361"/>
      <c r="K336" s="361"/>
      <c r="L336" s="361"/>
      <c r="M336" s="361"/>
      <c r="N336" s="361"/>
      <c r="O336" s="361"/>
      <c r="P336" s="361"/>
      <c r="Q336" s="361"/>
      <c r="R336" s="361"/>
      <c r="S336" s="361"/>
      <c r="T336" s="361"/>
    </row>
    <row r="337" spans="2:20" s="349" customFormat="1" ht="20.100000000000001" customHeight="1">
      <c r="B337" s="361"/>
      <c r="C337" s="361"/>
      <c r="D337" s="361"/>
      <c r="E337" s="361"/>
      <c r="F337" s="361"/>
      <c r="G337" s="361"/>
      <c r="H337" s="361"/>
      <c r="I337" s="361"/>
      <c r="J337" s="361"/>
      <c r="K337" s="361"/>
      <c r="L337" s="361"/>
      <c r="M337" s="361"/>
      <c r="N337" s="361"/>
      <c r="O337" s="361"/>
      <c r="P337" s="361"/>
      <c r="Q337" s="361"/>
      <c r="R337" s="361"/>
      <c r="S337" s="361"/>
      <c r="T337" s="361"/>
    </row>
    <row r="338" spans="2:20" s="349" customFormat="1" ht="20.100000000000001" customHeight="1">
      <c r="B338" s="361"/>
      <c r="C338" s="361"/>
      <c r="D338" s="361"/>
      <c r="E338" s="361"/>
      <c r="F338" s="361"/>
      <c r="G338" s="361"/>
      <c r="H338" s="361"/>
      <c r="I338" s="361"/>
      <c r="J338" s="361"/>
      <c r="K338" s="361"/>
      <c r="L338" s="361"/>
      <c r="M338" s="361"/>
      <c r="N338" s="361"/>
      <c r="O338" s="361"/>
      <c r="P338" s="361"/>
      <c r="Q338" s="361"/>
      <c r="R338" s="361"/>
      <c r="S338" s="361"/>
      <c r="T338" s="361"/>
    </row>
    <row r="339" spans="2:20" s="349" customFormat="1" ht="20.100000000000001" customHeight="1">
      <c r="B339" s="361"/>
      <c r="C339" s="361"/>
      <c r="D339" s="361"/>
      <c r="E339" s="361"/>
      <c r="F339" s="361"/>
      <c r="G339" s="361"/>
      <c r="H339" s="361"/>
      <c r="I339" s="361"/>
      <c r="J339" s="361"/>
      <c r="K339" s="361"/>
      <c r="L339" s="361"/>
      <c r="M339" s="361"/>
      <c r="N339" s="361"/>
      <c r="O339" s="361"/>
      <c r="P339" s="361"/>
      <c r="Q339" s="361"/>
      <c r="R339" s="361"/>
      <c r="S339" s="361"/>
      <c r="T339" s="361"/>
    </row>
    <row r="340" spans="2:20" s="349" customFormat="1" ht="20.100000000000001" customHeight="1">
      <c r="B340" s="361"/>
      <c r="C340" s="361"/>
      <c r="D340" s="361"/>
      <c r="E340" s="361"/>
      <c r="F340" s="361"/>
      <c r="G340" s="361"/>
      <c r="H340" s="361"/>
      <c r="I340" s="361"/>
      <c r="J340" s="361"/>
      <c r="K340" s="361"/>
      <c r="L340" s="361"/>
      <c r="M340" s="361"/>
      <c r="N340" s="361"/>
      <c r="O340" s="361"/>
      <c r="P340" s="361"/>
      <c r="Q340" s="361"/>
      <c r="R340" s="361"/>
      <c r="S340" s="361"/>
      <c r="T340" s="361"/>
    </row>
    <row r="341" spans="2:20" s="349" customFormat="1" ht="20.100000000000001" customHeight="1">
      <c r="B341" s="361"/>
      <c r="C341" s="361"/>
      <c r="D341" s="361"/>
      <c r="E341" s="361"/>
      <c r="F341" s="361"/>
      <c r="G341" s="361"/>
      <c r="H341" s="361"/>
      <c r="I341" s="361"/>
      <c r="J341" s="361"/>
      <c r="K341" s="361"/>
      <c r="L341" s="361"/>
      <c r="M341" s="361"/>
      <c r="N341" s="361"/>
      <c r="O341" s="361"/>
      <c r="P341" s="361"/>
      <c r="Q341" s="361"/>
      <c r="R341" s="361"/>
      <c r="S341" s="361"/>
      <c r="T341" s="361"/>
    </row>
    <row r="342" spans="2:20" s="349" customFormat="1" ht="20.100000000000001" customHeight="1">
      <c r="B342" s="361"/>
      <c r="C342" s="361"/>
      <c r="D342" s="361"/>
      <c r="E342" s="361"/>
      <c r="F342" s="361"/>
      <c r="G342" s="361"/>
      <c r="H342" s="361"/>
      <c r="I342" s="361"/>
      <c r="J342" s="361"/>
      <c r="K342" s="361"/>
      <c r="L342" s="361"/>
      <c r="M342" s="361"/>
      <c r="N342" s="361"/>
      <c r="O342" s="361"/>
      <c r="P342" s="361"/>
      <c r="Q342" s="361"/>
      <c r="R342" s="361"/>
      <c r="S342" s="361"/>
      <c r="T342" s="361"/>
    </row>
    <row r="343" spans="2:20" s="349" customFormat="1" ht="20.100000000000001" customHeight="1">
      <c r="B343" s="361"/>
      <c r="C343" s="361"/>
      <c r="D343" s="361"/>
      <c r="E343" s="361"/>
      <c r="F343" s="361"/>
      <c r="G343" s="361"/>
      <c r="H343" s="361"/>
      <c r="I343" s="361"/>
      <c r="J343" s="361"/>
      <c r="K343" s="361"/>
      <c r="L343" s="361"/>
      <c r="M343" s="361"/>
      <c r="N343" s="361"/>
      <c r="O343" s="361"/>
      <c r="P343" s="361"/>
      <c r="Q343" s="361"/>
      <c r="R343" s="361"/>
      <c r="S343" s="361"/>
      <c r="T343" s="361"/>
    </row>
    <row r="344" spans="2:20" s="349" customFormat="1" ht="20.100000000000001" customHeight="1">
      <c r="B344" s="361"/>
      <c r="C344" s="361"/>
      <c r="D344" s="361"/>
      <c r="E344" s="361"/>
      <c r="F344" s="361"/>
      <c r="G344" s="361"/>
      <c r="H344" s="361"/>
      <c r="I344" s="361"/>
      <c r="J344" s="361"/>
      <c r="K344" s="361"/>
      <c r="L344" s="361"/>
      <c r="M344" s="361"/>
      <c r="N344" s="361"/>
      <c r="O344" s="361"/>
      <c r="P344" s="361"/>
      <c r="Q344" s="361"/>
      <c r="R344" s="361"/>
      <c r="S344" s="361"/>
      <c r="T344" s="361"/>
    </row>
    <row r="345" spans="2:20" s="349" customFormat="1" ht="20.100000000000001" customHeight="1">
      <c r="B345" s="361"/>
      <c r="C345" s="361"/>
      <c r="D345" s="361"/>
      <c r="E345" s="361"/>
      <c r="F345" s="361"/>
      <c r="G345" s="361"/>
      <c r="H345" s="361"/>
      <c r="I345" s="361"/>
      <c r="J345" s="361"/>
      <c r="K345" s="361"/>
      <c r="L345" s="361"/>
      <c r="M345" s="361"/>
      <c r="N345" s="361"/>
      <c r="O345" s="361"/>
      <c r="P345" s="361"/>
      <c r="Q345" s="361"/>
      <c r="R345" s="361"/>
      <c r="S345" s="361"/>
      <c r="T345" s="361"/>
    </row>
    <row r="346" spans="2:20" s="349" customFormat="1" ht="20.100000000000001" customHeight="1">
      <c r="B346" s="361"/>
      <c r="C346" s="361"/>
      <c r="D346" s="361"/>
      <c r="E346" s="361"/>
      <c r="F346" s="361"/>
      <c r="G346" s="361"/>
      <c r="H346" s="361"/>
      <c r="I346" s="361"/>
      <c r="J346" s="361"/>
      <c r="K346" s="361"/>
      <c r="L346" s="361"/>
      <c r="M346" s="361"/>
      <c r="N346" s="361"/>
      <c r="O346" s="361"/>
      <c r="P346" s="361"/>
      <c r="Q346" s="361"/>
      <c r="R346" s="361"/>
      <c r="S346" s="361"/>
      <c r="T346" s="361"/>
    </row>
    <row r="347" spans="2:20" s="349" customFormat="1" ht="20.100000000000001" customHeight="1">
      <c r="B347" s="361"/>
      <c r="C347" s="361"/>
      <c r="D347" s="361"/>
      <c r="E347" s="361"/>
      <c r="F347" s="361"/>
      <c r="G347" s="361"/>
      <c r="H347" s="361"/>
      <c r="I347" s="361"/>
      <c r="J347" s="361"/>
      <c r="K347" s="361"/>
      <c r="L347" s="361"/>
      <c r="M347" s="361"/>
      <c r="N347" s="361"/>
      <c r="O347" s="361"/>
      <c r="P347" s="361"/>
      <c r="Q347" s="361"/>
      <c r="R347" s="361"/>
      <c r="S347" s="361"/>
      <c r="T347" s="361"/>
    </row>
    <row r="348" spans="2:20" s="349" customFormat="1" ht="20.100000000000001" customHeight="1">
      <c r="B348" s="361"/>
      <c r="C348" s="361"/>
      <c r="D348" s="361"/>
      <c r="E348" s="361"/>
      <c r="F348" s="361"/>
      <c r="G348" s="361"/>
      <c r="H348" s="361"/>
      <c r="I348" s="361"/>
      <c r="J348" s="361"/>
      <c r="K348" s="361"/>
      <c r="L348" s="361"/>
      <c r="M348" s="361"/>
      <c r="N348" s="361"/>
      <c r="O348" s="361"/>
      <c r="P348" s="361"/>
      <c r="Q348" s="361"/>
      <c r="R348" s="361"/>
      <c r="S348" s="361"/>
      <c r="T348" s="361"/>
    </row>
    <row r="349" spans="2:20" s="349" customFormat="1" ht="20.100000000000001" customHeight="1">
      <c r="B349" s="361"/>
      <c r="C349" s="361"/>
      <c r="D349" s="361"/>
      <c r="E349" s="361"/>
      <c r="F349" s="361"/>
      <c r="G349" s="361"/>
      <c r="H349" s="361"/>
      <c r="I349" s="361"/>
      <c r="J349" s="361"/>
      <c r="K349" s="361"/>
      <c r="L349" s="361"/>
      <c r="M349" s="361"/>
      <c r="N349" s="361"/>
      <c r="O349" s="361"/>
      <c r="P349" s="361"/>
      <c r="Q349" s="361"/>
      <c r="R349" s="361"/>
      <c r="S349" s="361"/>
      <c r="T349" s="361"/>
    </row>
    <row r="350" spans="2:20" s="349" customFormat="1" ht="20.100000000000001" customHeight="1">
      <c r="B350" s="361"/>
      <c r="C350" s="361"/>
      <c r="D350" s="361"/>
      <c r="E350" s="361"/>
      <c r="F350" s="361"/>
      <c r="G350" s="361"/>
      <c r="H350" s="361"/>
      <c r="I350" s="361"/>
      <c r="J350" s="361"/>
      <c r="K350" s="361"/>
      <c r="L350" s="361"/>
      <c r="M350" s="361"/>
      <c r="N350" s="361"/>
      <c r="O350" s="361"/>
      <c r="P350" s="361"/>
      <c r="Q350" s="361"/>
      <c r="R350" s="361"/>
      <c r="S350" s="361"/>
      <c r="T350" s="361"/>
    </row>
    <row r="351" spans="2:20" s="349" customFormat="1" ht="20.100000000000001" customHeight="1">
      <c r="B351" s="361"/>
      <c r="C351" s="361"/>
      <c r="D351" s="361"/>
      <c r="E351" s="361"/>
      <c r="F351" s="361"/>
      <c r="G351" s="361"/>
      <c r="H351" s="361"/>
      <c r="I351" s="361"/>
      <c r="J351" s="361"/>
      <c r="K351" s="361"/>
      <c r="L351" s="361"/>
      <c r="M351" s="361"/>
      <c r="N351" s="361"/>
      <c r="O351" s="361"/>
      <c r="P351" s="361"/>
      <c r="Q351" s="361"/>
      <c r="R351" s="361"/>
      <c r="S351" s="361"/>
      <c r="T351" s="361"/>
    </row>
    <row r="352" spans="2:20" ht="20.100000000000001" customHeight="1"/>
    <row r="353" spans="2:20" ht="9.9499999999999993" customHeight="1"/>
    <row r="354" spans="2:20" ht="20.100000000000001" customHeight="1"/>
    <row r="355" spans="2:20" ht="20.100000000000001" customHeight="1"/>
    <row r="356" spans="2:20" ht="20.100000000000001" customHeight="1"/>
    <row r="357" spans="2:20" s="349" customFormat="1" ht="20.100000000000001" customHeight="1">
      <c r="B357" s="361"/>
      <c r="C357" s="361"/>
      <c r="D357" s="361"/>
      <c r="E357" s="361"/>
      <c r="F357" s="361"/>
      <c r="G357" s="361"/>
      <c r="H357" s="361"/>
      <c r="I357" s="361"/>
      <c r="J357" s="361"/>
      <c r="K357" s="361"/>
      <c r="L357" s="361"/>
      <c r="M357" s="361"/>
      <c r="N357" s="361"/>
      <c r="O357" s="361"/>
      <c r="P357" s="361"/>
      <c r="Q357" s="361"/>
      <c r="R357" s="361"/>
      <c r="S357" s="361"/>
      <c r="T357" s="361"/>
    </row>
    <row r="358" spans="2:20" s="349" customFormat="1" ht="20.100000000000001" customHeight="1">
      <c r="B358" s="361"/>
      <c r="C358" s="361"/>
      <c r="D358" s="361"/>
      <c r="E358" s="361"/>
      <c r="F358" s="361"/>
      <c r="G358" s="361"/>
      <c r="H358" s="361"/>
      <c r="I358" s="361"/>
      <c r="J358" s="361"/>
      <c r="K358" s="361"/>
      <c r="L358" s="361"/>
      <c r="M358" s="361"/>
      <c r="N358" s="361"/>
      <c r="O358" s="361"/>
      <c r="P358" s="361"/>
      <c r="Q358" s="361"/>
      <c r="R358" s="361"/>
      <c r="S358" s="361"/>
      <c r="T358" s="361"/>
    </row>
    <row r="359" spans="2:20" s="349" customFormat="1" ht="20.100000000000001" customHeight="1">
      <c r="B359" s="361"/>
      <c r="C359" s="361"/>
      <c r="D359" s="361"/>
      <c r="E359" s="361"/>
      <c r="F359" s="361"/>
      <c r="G359" s="361"/>
      <c r="H359" s="361"/>
      <c r="I359" s="361"/>
      <c r="J359" s="361"/>
      <c r="K359" s="361"/>
      <c r="L359" s="361"/>
      <c r="M359" s="361"/>
      <c r="N359" s="361"/>
      <c r="O359" s="361"/>
      <c r="P359" s="361"/>
      <c r="Q359" s="361"/>
      <c r="R359" s="361"/>
      <c r="S359" s="361"/>
      <c r="T359" s="361"/>
    </row>
    <row r="360" spans="2:20" s="349" customFormat="1" ht="20.100000000000001" customHeight="1">
      <c r="B360" s="361"/>
      <c r="C360" s="361"/>
      <c r="D360" s="361"/>
      <c r="E360" s="361"/>
      <c r="F360" s="361"/>
      <c r="G360" s="361"/>
      <c r="H360" s="361"/>
      <c r="I360" s="361"/>
      <c r="J360" s="361"/>
      <c r="K360" s="361"/>
      <c r="L360" s="361"/>
      <c r="M360" s="361"/>
      <c r="N360" s="361"/>
      <c r="O360" s="361"/>
      <c r="P360" s="361"/>
      <c r="Q360" s="361"/>
      <c r="R360" s="361"/>
      <c r="S360" s="361"/>
      <c r="T360" s="361"/>
    </row>
    <row r="361" spans="2:20" s="349" customFormat="1" ht="20.100000000000001" customHeight="1">
      <c r="B361" s="361"/>
      <c r="C361" s="361"/>
      <c r="D361" s="361"/>
      <c r="E361" s="361"/>
      <c r="F361" s="361"/>
      <c r="G361" s="361"/>
      <c r="H361" s="361"/>
      <c r="I361" s="361"/>
      <c r="J361" s="361"/>
      <c r="K361" s="361"/>
      <c r="L361" s="361"/>
      <c r="M361" s="361"/>
      <c r="N361" s="361"/>
      <c r="O361" s="361"/>
      <c r="P361" s="361"/>
      <c r="Q361" s="361"/>
      <c r="R361" s="361"/>
      <c r="S361" s="361"/>
      <c r="T361" s="361"/>
    </row>
    <row r="362" spans="2:20" s="349" customFormat="1" ht="20.100000000000001" customHeight="1">
      <c r="B362" s="361"/>
      <c r="C362" s="361"/>
      <c r="D362" s="361"/>
      <c r="E362" s="361"/>
      <c r="F362" s="361"/>
      <c r="G362" s="361"/>
      <c r="H362" s="361"/>
      <c r="I362" s="361"/>
      <c r="J362" s="361"/>
      <c r="K362" s="361"/>
      <c r="L362" s="361"/>
      <c r="M362" s="361"/>
      <c r="N362" s="361"/>
      <c r="O362" s="361"/>
      <c r="P362" s="361"/>
      <c r="Q362" s="361"/>
      <c r="R362" s="361"/>
      <c r="S362" s="361"/>
      <c r="T362" s="361"/>
    </row>
    <row r="363" spans="2:20" s="349" customFormat="1" ht="20.100000000000001" customHeight="1">
      <c r="B363" s="361"/>
      <c r="C363" s="361"/>
      <c r="D363" s="361"/>
      <c r="E363" s="361"/>
      <c r="F363" s="361"/>
      <c r="G363" s="361"/>
      <c r="H363" s="361"/>
      <c r="I363" s="361"/>
      <c r="J363" s="361"/>
      <c r="K363" s="361"/>
      <c r="L363" s="361"/>
      <c r="M363" s="361"/>
      <c r="N363" s="361"/>
      <c r="O363" s="361"/>
      <c r="P363" s="361"/>
      <c r="Q363" s="361"/>
      <c r="R363" s="361"/>
      <c r="S363" s="361"/>
      <c r="T363" s="361"/>
    </row>
    <row r="364" spans="2:20" s="349" customFormat="1" ht="20.100000000000001" customHeight="1">
      <c r="B364" s="361"/>
      <c r="C364" s="361"/>
      <c r="D364" s="361"/>
      <c r="E364" s="361"/>
      <c r="F364" s="361"/>
      <c r="G364" s="361"/>
      <c r="H364" s="361"/>
      <c r="I364" s="361"/>
      <c r="J364" s="361"/>
      <c r="K364" s="361"/>
      <c r="L364" s="361"/>
      <c r="M364" s="361"/>
      <c r="N364" s="361"/>
      <c r="O364" s="361"/>
      <c r="P364" s="361"/>
      <c r="Q364" s="361"/>
      <c r="R364" s="361"/>
      <c r="S364" s="361"/>
      <c r="T364" s="361"/>
    </row>
    <row r="365" spans="2:20" s="349" customFormat="1" ht="20.100000000000001" customHeight="1">
      <c r="B365" s="361"/>
      <c r="C365" s="361"/>
      <c r="D365" s="361"/>
      <c r="E365" s="361"/>
      <c r="F365" s="361"/>
      <c r="G365" s="361"/>
      <c r="H365" s="361"/>
      <c r="I365" s="361"/>
      <c r="J365" s="361"/>
      <c r="K365" s="361"/>
      <c r="L365" s="361"/>
      <c r="M365" s="361"/>
      <c r="N365" s="361"/>
      <c r="O365" s="361"/>
      <c r="P365" s="361"/>
      <c r="Q365" s="361"/>
      <c r="R365" s="361"/>
      <c r="S365" s="361"/>
      <c r="T365" s="361"/>
    </row>
    <row r="366" spans="2:20" s="349" customFormat="1" ht="20.100000000000001" customHeight="1">
      <c r="B366" s="361"/>
      <c r="C366" s="361"/>
      <c r="D366" s="361"/>
      <c r="E366" s="361"/>
      <c r="F366" s="361"/>
      <c r="G366" s="361"/>
      <c r="H366" s="361"/>
      <c r="I366" s="361"/>
      <c r="J366" s="361"/>
      <c r="K366" s="361"/>
      <c r="L366" s="361"/>
      <c r="M366" s="361"/>
      <c r="N366" s="361"/>
      <c r="O366" s="361"/>
      <c r="P366" s="361"/>
      <c r="Q366" s="361"/>
      <c r="R366" s="361"/>
      <c r="S366" s="361"/>
      <c r="T366" s="361"/>
    </row>
    <row r="367" spans="2:20" s="349" customFormat="1" ht="20.100000000000001" customHeight="1">
      <c r="B367" s="361"/>
      <c r="C367" s="361"/>
      <c r="D367" s="361"/>
      <c r="E367" s="361"/>
      <c r="F367" s="361"/>
      <c r="G367" s="361"/>
      <c r="H367" s="361"/>
      <c r="I367" s="361"/>
      <c r="J367" s="361"/>
      <c r="K367" s="361"/>
      <c r="L367" s="361"/>
      <c r="M367" s="361"/>
      <c r="N367" s="361"/>
      <c r="O367" s="361"/>
      <c r="P367" s="361"/>
      <c r="Q367" s="361"/>
      <c r="R367" s="361"/>
      <c r="S367" s="361"/>
      <c r="T367" s="361"/>
    </row>
    <row r="368" spans="2:20" s="349" customFormat="1" ht="20.100000000000001" customHeight="1">
      <c r="B368" s="361"/>
      <c r="C368" s="361"/>
      <c r="D368" s="361"/>
      <c r="E368" s="361"/>
      <c r="F368" s="361"/>
      <c r="G368" s="361"/>
      <c r="H368" s="361"/>
      <c r="I368" s="361"/>
      <c r="J368" s="361"/>
      <c r="K368" s="361"/>
      <c r="L368" s="361"/>
      <c r="M368" s="361"/>
      <c r="N368" s="361"/>
      <c r="O368" s="361"/>
      <c r="P368" s="361"/>
      <c r="Q368" s="361"/>
      <c r="R368" s="361"/>
      <c r="S368" s="361"/>
      <c r="T368" s="361"/>
    </row>
    <row r="369" spans="2:20" s="349" customFormat="1" ht="20.100000000000001" customHeight="1">
      <c r="B369" s="361"/>
      <c r="C369" s="361"/>
      <c r="D369" s="361"/>
      <c r="E369" s="361"/>
      <c r="F369" s="361"/>
      <c r="G369" s="361"/>
      <c r="H369" s="361"/>
      <c r="I369" s="361"/>
      <c r="J369" s="361"/>
      <c r="K369" s="361"/>
      <c r="L369" s="361"/>
      <c r="M369" s="361"/>
      <c r="N369" s="361"/>
      <c r="O369" s="361"/>
      <c r="P369" s="361"/>
      <c r="Q369" s="361"/>
      <c r="R369" s="361"/>
      <c r="S369" s="361"/>
      <c r="T369" s="361"/>
    </row>
    <row r="370" spans="2:20" s="349" customFormat="1" ht="20.100000000000001" customHeight="1">
      <c r="B370" s="361"/>
      <c r="C370" s="361"/>
      <c r="D370" s="361"/>
      <c r="E370" s="361"/>
      <c r="F370" s="361"/>
      <c r="G370" s="361"/>
      <c r="H370" s="361"/>
      <c r="I370" s="361"/>
      <c r="J370" s="361"/>
      <c r="K370" s="361"/>
      <c r="L370" s="361"/>
      <c r="M370" s="361"/>
      <c r="N370" s="361"/>
      <c r="O370" s="361"/>
      <c r="P370" s="361"/>
      <c r="Q370" s="361"/>
      <c r="R370" s="361"/>
      <c r="S370" s="361"/>
      <c r="T370" s="361"/>
    </row>
    <row r="371" spans="2:20" s="349" customFormat="1" ht="20.100000000000001" customHeight="1">
      <c r="B371" s="361"/>
      <c r="C371" s="361"/>
      <c r="D371" s="361"/>
      <c r="E371" s="361"/>
      <c r="F371" s="361"/>
      <c r="G371" s="361"/>
      <c r="H371" s="361"/>
      <c r="I371" s="361"/>
      <c r="J371" s="361"/>
      <c r="K371" s="361"/>
      <c r="L371" s="361"/>
      <c r="M371" s="361"/>
      <c r="N371" s="361"/>
      <c r="O371" s="361"/>
      <c r="P371" s="361"/>
      <c r="Q371" s="361"/>
      <c r="R371" s="361"/>
      <c r="S371" s="361"/>
      <c r="T371" s="361"/>
    </row>
    <row r="372" spans="2:20" s="349" customFormat="1" ht="20.100000000000001" customHeight="1">
      <c r="B372" s="361"/>
      <c r="C372" s="361"/>
      <c r="D372" s="361"/>
      <c r="E372" s="361"/>
      <c r="F372" s="361"/>
      <c r="G372" s="361"/>
      <c r="H372" s="361"/>
      <c r="I372" s="361"/>
      <c r="J372" s="361"/>
      <c r="K372" s="361"/>
      <c r="L372" s="361"/>
      <c r="M372" s="361"/>
      <c r="N372" s="361"/>
      <c r="O372" s="361"/>
      <c r="P372" s="361"/>
      <c r="Q372" s="361"/>
      <c r="R372" s="361"/>
      <c r="S372" s="361"/>
      <c r="T372" s="361"/>
    </row>
    <row r="373" spans="2:20" s="349" customFormat="1" ht="20.100000000000001" customHeight="1">
      <c r="B373" s="361"/>
      <c r="C373" s="361"/>
      <c r="D373" s="361"/>
      <c r="E373" s="361"/>
      <c r="F373" s="361"/>
      <c r="G373" s="361"/>
      <c r="H373" s="361"/>
      <c r="I373" s="361"/>
      <c r="J373" s="361"/>
      <c r="K373" s="361"/>
      <c r="L373" s="361"/>
      <c r="M373" s="361"/>
      <c r="N373" s="361"/>
      <c r="O373" s="361"/>
      <c r="P373" s="361"/>
      <c r="Q373" s="361"/>
      <c r="R373" s="361"/>
      <c r="S373" s="361"/>
      <c r="T373" s="361"/>
    </row>
    <row r="374" spans="2:20" s="349" customFormat="1" ht="20.100000000000001" customHeight="1">
      <c r="B374" s="361"/>
      <c r="C374" s="361"/>
      <c r="D374" s="361"/>
      <c r="E374" s="361"/>
      <c r="F374" s="361"/>
      <c r="G374" s="361"/>
      <c r="H374" s="361"/>
      <c r="I374" s="361"/>
      <c r="J374" s="361"/>
      <c r="K374" s="361"/>
      <c r="L374" s="361"/>
      <c r="M374" s="361"/>
      <c r="N374" s="361"/>
      <c r="O374" s="361"/>
      <c r="P374" s="361"/>
      <c r="Q374" s="361"/>
      <c r="R374" s="361"/>
      <c r="S374" s="361"/>
      <c r="T374" s="361"/>
    </row>
    <row r="375" spans="2:20" s="349" customFormat="1" ht="20.100000000000001" customHeight="1">
      <c r="B375" s="361"/>
      <c r="C375" s="361"/>
      <c r="D375" s="361"/>
      <c r="E375" s="361"/>
      <c r="F375" s="361"/>
      <c r="G375" s="361"/>
      <c r="H375" s="361"/>
      <c r="I375" s="361"/>
      <c r="J375" s="361"/>
      <c r="K375" s="361"/>
      <c r="L375" s="361"/>
      <c r="M375" s="361"/>
      <c r="N375" s="361"/>
      <c r="O375" s="361"/>
      <c r="P375" s="361"/>
      <c r="Q375" s="361"/>
      <c r="R375" s="361"/>
      <c r="S375" s="361"/>
      <c r="T375" s="361"/>
    </row>
    <row r="376" spans="2:20" s="349" customFormat="1" ht="20.100000000000001" customHeight="1">
      <c r="B376" s="361"/>
      <c r="C376" s="361"/>
      <c r="D376" s="361"/>
      <c r="E376" s="361"/>
      <c r="F376" s="361"/>
      <c r="G376" s="361"/>
      <c r="H376" s="361"/>
      <c r="I376" s="361"/>
      <c r="J376" s="361"/>
      <c r="K376" s="361"/>
      <c r="L376" s="361"/>
      <c r="M376" s="361"/>
      <c r="N376" s="361"/>
      <c r="O376" s="361"/>
      <c r="P376" s="361"/>
      <c r="Q376" s="361"/>
      <c r="R376" s="361"/>
      <c r="S376" s="361"/>
      <c r="T376" s="361"/>
    </row>
    <row r="377" spans="2:20" s="349" customFormat="1" ht="20.100000000000001" customHeight="1">
      <c r="B377" s="361"/>
      <c r="C377" s="361"/>
      <c r="D377" s="361"/>
      <c r="E377" s="361"/>
      <c r="F377" s="361"/>
      <c r="G377" s="361"/>
      <c r="H377" s="361"/>
      <c r="I377" s="361"/>
      <c r="J377" s="361"/>
      <c r="K377" s="361"/>
      <c r="L377" s="361"/>
      <c r="M377" s="361"/>
      <c r="N377" s="361"/>
      <c r="O377" s="361"/>
      <c r="P377" s="361"/>
      <c r="Q377" s="361"/>
      <c r="R377" s="361"/>
      <c r="S377" s="361"/>
      <c r="T377" s="361"/>
    </row>
    <row r="378" spans="2:20" s="349" customFormat="1" ht="20.100000000000001" customHeight="1">
      <c r="B378" s="361"/>
      <c r="C378" s="361"/>
      <c r="D378" s="361"/>
      <c r="E378" s="361"/>
      <c r="F378" s="361"/>
      <c r="G378" s="361"/>
      <c r="H378" s="361"/>
      <c r="I378" s="361"/>
      <c r="J378" s="361"/>
      <c r="K378" s="361"/>
      <c r="L378" s="361"/>
      <c r="M378" s="361"/>
      <c r="N378" s="361"/>
      <c r="O378" s="361"/>
      <c r="P378" s="361"/>
      <c r="Q378" s="361"/>
      <c r="R378" s="361"/>
      <c r="S378" s="361"/>
      <c r="T378" s="361"/>
    </row>
    <row r="379" spans="2:20" s="349" customFormat="1" ht="20.100000000000001" customHeight="1">
      <c r="B379" s="361"/>
      <c r="C379" s="361"/>
      <c r="D379" s="361"/>
      <c r="E379" s="361"/>
      <c r="F379" s="361"/>
      <c r="G379" s="361"/>
      <c r="H379" s="361"/>
      <c r="I379" s="361"/>
      <c r="J379" s="361"/>
      <c r="K379" s="361"/>
      <c r="L379" s="361"/>
      <c r="M379" s="361"/>
      <c r="N379" s="361"/>
      <c r="O379" s="361"/>
      <c r="P379" s="361"/>
      <c r="Q379" s="361"/>
      <c r="R379" s="361"/>
      <c r="S379" s="361"/>
      <c r="T379" s="361"/>
    </row>
    <row r="380" spans="2:20" s="349" customFormat="1" ht="20.100000000000001" customHeight="1">
      <c r="B380" s="361"/>
      <c r="C380" s="361"/>
      <c r="D380" s="361"/>
      <c r="E380" s="361"/>
      <c r="F380" s="361"/>
      <c r="G380" s="361"/>
      <c r="H380" s="361"/>
      <c r="I380" s="361"/>
      <c r="J380" s="361"/>
      <c r="K380" s="361"/>
      <c r="L380" s="361"/>
      <c r="M380" s="361"/>
      <c r="N380" s="361"/>
      <c r="O380" s="361"/>
      <c r="P380" s="361"/>
      <c r="Q380" s="361"/>
      <c r="R380" s="361"/>
      <c r="S380" s="361"/>
      <c r="T380" s="361"/>
    </row>
    <row r="381" spans="2:20" s="349" customFormat="1" ht="20.100000000000001" customHeight="1">
      <c r="B381" s="361"/>
      <c r="C381" s="361"/>
      <c r="D381" s="361"/>
      <c r="E381" s="361"/>
      <c r="F381" s="361"/>
      <c r="G381" s="361"/>
      <c r="H381" s="361"/>
      <c r="I381" s="361"/>
      <c r="J381" s="361"/>
      <c r="K381" s="361"/>
      <c r="L381" s="361"/>
      <c r="M381" s="361"/>
      <c r="N381" s="361"/>
      <c r="O381" s="361"/>
      <c r="P381" s="361"/>
      <c r="Q381" s="361"/>
      <c r="R381" s="361"/>
      <c r="S381" s="361"/>
      <c r="T381" s="361"/>
    </row>
    <row r="382" spans="2:20" s="349" customFormat="1" ht="20.100000000000001" customHeight="1">
      <c r="B382" s="361"/>
      <c r="C382" s="361"/>
      <c r="D382" s="361"/>
      <c r="E382" s="361"/>
      <c r="F382" s="361"/>
      <c r="G382" s="361"/>
      <c r="H382" s="361"/>
      <c r="I382" s="361"/>
      <c r="J382" s="361"/>
      <c r="K382" s="361"/>
      <c r="L382" s="361"/>
      <c r="M382" s="361"/>
      <c r="N382" s="361"/>
      <c r="O382" s="361"/>
      <c r="P382" s="361"/>
      <c r="Q382" s="361"/>
      <c r="R382" s="361"/>
      <c r="S382" s="361"/>
      <c r="T382" s="361"/>
    </row>
    <row r="383" spans="2:20" s="349" customFormat="1" ht="20.100000000000001" customHeight="1">
      <c r="B383" s="361"/>
      <c r="C383" s="361"/>
      <c r="D383" s="361"/>
      <c r="E383" s="361"/>
      <c r="F383" s="361"/>
      <c r="G383" s="361"/>
      <c r="H383" s="361"/>
      <c r="I383" s="361"/>
      <c r="J383" s="361"/>
      <c r="K383" s="361"/>
      <c r="L383" s="361"/>
      <c r="M383" s="361"/>
      <c r="N383" s="361"/>
      <c r="O383" s="361"/>
      <c r="P383" s="361"/>
      <c r="Q383" s="361"/>
      <c r="R383" s="361"/>
      <c r="S383" s="361"/>
      <c r="T383" s="361"/>
    </row>
    <row r="384" spans="2:20" s="349" customFormat="1" ht="20.100000000000001" customHeight="1">
      <c r="B384" s="361"/>
      <c r="C384" s="361"/>
      <c r="D384" s="361"/>
      <c r="E384" s="361"/>
      <c r="F384" s="361"/>
      <c r="G384" s="361"/>
      <c r="H384" s="361"/>
      <c r="I384" s="361"/>
      <c r="J384" s="361"/>
      <c r="K384" s="361"/>
      <c r="L384" s="361"/>
      <c r="M384" s="361"/>
      <c r="N384" s="361"/>
      <c r="O384" s="361"/>
      <c r="P384" s="361"/>
      <c r="Q384" s="361"/>
      <c r="R384" s="361"/>
      <c r="S384" s="361"/>
      <c r="T384" s="361"/>
    </row>
    <row r="385" spans="2:20" s="349" customFormat="1" ht="20.100000000000001" customHeight="1">
      <c r="B385" s="361"/>
      <c r="C385" s="361"/>
      <c r="D385" s="361"/>
      <c r="E385" s="361"/>
      <c r="F385" s="361"/>
      <c r="G385" s="361"/>
      <c r="H385" s="361"/>
      <c r="I385" s="361"/>
      <c r="J385" s="361"/>
      <c r="K385" s="361"/>
      <c r="L385" s="361"/>
      <c r="M385" s="361"/>
      <c r="N385" s="361"/>
      <c r="O385" s="361"/>
      <c r="P385" s="361"/>
      <c r="Q385" s="361"/>
      <c r="R385" s="361"/>
      <c r="S385" s="361"/>
      <c r="T385" s="361"/>
    </row>
    <row r="386" spans="2:20" s="349" customFormat="1" ht="20.100000000000001" customHeight="1">
      <c r="B386" s="361"/>
      <c r="C386" s="361"/>
      <c r="D386" s="361"/>
      <c r="E386" s="361"/>
      <c r="F386" s="361"/>
      <c r="G386" s="361"/>
      <c r="H386" s="361"/>
      <c r="I386" s="361"/>
      <c r="J386" s="361"/>
      <c r="K386" s="361"/>
      <c r="L386" s="361"/>
      <c r="M386" s="361"/>
      <c r="N386" s="361"/>
      <c r="O386" s="361"/>
      <c r="P386" s="361"/>
      <c r="Q386" s="361"/>
      <c r="R386" s="361"/>
      <c r="S386" s="361"/>
      <c r="T386" s="361"/>
    </row>
    <row r="387" spans="2:20" s="349" customFormat="1" ht="20.100000000000001" customHeight="1">
      <c r="B387" s="361"/>
      <c r="C387" s="361"/>
      <c r="D387" s="361"/>
      <c r="E387" s="361"/>
      <c r="F387" s="361"/>
      <c r="G387" s="361"/>
      <c r="H387" s="361"/>
      <c r="I387" s="361"/>
      <c r="J387" s="361"/>
      <c r="K387" s="361"/>
      <c r="L387" s="361"/>
      <c r="M387" s="361"/>
      <c r="N387" s="361"/>
      <c r="O387" s="361"/>
      <c r="P387" s="361"/>
      <c r="Q387" s="361"/>
      <c r="R387" s="361"/>
      <c r="S387" s="361"/>
      <c r="T387" s="361"/>
    </row>
    <row r="388" spans="2:20" s="349" customFormat="1" ht="20.100000000000001" customHeight="1">
      <c r="B388" s="361"/>
      <c r="C388" s="361"/>
      <c r="D388" s="361"/>
      <c r="E388" s="361"/>
      <c r="F388" s="361"/>
      <c r="G388" s="361"/>
      <c r="H388" s="361"/>
      <c r="I388" s="361"/>
      <c r="J388" s="361"/>
      <c r="K388" s="361"/>
      <c r="L388" s="361"/>
      <c r="M388" s="361"/>
      <c r="N388" s="361"/>
      <c r="O388" s="361"/>
      <c r="P388" s="361"/>
      <c r="Q388" s="361"/>
      <c r="R388" s="361"/>
      <c r="S388" s="361"/>
      <c r="T388" s="361"/>
    </row>
    <row r="389" spans="2:20" s="349" customFormat="1" ht="20.100000000000001" customHeight="1">
      <c r="B389" s="361"/>
      <c r="C389" s="361"/>
      <c r="D389" s="361"/>
      <c r="E389" s="361"/>
      <c r="F389" s="361"/>
      <c r="G389" s="361"/>
      <c r="H389" s="361"/>
      <c r="I389" s="361"/>
      <c r="J389" s="361"/>
      <c r="K389" s="361"/>
      <c r="L389" s="361"/>
      <c r="M389" s="361"/>
      <c r="N389" s="361"/>
      <c r="O389" s="361"/>
      <c r="P389" s="361"/>
      <c r="Q389" s="361"/>
      <c r="R389" s="361"/>
      <c r="S389" s="361"/>
      <c r="T389" s="361"/>
    </row>
    <row r="390" spans="2:20" s="349" customFormat="1" ht="20.100000000000001" customHeight="1">
      <c r="B390" s="361"/>
      <c r="C390" s="361"/>
      <c r="D390" s="361"/>
      <c r="E390" s="361"/>
      <c r="F390" s="361"/>
      <c r="G390" s="361"/>
      <c r="H390" s="361"/>
      <c r="I390" s="361"/>
      <c r="J390" s="361"/>
      <c r="K390" s="361"/>
      <c r="L390" s="361"/>
      <c r="M390" s="361"/>
      <c r="N390" s="361"/>
      <c r="O390" s="361"/>
      <c r="P390" s="361"/>
      <c r="Q390" s="361"/>
      <c r="R390" s="361"/>
      <c r="S390" s="361"/>
      <c r="T390" s="361"/>
    </row>
    <row r="391" spans="2:20" s="349" customFormat="1" ht="20.100000000000001" customHeight="1">
      <c r="B391" s="361"/>
      <c r="C391" s="361"/>
      <c r="D391" s="361"/>
      <c r="E391" s="361"/>
      <c r="F391" s="361"/>
      <c r="G391" s="361"/>
      <c r="H391" s="361"/>
      <c r="I391" s="361"/>
      <c r="J391" s="361"/>
      <c r="K391" s="361"/>
      <c r="L391" s="361"/>
      <c r="M391" s="361"/>
      <c r="N391" s="361"/>
      <c r="O391" s="361"/>
      <c r="P391" s="361"/>
      <c r="Q391" s="361"/>
      <c r="R391" s="361"/>
      <c r="S391" s="361"/>
      <c r="T391" s="361"/>
    </row>
    <row r="392" spans="2:20" s="349" customFormat="1" ht="20.100000000000001" customHeight="1">
      <c r="B392" s="361"/>
      <c r="C392" s="361"/>
      <c r="D392" s="361"/>
      <c r="E392" s="361"/>
      <c r="F392" s="361"/>
      <c r="G392" s="361"/>
      <c r="H392" s="361"/>
      <c r="I392" s="361"/>
      <c r="J392" s="361"/>
      <c r="K392" s="361"/>
      <c r="L392" s="361"/>
      <c r="M392" s="361"/>
      <c r="N392" s="361"/>
      <c r="O392" s="361"/>
      <c r="P392" s="361"/>
      <c r="Q392" s="361"/>
      <c r="R392" s="361"/>
      <c r="S392" s="361"/>
      <c r="T392" s="361"/>
    </row>
    <row r="393" spans="2:20" s="349" customFormat="1" ht="20.100000000000001" customHeight="1">
      <c r="B393" s="361"/>
      <c r="C393" s="361"/>
      <c r="D393" s="361"/>
      <c r="E393" s="361"/>
      <c r="F393" s="361"/>
      <c r="G393" s="361"/>
      <c r="H393" s="361"/>
      <c r="I393" s="361"/>
      <c r="J393" s="361"/>
      <c r="K393" s="361"/>
      <c r="L393" s="361"/>
      <c r="M393" s="361"/>
      <c r="N393" s="361"/>
      <c r="O393" s="361"/>
      <c r="P393" s="361"/>
      <c r="Q393" s="361"/>
      <c r="R393" s="361"/>
      <c r="S393" s="361"/>
      <c r="T393" s="361"/>
    </row>
    <row r="394" spans="2:20" ht="20.100000000000001" customHeight="1"/>
    <row r="395" spans="2:20" ht="9.9499999999999993" customHeight="1"/>
    <row r="396" spans="2:20" ht="20.100000000000001" customHeight="1"/>
    <row r="397" spans="2:20" ht="20.100000000000001" customHeight="1"/>
    <row r="398" spans="2:20" ht="20.100000000000001" customHeight="1"/>
    <row r="399" spans="2:20" s="349" customFormat="1" ht="20.100000000000001" customHeight="1">
      <c r="B399" s="361"/>
      <c r="C399" s="361"/>
      <c r="D399" s="361"/>
      <c r="E399" s="361"/>
      <c r="F399" s="361"/>
      <c r="G399" s="361"/>
      <c r="H399" s="361"/>
      <c r="I399" s="361"/>
      <c r="J399" s="361"/>
      <c r="K399" s="361"/>
      <c r="L399" s="361"/>
      <c r="M399" s="361"/>
      <c r="N399" s="361"/>
      <c r="O399" s="361"/>
      <c r="P399" s="361"/>
      <c r="Q399" s="361"/>
      <c r="R399" s="361"/>
      <c r="S399" s="361"/>
      <c r="T399" s="361"/>
    </row>
    <row r="400" spans="2:20" s="349" customFormat="1" ht="20.100000000000001" customHeight="1">
      <c r="B400" s="361"/>
      <c r="C400" s="361"/>
      <c r="D400" s="361"/>
      <c r="E400" s="361"/>
      <c r="F400" s="361"/>
      <c r="G400" s="361"/>
      <c r="H400" s="361"/>
      <c r="I400" s="361"/>
      <c r="J400" s="361"/>
      <c r="K400" s="361"/>
      <c r="L400" s="361"/>
      <c r="M400" s="361"/>
      <c r="N400" s="361"/>
      <c r="O400" s="361"/>
      <c r="P400" s="361"/>
      <c r="Q400" s="361"/>
      <c r="R400" s="361"/>
      <c r="S400" s="361"/>
      <c r="T400" s="361"/>
    </row>
    <row r="401" spans="2:20" s="349" customFormat="1" ht="20.100000000000001" customHeight="1">
      <c r="B401" s="361"/>
      <c r="C401" s="361"/>
      <c r="D401" s="361"/>
      <c r="E401" s="361"/>
      <c r="F401" s="361"/>
      <c r="G401" s="361"/>
      <c r="H401" s="361"/>
      <c r="I401" s="361"/>
      <c r="J401" s="361"/>
      <c r="K401" s="361"/>
      <c r="L401" s="361"/>
      <c r="M401" s="361"/>
      <c r="N401" s="361"/>
      <c r="O401" s="361"/>
      <c r="P401" s="361"/>
      <c r="Q401" s="361"/>
      <c r="R401" s="361"/>
      <c r="S401" s="361"/>
      <c r="T401" s="361"/>
    </row>
    <row r="402" spans="2:20" s="349" customFormat="1" ht="20.100000000000001" customHeight="1">
      <c r="B402" s="361"/>
      <c r="C402" s="361"/>
      <c r="D402" s="361"/>
      <c r="E402" s="361"/>
      <c r="F402" s="361"/>
      <c r="G402" s="361"/>
      <c r="H402" s="361"/>
      <c r="I402" s="361"/>
      <c r="J402" s="361"/>
      <c r="K402" s="361"/>
      <c r="L402" s="361"/>
      <c r="M402" s="361"/>
      <c r="N402" s="361"/>
      <c r="O402" s="361"/>
      <c r="P402" s="361"/>
      <c r="Q402" s="361"/>
      <c r="R402" s="361"/>
      <c r="S402" s="361"/>
      <c r="T402" s="361"/>
    </row>
    <row r="403" spans="2:20" s="349" customFormat="1" ht="20.100000000000001" customHeight="1">
      <c r="B403" s="361"/>
      <c r="C403" s="361"/>
      <c r="D403" s="361"/>
      <c r="E403" s="361"/>
      <c r="F403" s="361"/>
      <c r="G403" s="361"/>
      <c r="H403" s="361"/>
      <c r="I403" s="361"/>
      <c r="J403" s="361"/>
      <c r="K403" s="361"/>
      <c r="L403" s="361"/>
      <c r="M403" s="361"/>
      <c r="N403" s="361"/>
      <c r="O403" s="361"/>
      <c r="P403" s="361"/>
      <c r="Q403" s="361"/>
      <c r="R403" s="361"/>
      <c r="S403" s="361"/>
      <c r="T403" s="361"/>
    </row>
    <row r="404" spans="2:20" s="349" customFormat="1" ht="20.100000000000001" customHeight="1">
      <c r="B404" s="361"/>
      <c r="C404" s="361"/>
      <c r="D404" s="361"/>
      <c r="E404" s="361"/>
      <c r="F404" s="361"/>
      <c r="G404" s="361"/>
      <c r="H404" s="361"/>
      <c r="I404" s="361"/>
      <c r="J404" s="361"/>
      <c r="K404" s="361"/>
      <c r="L404" s="361"/>
      <c r="M404" s="361"/>
      <c r="N404" s="361"/>
      <c r="O404" s="361"/>
      <c r="P404" s="361"/>
      <c r="Q404" s="361"/>
      <c r="R404" s="361"/>
      <c r="S404" s="361"/>
      <c r="T404" s="361"/>
    </row>
    <row r="405" spans="2:20" s="349" customFormat="1" ht="20.100000000000001" customHeight="1">
      <c r="B405" s="361"/>
      <c r="C405" s="361"/>
      <c r="D405" s="361"/>
      <c r="E405" s="361"/>
      <c r="F405" s="361"/>
      <c r="G405" s="361"/>
      <c r="H405" s="361"/>
      <c r="I405" s="361"/>
      <c r="J405" s="361"/>
      <c r="K405" s="361"/>
      <c r="L405" s="361"/>
      <c r="M405" s="361"/>
      <c r="N405" s="361"/>
      <c r="O405" s="361"/>
      <c r="P405" s="361"/>
      <c r="Q405" s="361"/>
      <c r="R405" s="361"/>
      <c r="S405" s="361"/>
      <c r="T405" s="361"/>
    </row>
    <row r="406" spans="2:20" s="349" customFormat="1" ht="20.100000000000001" customHeight="1">
      <c r="B406" s="361"/>
      <c r="C406" s="361"/>
      <c r="D406" s="361"/>
      <c r="E406" s="361"/>
      <c r="F406" s="361"/>
      <c r="G406" s="361"/>
      <c r="H406" s="361"/>
      <c r="I406" s="361"/>
      <c r="J406" s="361"/>
      <c r="K406" s="361"/>
      <c r="L406" s="361"/>
      <c r="M406" s="361"/>
      <c r="N406" s="361"/>
      <c r="O406" s="361"/>
      <c r="P406" s="361"/>
      <c r="Q406" s="361"/>
      <c r="R406" s="361"/>
      <c r="S406" s="361"/>
      <c r="T406" s="361"/>
    </row>
    <row r="407" spans="2:20" s="349" customFormat="1" ht="20.100000000000001" customHeight="1">
      <c r="B407" s="361"/>
      <c r="C407" s="361"/>
      <c r="D407" s="361"/>
      <c r="E407" s="361"/>
      <c r="F407" s="361"/>
      <c r="G407" s="361"/>
      <c r="H407" s="361"/>
      <c r="I407" s="361"/>
      <c r="J407" s="361"/>
      <c r="K407" s="361"/>
      <c r="L407" s="361"/>
      <c r="M407" s="361"/>
      <c r="N407" s="361"/>
      <c r="O407" s="361"/>
      <c r="P407" s="361"/>
      <c r="Q407" s="361"/>
      <c r="R407" s="361"/>
      <c r="S407" s="361"/>
      <c r="T407" s="361"/>
    </row>
    <row r="408" spans="2:20" s="349" customFormat="1" ht="20.100000000000001" customHeight="1">
      <c r="B408" s="361"/>
      <c r="C408" s="361"/>
      <c r="D408" s="361"/>
      <c r="E408" s="361"/>
      <c r="F408" s="361"/>
      <c r="G408" s="361"/>
      <c r="H408" s="361"/>
      <c r="I408" s="361"/>
      <c r="J408" s="361"/>
      <c r="K408" s="361"/>
      <c r="L408" s="361"/>
      <c r="M408" s="361"/>
      <c r="N408" s="361"/>
      <c r="O408" s="361"/>
      <c r="P408" s="361"/>
      <c r="Q408" s="361"/>
      <c r="R408" s="361"/>
      <c r="S408" s="361"/>
      <c r="T408" s="361"/>
    </row>
    <row r="409" spans="2:20" s="349" customFormat="1" ht="20.100000000000001" customHeight="1">
      <c r="B409" s="361"/>
      <c r="C409" s="361"/>
      <c r="D409" s="361"/>
      <c r="E409" s="361"/>
      <c r="F409" s="361"/>
      <c r="G409" s="361"/>
      <c r="H409" s="361"/>
      <c r="I409" s="361"/>
      <c r="J409" s="361"/>
      <c r="K409" s="361"/>
      <c r="L409" s="361"/>
      <c r="M409" s="361"/>
      <c r="N409" s="361"/>
      <c r="O409" s="361"/>
      <c r="P409" s="361"/>
      <c r="Q409" s="361"/>
      <c r="R409" s="361"/>
      <c r="S409" s="361"/>
      <c r="T409" s="361"/>
    </row>
    <row r="410" spans="2:20" s="349" customFormat="1" ht="20.100000000000001" customHeight="1">
      <c r="B410" s="361"/>
      <c r="C410" s="361"/>
      <c r="D410" s="361"/>
      <c r="E410" s="361"/>
      <c r="F410" s="361"/>
      <c r="G410" s="361"/>
      <c r="H410" s="361"/>
      <c r="I410" s="361"/>
      <c r="J410" s="361"/>
      <c r="K410" s="361"/>
      <c r="L410" s="361"/>
      <c r="M410" s="361"/>
      <c r="N410" s="361"/>
      <c r="O410" s="361"/>
      <c r="P410" s="361"/>
      <c r="Q410" s="361"/>
      <c r="R410" s="361"/>
      <c r="S410" s="361"/>
      <c r="T410" s="361"/>
    </row>
    <row r="411" spans="2:20" s="349" customFormat="1" ht="20.100000000000001" customHeight="1">
      <c r="B411" s="361"/>
      <c r="C411" s="361"/>
      <c r="D411" s="361"/>
      <c r="E411" s="361"/>
      <c r="F411" s="361"/>
      <c r="G411" s="361"/>
      <c r="H411" s="361"/>
      <c r="I411" s="361"/>
      <c r="J411" s="361"/>
      <c r="K411" s="361"/>
      <c r="L411" s="361"/>
      <c r="M411" s="361"/>
      <c r="N411" s="361"/>
      <c r="O411" s="361"/>
      <c r="P411" s="361"/>
      <c r="Q411" s="361"/>
      <c r="R411" s="361"/>
      <c r="S411" s="361"/>
      <c r="T411" s="361"/>
    </row>
    <row r="412" spans="2:20" s="349" customFormat="1" ht="20.100000000000001" customHeight="1">
      <c r="B412" s="361"/>
      <c r="C412" s="361"/>
      <c r="D412" s="361"/>
      <c r="E412" s="361"/>
      <c r="F412" s="361"/>
      <c r="G412" s="361"/>
      <c r="H412" s="361"/>
      <c r="I412" s="361"/>
      <c r="J412" s="361"/>
      <c r="K412" s="361"/>
      <c r="L412" s="361"/>
      <c r="M412" s="361"/>
      <c r="N412" s="361"/>
      <c r="O412" s="361"/>
      <c r="P412" s="361"/>
      <c r="Q412" s="361"/>
      <c r="R412" s="361"/>
      <c r="S412" s="361"/>
      <c r="T412" s="361"/>
    </row>
    <row r="413" spans="2:20" s="349" customFormat="1" ht="20.100000000000001" customHeight="1">
      <c r="B413" s="361"/>
      <c r="C413" s="361"/>
      <c r="D413" s="361"/>
      <c r="E413" s="361"/>
      <c r="F413" s="361"/>
      <c r="G413" s="361"/>
      <c r="H413" s="361"/>
      <c r="I413" s="361"/>
      <c r="J413" s="361"/>
      <c r="K413" s="361"/>
      <c r="L413" s="361"/>
      <c r="M413" s="361"/>
      <c r="N413" s="361"/>
      <c r="O413" s="361"/>
      <c r="P413" s="361"/>
      <c r="Q413" s="361"/>
      <c r="R413" s="361"/>
      <c r="S413" s="361"/>
      <c r="T413" s="361"/>
    </row>
    <row r="414" spans="2:20" s="349" customFormat="1" ht="20.100000000000001" customHeight="1">
      <c r="B414" s="361"/>
      <c r="C414" s="361"/>
      <c r="D414" s="361"/>
      <c r="E414" s="361"/>
      <c r="F414" s="361"/>
      <c r="G414" s="361"/>
      <c r="H414" s="361"/>
      <c r="I414" s="361"/>
      <c r="J414" s="361"/>
      <c r="K414" s="361"/>
      <c r="L414" s="361"/>
      <c r="M414" s="361"/>
      <c r="N414" s="361"/>
      <c r="O414" s="361"/>
      <c r="P414" s="361"/>
      <c r="Q414" s="361"/>
      <c r="R414" s="361"/>
      <c r="S414" s="361"/>
      <c r="T414" s="361"/>
    </row>
    <row r="415" spans="2:20" s="349" customFormat="1" ht="20.100000000000001" customHeight="1">
      <c r="B415" s="361"/>
      <c r="C415" s="361"/>
      <c r="D415" s="361"/>
      <c r="E415" s="361"/>
      <c r="F415" s="361"/>
      <c r="G415" s="361"/>
      <c r="H415" s="361"/>
      <c r="I415" s="361"/>
      <c r="J415" s="361"/>
      <c r="K415" s="361"/>
      <c r="L415" s="361"/>
      <c r="M415" s="361"/>
      <c r="N415" s="361"/>
      <c r="O415" s="361"/>
      <c r="P415" s="361"/>
      <c r="Q415" s="361"/>
      <c r="R415" s="361"/>
      <c r="S415" s="361"/>
      <c r="T415" s="361"/>
    </row>
    <row r="416" spans="2:20" s="349" customFormat="1" ht="20.100000000000001" customHeight="1">
      <c r="B416" s="361"/>
      <c r="C416" s="361"/>
      <c r="D416" s="361"/>
      <c r="E416" s="361"/>
      <c r="F416" s="361"/>
      <c r="G416" s="361"/>
      <c r="H416" s="361"/>
      <c r="I416" s="361"/>
      <c r="J416" s="361"/>
      <c r="K416" s="361"/>
      <c r="L416" s="361"/>
      <c r="M416" s="361"/>
      <c r="N416" s="361"/>
      <c r="O416" s="361"/>
      <c r="P416" s="361"/>
      <c r="Q416" s="361"/>
      <c r="R416" s="361"/>
      <c r="S416" s="361"/>
      <c r="T416" s="361"/>
    </row>
    <row r="417" spans="2:20" s="349" customFormat="1" ht="20.100000000000001" customHeight="1">
      <c r="B417" s="361"/>
      <c r="C417" s="361"/>
      <c r="D417" s="361"/>
      <c r="E417" s="361"/>
      <c r="F417" s="361"/>
      <c r="G417" s="361"/>
      <c r="H417" s="361"/>
      <c r="I417" s="361"/>
      <c r="J417" s="361"/>
      <c r="K417" s="361"/>
      <c r="L417" s="361"/>
      <c r="M417" s="361"/>
      <c r="N417" s="361"/>
      <c r="O417" s="361"/>
      <c r="P417" s="361"/>
      <c r="Q417" s="361"/>
      <c r="R417" s="361"/>
      <c r="S417" s="361"/>
      <c r="T417" s="361"/>
    </row>
    <row r="418" spans="2:20" s="349" customFormat="1" ht="20.100000000000001" customHeight="1">
      <c r="B418" s="361"/>
      <c r="C418" s="361"/>
      <c r="D418" s="361"/>
      <c r="E418" s="361"/>
      <c r="F418" s="361"/>
      <c r="G418" s="361"/>
      <c r="H418" s="361"/>
      <c r="I418" s="361"/>
      <c r="J418" s="361"/>
      <c r="K418" s="361"/>
      <c r="L418" s="361"/>
      <c r="M418" s="361"/>
      <c r="N418" s="361"/>
      <c r="O418" s="361"/>
      <c r="P418" s="361"/>
      <c r="Q418" s="361"/>
      <c r="R418" s="361"/>
      <c r="S418" s="361"/>
      <c r="T418" s="361"/>
    </row>
    <row r="419" spans="2:20" s="349" customFormat="1" ht="20.100000000000001" customHeight="1">
      <c r="B419" s="361"/>
      <c r="C419" s="361"/>
      <c r="D419" s="361"/>
      <c r="E419" s="361"/>
      <c r="F419" s="361"/>
      <c r="G419" s="361"/>
      <c r="H419" s="361"/>
      <c r="I419" s="361"/>
      <c r="J419" s="361"/>
      <c r="K419" s="361"/>
      <c r="L419" s="361"/>
      <c r="M419" s="361"/>
      <c r="N419" s="361"/>
      <c r="O419" s="361"/>
      <c r="P419" s="361"/>
      <c r="Q419" s="361"/>
      <c r="R419" s="361"/>
      <c r="S419" s="361"/>
      <c r="T419" s="361"/>
    </row>
    <row r="420" spans="2:20" s="349" customFormat="1" ht="20.100000000000001" customHeight="1">
      <c r="B420" s="361"/>
      <c r="C420" s="361"/>
      <c r="D420" s="361"/>
      <c r="E420" s="361"/>
      <c r="F420" s="361"/>
      <c r="G420" s="361"/>
      <c r="H420" s="361"/>
      <c r="I420" s="361"/>
      <c r="J420" s="361"/>
      <c r="K420" s="361"/>
      <c r="L420" s="361"/>
      <c r="M420" s="361"/>
      <c r="N420" s="361"/>
      <c r="O420" s="361"/>
      <c r="P420" s="361"/>
      <c r="Q420" s="361"/>
      <c r="R420" s="361"/>
      <c r="S420" s="361"/>
      <c r="T420" s="361"/>
    </row>
    <row r="421" spans="2:20" s="349" customFormat="1" ht="20.100000000000001" customHeight="1">
      <c r="B421" s="361"/>
      <c r="C421" s="361"/>
      <c r="D421" s="361"/>
      <c r="E421" s="361"/>
      <c r="F421" s="361"/>
      <c r="G421" s="361"/>
      <c r="H421" s="361"/>
      <c r="I421" s="361"/>
      <c r="J421" s="361"/>
      <c r="K421" s="361"/>
      <c r="L421" s="361"/>
      <c r="M421" s="361"/>
      <c r="N421" s="361"/>
      <c r="O421" s="361"/>
      <c r="P421" s="361"/>
      <c r="Q421" s="361"/>
      <c r="R421" s="361"/>
      <c r="S421" s="361"/>
      <c r="T421" s="361"/>
    </row>
    <row r="422" spans="2:20" s="349" customFormat="1" ht="20.100000000000001" customHeight="1">
      <c r="B422" s="361"/>
      <c r="C422" s="361"/>
      <c r="D422" s="361"/>
      <c r="E422" s="361"/>
      <c r="F422" s="361"/>
      <c r="G422" s="361"/>
      <c r="H422" s="361"/>
      <c r="I422" s="361"/>
      <c r="J422" s="361"/>
      <c r="K422" s="361"/>
      <c r="L422" s="361"/>
      <c r="M422" s="361"/>
      <c r="N422" s="361"/>
      <c r="O422" s="361"/>
      <c r="P422" s="361"/>
      <c r="Q422" s="361"/>
      <c r="R422" s="361"/>
      <c r="S422" s="361"/>
      <c r="T422" s="361"/>
    </row>
    <row r="423" spans="2:20" s="349" customFormat="1" ht="20.100000000000001" customHeight="1">
      <c r="B423" s="361"/>
      <c r="C423" s="361"/>
      <c r="D423" s="361"/>
      <c r="E423" s="361"/>
      <c r="F423" s="361"/>
      <c r="G423" s="361"/>
      <c r="H423" s="361"/>
      <c r="I423" s="361"/>
      <c r="J423" s="361"/>
      <c r="K423" s="361"/>
      <c r="L423" s="361"/>
      <c r="M423" s="361"/>
      <c r="N423" s="361"/>
      <c r="O423" s="361"/>
      <c r="P423" s="361"/>
      <c r="Q423" s="361"/>
      <c r="R423" s="361"/>
      <c r="S423" s="361"/>
      <c r="T423" s="361"/>
    </row>
    <row r="424" spans="2:20" s="349" customFormat="1" ht="20.100000000000001" customHeight="1">
      <c r="B424" s="361"/>
      <c r="C424" s="361"/>
      <c r="D424" s="361"/>
      <c r="E424" s="361"/>
      <c r="F424" s="361"/>
      <c r="G424" s="361"/>
      <c r="H424" s="361"/>
      <c r="I424" s="361"/>
      <c r="J424" s="361"/>
      <c r="K424" s="361"/>
      <c r="L424" s="361"/>
      <c r="M424" s="361"/>
      <c r="N424" s="361"/>
      <c r="O424" s="361"/>
      <c r="P424" s="361"/>
      <c r="Q424" s="361"/>
      <c r="R424" s="361"/>
      <c r="S424" s="361"/>
      <c r="T424" s="361"/>
    </row>
    <row r="425" spans="2:20" s="349" customFormat="1" ht="20.100000000000001" customHeight="1">
      <c r="B425" s="361"/>
      <c r="C425" s="361"/>
      <c r="D425" s="361"/>
      <c r="E425" s="361"/>
      <c r="F425" s="361"/>
      <c r="G425" s="361"/>
      <c r="H425" s="361"/>
      <c r="I425" s="361"/>
      <c r="J425" s="361"/>
      <c r="K425" s="361"/>
      <c r="L425" s="361"/>
      <c r="M425" s="361"/>
      <c r="N425" s="361"/>
      <c r="O425" s="361"/>
      <c r="P425" s="361"/>
      <c r="Q425" s="361"/>
      <c r="R425" s="361"/>
      <c r="S425" s="361"/>
      <c r="T425" s="361"/>
    </row>
    <row r="426" spans="2:20" s="349" customFormat="1" ht="20.100000000000001" customHeight="1">
      <c r="B426" s="361"/>
      <c r="C426" s="361"/>
      <c r="D426" s="361"/>
      <c r="E426" s="361"/>
      <c r="F426" s="361"/>
      <c r="G426" s="361"/>
      <c r="H426" s="361"/>
      <c r="I426" s="361"/>
      <c r="J426" s="361"/>
      <c r="K426" s="361"/>
      <c r="L426" s="361"/>
      <c r="M426" s="361"/>
      <c r="N426" s="361"/>
      <c r="O426" s="361"/>
      <c r="P426" s="361"/>
      <c r="Q426" s="361"/>
      <c r="R426" s="361"/>
      <c r="S426" s="361"/>
      <c r="T426" s="361"/>
    </row>
    <row r="427" spans="2:20" s="349" customFormat="1" ht="20.100000000000001" customHeight="1">
      <c r="B427" s="361"/>
      <c r="C427" s="361"/>
      <c r="D427" s="361"/>
      <c r="E427" s="361"/>
      <c r="F427" s="361"/>
      <c r="G427" s="361"/>
      <c r="H427" s="361"/>
      <c r="I427" s="361"/>
      <c r="J427" s="361"/>
      <c r="K427" s="361"/>
      <c r="L427" s="361"/>
      <c r="M427" s="361"/>
      <c r="N427" s="361"/>
      <c r="O427" s="361"/>
      <c r="P427" s="361"/>
      <c r="Q427" s="361"/>
      <c r="R427" s="361"/>
      <c r="S427" s="361"/>
      <c r="T427" s="361"/>
    </row>
    <row r="428" spans="2:20" s="349" customFormat="1" ht="20.100000000000001" customHeight="1">
      <c r="B428" s="361"/>
      <c r="C428" s="361"/>
      <c r="D428" s="361"/>
      <c r="E428" s="361"/>
      <c r="F428" s="361"/>
      <c r="G428" s="361"/>
      <c r="H428" s="361"/>
      <c r="I428" s="361"/>
      <c r="J428" s="361"/>
      <c r="K428" s="361"/>
      <c r="L428" s="361"/>
      <c r="M428" s="361"/>
      <c r="N428" s="361"/>
      <c r="O428" s="361"/>
      <c r="P428" s="361"/>
      <c r="Q428" s="361"/>
      <c r="R428" s="361"/>
      <c r="S428" s="361"/>
      <c r="T428" s="361"/>
    </row>
    <row r="429" spans="2:20" s="349" customFormat="1" ht="20.100000000000001" customHeight="1">
      <c r="B429" s="361"/>
      <c r="C429" s="361"/>
      <c r="D429" s="361"/>
      <c r="E429" s="361"/>
      <c r="F429" s="361"/>
      <c r="G429" s="361"/>
      <c r="H429" s="361"/>
      <c r="I429" s="361"/>
      <c r="J429" s="361"/>
      <c r="K429" s="361"/>
      <c r="L429" s="361"/>
      <c r="M429" s="361"/>
      <c r="N429" s="361"/>
      <c r="O429" s="361"/>
      <c r="P429" s="361"/>
      <c r="Q429" s="361"/>
      <c r="R429" s="361"/>
      <c r="S429" s="361"/>
      <c r="T429" s="361"/>
    </row>
    <row r="430" spans="2:20" s="349" customFormat="1" ht="20.100000000000001" customHeight="1">
      <c r="B430" s="361"/>
      <c r="C430" s="361"/>
      <c r="D430" s="361"/>
      <c r="E430" s="361"/>
      <c r="F430" s="361"/>
      <c r="G430" s="361"/>
      <c r="H430" s="361"/>
      <c r="I430" s="361"/>
      <c r="J430" s="361"/>
      <c r="K430" s="361"/>
      <c r="L430" s="361"/>
      <c r="M430" s="361"/>
      <c r="N430" s="361"/>
      <c r="O430" s="361"/>
      <c r="P430" s="361"/>
      <c r="Q430" s="361"/>
      <c r="R430" s="361"/>
      <c r="S430" s="361"/>
      <c r="T430" s="361"/>
    </row>
    <row r="431" spans="2:20" s="349" customFormat="1" ht="20.100000000000001" customHeight="1">
      <c r="B431" s="361"/>
      <c r="C431" s="361"/>
      <c r="D431" s="361"/>
      <c r="E431" s="361"/>
      <c r="F431" s="361"/>
      <c r="G431" s="361"/>
      <c r="H431" s="361"/>
      <c r="I431" s="361"/>
      <c r="J431" s="361"/>
      <c r="K431" s="361"/>
      <c r="L431" s="361"/>
      <c r="M431" s="361"/>
      <c r="N431" s="361"/>
      <c r="O431" s="361"/>
      <c r="P431" s="361"/>
      <c r="Q431" s="361"/>
      <c r="R431" s="361"/>
      <c r="S431" s="361"/>
      <c r="T431" s="361"/>
    </row>
    <row r="432" spans="2:20" s="349" customFormat="1" ht="20.100000000000001" customHeight="1">
      <c r="B432" s="361"/>
      <c r="C432" s="361"/>
      <c r="D432" s="361"/>
      <c r="E432" s="361"/>
      <c r="F432" s="361"/>
      <c r="G432" s="361"/>
      <c r="H432" s="361"/>
      <c r="I432" s="361"/>
      <c r="J432" s="361"/>
      <c r="K432" s="361"/>
      <c r="L432" s="361"/>
      <c r="M432" s="361"/>
      <c r="N432" s="361"/>
      <c r="O432" s="361"/>
      <c r="P432" s="361"/>
      <c r="Q432" s="361"/>
      <c r="R432" s="361"/>
      <c r="S432" s="361"/>
      <c r="T432" s="361"/>
    </row>
    <row r="433" spans="2:20" s="349" customFormat="1" ht="20.100000000000001" customHeight="1">
      <c r="B433" s="361"/>
      <c r="C433" s="361"/>
      <c r="D433" s="361"/>
      <c r="E433" s="361"/>
      <c r="F433" s="361"/>
      <c r="G433" s="361"/>
      <c r="H433" s="361"/>
      <c r="I433" s="361"/>
      <c r="J433" s="361"/>
      <c r="K433" s="361"/>
      <c r="L433" s="361"/>
      <c r="M433" s="361"/>
      <c r="N433" s="361"/>
      <c r="O433" s="361"/>
      <c r="P433" s="361"/>
      <c r="Q433" s="361"/>
      <c r="R433" s="361"/>
      <c r="S433" s="361"/>
      <c r="T433" s="361"/>
    </row>
    <row r="434" spans="2:20" s="349" customFormat="1" ht="20.100000000000001" customHeight="1">
      <c r="B434" s="361"/>
      <c r="C434" s="361"/>
      <c r="D434" s="361"/>
      <c r="E434" s="361"/>
      <c r="F434" s="361"/>
      <c r="G434" s="361"/>
      <c r="H434" s="361"/>
      <c r="I434" s="361"/>
      <c r="J434" s="361"/>
      <c r="K434" s="361"/>
      <c r="L434" s="361"/>
      <c r="M434" s="361"/>
      <c r="N434" s="361"/>
      <c r="O434" s="361"/>
      <c r="P434" s="361"/>
      <c r="Q434" s="361"/>
      <c r="R434" s="361"/>
      <c r="S434" s="361"/>
      <c r="T434" s="361"/>
    </row>
    <row r="435" spans="2:20" s="349" customFormat="1" ht="20.100000000000001" customHeight="1">
      <c r="B435" s="361"/>
      <c r="C435" s="361"/>
      <c r="D435" s="361"/>
      <c r="E435" s="361"/>
      <c r="F435" s="361"/>
      <c r="G435" s="361"/>
      <c r="H435" s="361"/>
      <c r="I435" s="361"/>
      <c r="J435" s="361"/>
      <c r="K435" s="361"/>
      <c r="L435" s="361"/>
      <c r="M435" s="361"/>
      <c r="N435" s="361"/>
      <c r="O435" s="361"/>
      <c r="P435" s="361"/>
      <c r="Q435" s="361"/>
      <c r="R435" s="361"/>
      <c r="S435" s="361"/>
      <c r="T435" s="361"/>
    </row>
    <row r="436" spans="2:20" ht="20.100000000000001" customHeight="1"/>
    <row r="437" spans="2:20" ht="9.9499999999999993" customHeight="1"/>
  </sheetData>
  <mergeCells count="30">
    <mergeCell ref="A21:B21"/>
    <mergeCell ref="E15:E17"/>
    <mergeCell ref="H15:H17"/>
    <mergeCell ref="J15:J17"/>
    <mergeCell ref="F15:G16"/>
    <mergeCell ref="A17:A18"/>
    <mergeCell ref="B17:B18"/>
    <mergeCell ref="I15:I17"/>
    <mergeCell ref="T15:T17"/>
    <mergeCell ref="C11:T11"/>
    <mergeCell ref="A13:T13"/>
    <mergeCell ref="A14:T14"/>
    <mergeCell ref="A15:B16"/>
    <mergeCell ref="C15:C17"/>
    <mergeCell ref="D15:D17"/>
    <mergeCell ref="K15:K17"/>
    <mergeCell ref="L15:L17"/>
    <mergeCell ref="M15:M17"/>
    <mergeCell ref="N15:N17"/>
    <mergeCell ref="O15:O17"/>
    <mergeCell ref="P15:P17"/>
    <mergeCell ref="Q15:Q17"/>
    <mergeCell ref="R15:R17"/>
    <mergeCell ref="S15:S17"/>
    <mergeCell ref="A9:T9"/>
    <mergeCell ref="A4:T4"/>
    <mergeCell ref="A5:T5"/>
    <mergeCell ref="A6:T6"/>
    <mergeCell ref="A7:T7"/>
    <mergeCell ref="A8:T8"/>
  </mergeCells>
  <conditionalFormatting sqref="A17:B17 C18:T18 B20:T20">
    <cfRule type="cellIs" dxfId="1" priority="7" operator="equal">
      <formula>0</formula>
    </cfRule>
  </conditionalFormatting>
  <pageMargins left="0.511811024" right="0.511811024" top="0.78740157499999996" bottom="0.78740157499999996" header="0.31496062000000002" footer="0.31496062000000002"/>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39997558519241921"/>
  </sheetPr>
  <dimension ref="A2:G542"/>
  <sheetViews>
    <sheetView zoomScale="55" zoomScaleNormal="55" workbookViewId="0">
      <selection activeCell="A5" sqref="A5:G5"/>
    </sheetView>
  </sheetViews>
  <sheetFormatPr defaultColWidth="9.140625" defaultRowHeight="30.75"/>
  <cols>
    <col min="1" max="1" width="19" style="327" bestFit="1" customWidth="1"/>
    <col min="2" max="2" width="119.85546875" style="361" customWidth="1"/>
    <col min="3" max="3" width="42.7109375" style="361" customWidth="1"/>
    <col min="4" max="4" width="67.28515625" style="361" customWidth="1"/>
    <col min="5" max="5" width="53.7109375" style="361" customWidth="1"/>
    <col min="6" max="6" width="44.7109375" style="361" customWidth="1"/>
    <col min="7" max="7" width="64.140625" style="361" customWidth="1"/>
    <col min="8" max="16384" width="9.140625" style="327"/>
  </cols>
  <sheetData>
    <row r="2" spans="1:7" ht="31.5" thickBot="1"/>
    <row r="3" spans="1:7" ht="39.950000000000003" customHeight="1">
      <c r="A3" s="394"/>
      <c r="B3" s="395"/>
      <c r="C3" s="395"/>
      <c r="D3" s="395"/>
      <c r="E3" s="395"/>
      <c r="F3" s="395"/>
      <c r="G3" s="395"/>
    </row>
    <row r="4" spans="1:7" ht="39.950000000000003" customHeight="1">
      <c r="A4" s="1709"/>
      <c r="B4" s="1710"/>
      <c r="C4" s="1710"/>
      <c r="D4" s="1710"/>
      <c r="E4" s="1710"/>
      <c r="F4" s="1710"/>
      <c r="G4" s="1710"/>
    </row>
    <row r="5" spans="1:7" ht="39.950000000000003" customHeight="1">
      <c r="A5" s="1712"/>
      <c r="B5" s="1713"/>
      <c r="C5" s="1713"/>
      <c r="D5" s="1713"/>
      <c r="E5" s="1713"/>
      <c r="F5" s="1713"/>
      <c r="G5" s="1713"/>
    </row>
    <row r="6" spans="1:7" ht="39.950000000000003" customHeight="1">
      <c r="A6" s="1712"/>
      <c r="B6" s="1713"/>
      <c r="C6" s="1713"/>
      <c r="D6" s="1713"/>
      <c r="E6" s="1713"/>
      <c r="F6" s="1713"/>
      <c r="G6" s="1713"/>
    </row>
    <row r="7" spans="1:7" ht="39.950000000000003" customHeight="1">
      <c r="A7" s="1709" t="s">
        <v>17</v>
      </c>
      <c r="B7" s="1710"/>
      <c r="C7" s="1710"/>
      <c r="D7" s="1710"/>
      <c r="E7" s="1710"/>
      <c r="F7" s="1710"/>
      <c r="G7" s="1710"/>
    </row>
    <row r="8" spans="1:7" ht="39.950000000000003" customHeight="1">
      <c r="A8" s="1712" t="s">
        <v>185</v>
      </c>
      <c r="B8" s="1713"/>
      <c r="C8" s="1713"/>
      <c r="D8" s="1713"/>
      <c r="E8" s="1713"/>
      <c r="F8" s="1713"/>
      <c r="G8" s="1713"/>
    </row>
    <row r="9" spans="1:7" ht="39.75" customHeight="1">
      <c r="A9" s="1712" t="s">
        <v>16</v>
      </c>
      <c r="B9" s="1713"/>
      <c r="C9" s="1713"/>
      <c r="D9" s="1713"/>
      <c r="E9" s="1713"/>
      <c r="F9" s="1713"/>
      <c r="G9" s="1713"/>
    </row>
    <row r="10" spans="1:7" ht="39.75" customHeight="1">
      <c r="A10" s="397"/>
      <c r="B10" s="398"/>
      <c r="C10" s="398"/>
      <c r="D10" s="398"/>
      <c r="E10" s="398"/>
      <c r="F10" s="398"/>
      <c r="G10" s="398"/>
    </row>
    <row r="11" spans="1:7" ht="54.95" customHeight="1">
      <c r="A11" s="414"/>
      <c r="B11" s="400" t="s">
        <v>532</v>
      </c>
      <c r="C11" s="1715" t="str">
        <f>ORÇAMENTO!D9</f>
        <v>SISTEMA DE SANEAMENTO INTEGRADO NO BAIRRO DO ICUÍ: ABASTECIMENTO DE ÁGUA, DRENAGEM URBANA E MANEJO DE ÁGUAS PLUVIAIS E PAVIMENTAÇÃO NO MUNICÍPIO DE ANANINDEUA/ PA</v>
      </c>
      <c r="D11" s="1716"/>
      <c r="E11" s="1716"/>
      <c r="F11" s="1716"/>
      <c r="G11" s="1716"/>
    </row>
    <row r="12" spans="1:7" ht="39.950000000000003" customHeight="1" thickBot="1">
      <c r="A12" s="401"/>
      <c r="B12" s="402"/>
      <c r="C12" s="402"/>
      <c r="D12" s="402"/>
      <c r="E12" s="402"/>
      <c r="F12" s="402"/>
      <c r="G12" s="402"/>
    </row>
    <row r="13" spans="1:7" s="362" customFormat="1" ht="78.75" customHeight="1" thickTop="1" thickBot="1">
      <c r="A13" s="1720" t="s">
        <v>335</v>
      </c>
      <c r="B13" s="1721"/>
      <c r="C13" s="1721"/>
      <c r="D13" s="1721"/>
      <c r="E13" s="1721"/>
      <c r="F13" s="1721"/>
      <c r="G13" s="1721"/>
    </row>
    <row r="14" spans="1:7" ht="27.75" customHeight="1" thickTop="1" thickBot="1">
      <c r="A14" s="1698"/>
      <c r="B14" s="1699"/>
      <c r="C14" s="1699"/>
      <c r="D14" s="1662"/>
      <c r="E14" s="1662"/>
      <c r="F14" s="1662"/>
      <c r="G14" s="1662"/>
    </row>
    <row r="15" spans="1:7" ht="90.75" customHeight="1">
      <c r="A15" s="1753" t="s">
        <v>318</v>
      </c>
      <c r="B15" s="1754"/>
      <c r="C15" s="1747" t="s">
        <v>327</v>
      </c>
      <c r="D15" s="1756" t="s">
        <v>3488</v>
      </c>
      <c r="E15" s="1756" t="s">
        <v>3489</v>
      </c>
      <c r="F15" s="1756" t="s">
        <v>3490</v>
      </c>
      <c r="G15" s="1756" t="s">
        <v>3491</v>
      </c>
    </row>
    <row r="16" spans="1:7" ht="134.25" customHeight="1">
      <c r="A16" s="1753"/>
      <c r="B16" s="1754"/>
      <c r="C16" s="1747"/>
      <c r="D16" s="1756"/>
      <c r="E16" s="1756"/>
      <c r="F16" s="1756"/>
      <c r="G16" s="1756"/>
    </row>
    <row r="17" spans="1:7" ht="81.75" customHeight="1">
      <c r="A17" s="1749" t="s">
        <v>6</v>
      </c>
      <c r="B17" s="1751" t="s">
        <v>323</v>
      </c>
      <c r="C17" s="1748"/>
      <c r="D17" s="1756"/>
      <c r="E17" s="1756"/>
      <c r="F17" s="1756"/>
      <c r="G17" s="1756"/>
    </row>
    <row r="18" spans="1:7" ht="102.75" customHeight="1" thickBot="1">
      <c r="A18" s="1750"/>
      <c r="B18" s="1752"/>
      <c r="C18" s="460" t="s">
        <v>49</v>
      </c>
      <c r="D18" s="461" t="s">
        <v>52</v>
      </c>
      <c r="E18" s="1378" t="s">
        <v>14</v>
      </c>
      <c r="F18" s="1378" t="s">
        <v>330</v>
      </c>
      <c r="G18" s="1378" t="s">
        <v>553</v>
      </c>
    </row>
    <row r="19" spans="1:7" ht="73.5" customHeight="1" thickTop="1" thickBot="1">
      <c r="A19" s="359"/>
      <c r="B19" s="360"/>
      <c r="C19" s="360"/>
      <c r="D19" s="360"/>
      <c r="E19" s="360"/>
      <c r="F19" s="360"/>
      <c r="G19" s="360"/>
    </row>
    <row r="20" spans="1:7" ht="80.099999999999994" customHeight="1" thickTop="1">
      <c r="A20" s="446">
        <f>'DADOS (F)'!A12</f>
        <v>1</v>
      </c>
      <c r="B20" s="447" t="str">
        <f>'DADOS (F)'!B12</f>
        <v>R. DA PUPUNHEIRA</v>
      </c>
      <c r="C20" s="448">
        <f>'DADOS (F)'!F12</f>
        <v>302</v>
      </c>
      <c r="D20" s="449">
        <f>C20*2*0.1</f>
        <v>60.4</v>
      </c>
      <c r="E20" s="449">
        <v>4</v>
      </c>
      <c r="F20" s="449">
        <v>4</v>
      </c>
      <c r="G20" s="449">
        <v>8</v>
      </c>
    </row>
    <row r="21" spans="1:7" s="349" customFormat="1" ht="80.099999999999994" customHeight="1">
      <c r="A21" s="446">
        <f>'DADOS (F)'!A13</f>
        <v>2</v>
      </c>
      <c r="B21" s="447" t="str">
        <f>'DADOS (F)'!B13</f>
        <v>R. TANGERINA</v>
      </c>
      <c r="C21" s="448">
        <f>'DADOS (F)'!F13</f>
        <v>319</v>
      </c>
      <c r="D21" s="449">
        <f t="shared" ref="D21:D49" si="0">C21*2*0.1</f>
        <v>63.8</v>
      </c>
      <c r="E21" s="449">
        <v>4</v>
      </c>
      <c r="F21" s="449">
        <v>4</v>
      </c>
      <c r="G21" s="449">
        <v>8</v>
      </c>
    </row>
    <row r="22" spans="1:7" s="349" customFormat="1" ht="80.099999999999994" customHeight="1">
      <c r="A22" s="446">
        <f>'DADOS (F)'!A14</f>
        <v>3</v>
      </c>
      <c r="B22" s="447" t="str">
        <f>'DADOS (F)'!B14</f>
        <v>PASS. LARANJEIRA</v>
      </c>
      <c r="C22" s="448">
        <f>'DADOS (F)'!F14</f>
        <v>293</v>
      </c>
      <c r="D22" s="449">
        <f t="shared" si="0"/>
        <v>58.6</v>
      </c>
      <c r="E22" s="449">
        <v>6</v>
      </c>
      <c r="F22" s="449">
        <v>6</v>
      </c>
      <c r="G22" s="449">
        <v>12</v>
      </c>
    </row>
    <row r="23" spans="1:7" s="349" customFormat="1" ht="80.099999999999994" customHeight="1">
      <c r="A23" s="446">
        <f>'DADOS (F)'!A15</f>
        <v>4</v>
      </c>
      <c r="B23" s="447" t="str">
        <f>'DADOS (F)'!B15</f>
        <v xml:space="preserve">TV. FÉ EM DEUS </v>
      </c>
      <c r="C23" s="448">
        <f>'DADOS (F)'!F15</f>
        <v>159.88</v>
      </c>
      <c r="D23" s="449">
        <f t="shared" si="0"/>
        <v>31.98</v>
      </c>
      <c r="E23" s="449">
        <v>1</v>
      </c>
      <c r="F23" s="449">
        <v>1</v>
      </c>
      <c r="G23" s="449">
        <v>2</v>
      </c>
    </row>
    <row r="24" spans="1:7" s="349" customFormat="1" ht="91.5" customHeight="1">
      <c r="A24" s="446">
        <f>'DADOS (F)'!A16</f>
        <v>5</v>
      </c>
      <c r="B24" s="447" t="str">
        <f>'DADOS (F)'!B16</f>
        <v>RUA PAULO ASSUNÇÃO</v>
      </c>
      <c r="C24" s="448">
        <f>'DADOS (F)'!F16</f>
        <v>698.13</v>
      </c>
      <c r="D24" s="449">
        <f t="shared" si="0"/>
        <v>139.63</v>
      </c>
      <c r="E24" s="449">
        <v>4</v>
      </c>
      <c r="F24" s="449">
        <v>4</v>
      </c>
      <c r="G24" s="449">
        <v>8</v>
      </c>
    </row>
    <row r="25" spans="1:7" s="349" customFormat="1" ht="80.099999999999994" customHeight="1">
      <c r="A25" s="446">
        <f>'DADOS (F)'!A17</f>
        <v>6</v>
      </c>
      <c r="B25" s="447" t="str">
        <f>'DADOS (F)'!B17</f>
        <v>PASS PAULO ASSUNÇÃO</v>
      </c>
      <c r="C25" s="448">
        <f>'DADOS (F)'!F17</f>
        <v>262.44</v>
      </c>
      <c r="D25" s="449">
        <f t="shared" si="0"/>
        <v>52.49</v>
      </c>
      <c r="E25" s="449">
        <v>4</v>
      </c>
      <c r="F25" s="449">
        <v>4</v>
      </c>
      <c r="G25" s="449">
        <v>8</v>
      </c>
    </row>
    <row r="26" spans="1:7" s="349" customFormat="1" ht="80.099999999999994" customHeight="1">
      <c r="A26" s="446">
        <f>'DADOS (F)'!A18</f>
        <v>7</v>
      </c>
      <c r="B26" s="447" t="str">
        <f>'DADOS (F)'!B18</f>
        <v>RUA DO PISCINÃO</v>
      </c>
      <c r="C26" s="448">
        <f>'DADOS (F)'!F18</f>
        <v>438</v>
      </c>
      <c r="D26" s="449">
        <f t="shared" si="0"/>
        <v>87.6</v>
      </c>
      <c r="E26" s="449">
        <v>4</v>
      </c>
      <c r="F26" s="449">
        <v>4</v>
      </c>
      <c r="G26" s="449">
        <v>8</v>
      </c>
    </row>
    <row r="27" spans="1:7" ht="97.5" customHeight="1">
      <c r="A27" s="446">
        <f>'DADOS (F)'!A19</f>
        <v>8</v>
      </c>
      <c r="B27" s="447" t="str">
        <f>'DADOS (F)'!B19</f>
        <v>TV DEUS PROVERÁ</v>
      </c>
      <c r="C27" s="448">
        <f>'DADOS (F)'!F19</f>
        <v>182.75</v>
      </c>
      <c r="D27" s="449">
        <f t="shared" si="0"/>
        <v>36.549999999999997</v>
      </c>
      <c r="E27" s="449">
        <v>0</v>
      </c>
      <c r="F27" s="449">
        <v>0</v>
      </c>
      <c r="G27" s="449">
        <v>0</v>
      </c>
    </row>
    <row r="28" spans="1:7" ht="80.099999999999994" customHeight="1">
      <c r="A28" s="446">
        <f>'DADOS (F)'!A20</f>
        <v>9</v>
      </c>
      <c r="B28" s="447" t="str">
        <f>'DADOS (F)'!B20</f>
        <v>RUA A</v>
      </c>
      <c r="C28" s="448">
        <v>131.02000000000001</v>
      </c>
      <c r="D28" s="449">
        <f t="shared" si="0"/>
        <v>26.2</v>
      </c>
      <c r="E28" s="449">
        <v>1</v>
      </c>
      <c r="F28" s="449">
        <v>1</v>
      </c>
      <c r="G28" s="449">
        <v>2</v>
      </c>
    </row>
    <row r="29" spans="1:7" ht="97.5" customHeight="1">
      <c r="A29" s="446">
        <f>'DADOS (F)'!A21</f>
        <v>10</v>
      </c>
      <c r="B29" s="447" t="str">
        <f>'DADOS (F)'!B21</f>
        <v>RUA B</v>
      </c>
      <c r="C29" s="448">
        <v>123.33</v>
      </c>
      <c r="D29" s="449">
        <f t="shared" si="0"/>
        <v>24.67</v>
      </c>
      <c r="E29" s="449">
        <v>1</v>
      </c>
      <c r="F29" s="449">
        <v>1</v>
      </c>
      <c r="G29" s="449">
        <v>2</v>
      </c>
    </row>
    <row r="30" spans="1:7" ht="97.5" customHeight="1">
      <c r="A30" s="446">
        <f>'DADOS (F)'!A22</f>
        <v>11</v>
      </c>
      <c r="B30" s="447" t="str">
        <f>'DADOS (F)'!B22</f>
        <v>RUA C</v>
      </c>
      <c r="C30" s="448">
        <f>'Lista Amoras'!F16</f>
        <v>61</v>
      </c>
      <c r="D30" s="449">
        <f t="shared" si="0"/>
        <v>12.2</v>
      </c>
      <c r="E30" s="449">
        <v>1</v>
      </c>
      <c r="F30" s="449">
        <v>1</v>
      </c>
      <c r="G30" s="449">
        <v>2</v>
      </c>
    </row>
    <row r="31" spans="1:7" ht="97.5" customHeight="1">
      <c r="A31" s="446">
        <f>'DADOS (F)'!A23</f>
        <v>12</v>
      </c>
      <c r="B31" s="447" t="str">
        <f>'DADOS (F)'!B23</f>
        <v>CURVA ENTRE A RUA C E A RUA D</v>
      </c>
      <c r="C31" s="448">
        <f>'Lista Amoras'!F17</f>
        <v>0</v>
      </c>
      <c r="D31" s="449">
        <f t="shared" si="0"/>
        <v>0</v>
      </c>
      <c r="E31" s="449">
        <v>0</v>
      </c>
      <c r="F31" s="449">
        <v>0</v>
      </c>
      <c r="G31" s="449">
        <v>0</v>
      </c>
    </row>
    <row r="32" spans="1:7" ht="97.5" customHeight="1">
      <c r="A32" s="446">
        <f>'DADOS (F)'!A24</f>
        <v>13</v>
      </c>
      <c r="B32" s="447" t="str">
        <f>'DADOS (F)'!B24</f>
        <v>RUA D</v>
      </c>
      <c r="C32" s="448">
        <f>'Lista Amoras'!F18</f>
        <v>75</v>
      </c>
      <c r="D32" s="449">
        <f t="shared" si="0"/>
        <v>15</v>
      </c>
      <c r="E32" s="449">
        <v>0</v>
      </c>
      <c r="F32" s="449">
        <v>0</v>
      </c>
      <c r="G32" s="449">
        <v>0</v>
      </c>
    </row>
    <row r="33" spans="1:7" ht="80.099999999999994" customHeight="1">
      <c r="A33" s="446">
        <f>'DADOS (F)'!A25</f>
        <v>14</v>
      </c>
      <c r="B33" s="447" t="str">
        <f>'DADOS (F)'!B25</f>
        <v>RUA DAS ORQUIDEAS</v>
      </c>
      <c r="C33" s="448">
        <f>'DADOS (F)'!F25</f>
        <v>151.97999999999999</v>
      </c>
      <c r="D33" s="449">
        <f t="shared" si="0"/>
        <v>30.4</v>
      </c>
      <c r="E33" s="449">
        <v>5</v>
      </c>
      <c r="F33" s="449">
        <v>5</v>
      </c>
      <c r="G33" s="449">
        <v>10</v>
      </c>
    </row>
    <row r="34" spans="1:7" s="349" customFormat="1" ht="94.5" customHeight="1">
      <c r="A34" s="446">
        <f>'DADOS (F)'!A26</f>
        <v>15</v>
      </c>
      <c r="B34" s="447" t="str">
        <f>'DADOS (F)'!B26</f>
        <v>RUA HUM</v>
      </c>
      <c r="C34" s="448">
        <f>'DADOS (F)'!F26</f>
        <v>255</v>
      </c>
      <c r="D34" s="449">
        <f t="shared" si="0"/>
        <v>51</v>
      </c>
      <c r="E34" s="449">
        <v>2</v>
      </c>
      <c r="F34" s="449">
        <v>2</v>
      </c>
      <c r="G34" s="449">
        <v>4</v>
      </c>
    </row>
    <row r="35" spans="1:7" s="349" customFormat="1" ht="97.5" customHeight="1">
      <c r="A35" s="446">
        <f>'DADOS (F)'!A27</f>
        <v>16</v>
      </c>
      <c r="B35" s="447" t="str">
        <f>'DADOS (F)'!B27</f>
        <v>RUA DOIS</v>
      </c>
      <c r="C35" s="448">
        <f>'DADOS (F)'!F27</f>
        <v>155</v>
      </c>
      <c r="D35" s="449">
        <f t="shared" si="0"/>
        <v>31</v>
      </c>
      <c r="E35" s="449">
        <v>3</v>
      </c>
      <c r="F35" s="449">
        <v>3</v>
      </c>
      <c r="G35" s="449">
        <v>6</v>
      </c>
    </row>
    <row r="36" spans="1:7" s="349" customFormat="1" ht="100.5" customHeight="1">
      <c r="A36" s="446">
        <f>'DADOS (F)'!A28</f>
        <v>17</v>
      </c>
      <c r="B36" s="447" t="str">
        <f>'DADOS (F)'!B28</f>
        <v>RUA TRÊS</v>
      </c>
      <c r="C36" s="448">
        <f>'DADOS (F)'!F28</f>
        <v>131</v>
      </c>
      <c r="D36" s="449">
        <f t="shared" si="0"/>
        <v>26.2</v>
      </c>
      <c r="E36" s="449">
        <v>2</v>
      </c>
      <c r="F36" s="449">
        <v>2</v>
      </c>
      <c r="G36" s="449">
        <v>4</v>
      </c>
    </row>
    <row r="37" spans="1:7" s="349" customFormat="1" ht="100.5" customHeight="1">
      <c r="A37" s="446" t="s">
        <v>2612</v>
      </c>
      <c r="B37" s="447" t="str">
        <f>'DADOS (F)'!B29</f>
        <v>PASS DA LUZ</v>
      </c>
      <c r="C37" s="448">
        <f>'DADOS (F)'!F29</f>
        <v>72.790000000000006</v>
      </c>
      <c r="D37" s="449">
        <f t="shared" si="0"/>
        <v>14.56</v>
      </c>
      <c r="E37" s="449">
        <v>2</v>
      </c>
      <c r="F37" s="449">
        <v>2</v>
      </c>
      <c r="G37" s="449">
        <v>4</v>
      </c>
    </row>
    <row r="38" spans="1:7" s="349" customFormat="1" ht="80.099999999999994" customHeight="1">
      <c r="A38" s="446">
        <f>'DADOS (F)'!A30</f>
        <v>19</v>
      </c>
      <c r="B38" s="447" t="str">
        <f>'DADOS (F)'!B30</f>
        <v>RUA FÉ EM DEUS</v>
      </c>
      <c r="C38" s="448">
        <f>'DADOS (F)'!F30</f>
        <v>183</v>
      </c>
      <c r="D38" s="449">
        <f t="shared" si="0"/>
        <v>36.6</v>
      </c>
      <c r="E38" s="449">
        <v>2</v>
      </c>
      <c r="F38" s="449">
        <v>2</v>
      </c>
      <c r="G38" s="449">
        <v>4</v>
      </c>
    </row>
    <row r="39" spans="1:7" ht="80.099999999999994" customHeight="1">
      <c r="A39" s="446">
        <f>'DADOS (F)'!A31</f>
        <v>20</v>
      </c>
      <c r="B39" s="447" t="str">
        <f>'DADOS (F)'!B31</f>
        <v>PASS PRINCIPAL</v>
      </c>
      <c r="C39" s="448">
        <f>'DADOS (F)'!F31</f>
        <v>153</v>
      </c>
      <c r="D39" s="449">
        <f t="shared" si="0"/>
        <v>30.6</v>
      </c>
      <c r="E39" s="449">
        <v>4</v>
      </c>
      <c r="F39" s="449">
        <v>4</v>
      </c>
      <c r="G39" s="449">
        <v>8</v>
      </c>
    </row>
    <row r="40" spans="1:7" ht="80.099999999999994" customHeight="1">
      <c r="A40" s="446">
        <f>'DADOS (F)'!A32</f>
        <v>21</v>
      </c>
      <c r="B40" s="447" t="str">
        <f>'DADOS (F)'!B32</f>
        <v>PASSAGEM BACELAR</v>
      </c>
      <c r="C40" s="448">
        <f>'DADOS (F)'!F32</f>
        <v>520</v>
      </c>
      <c r="D40" s="449">
        <f t="shared" si="0"/>
        <v>104</v>
      </c>
      <c r="E40" s="449">
        <v>2</v>
      </c>
      <c r="F40" s="449">
        <v>2</v>
      </c>
      <c r="G40" s="449">
        <v>4</v>
      </c>
    </row>
    <row r="41" spans="1:7" ht="80.099999999999994" customHeight="1">
      <c r="A41" s="446">
        <f>'DADOS (F)'!A33</f>
        <v>22</v>
      </c>
      <c r="B41" s="447" t="str">
        <f>'DADOS (F)'!B33</f>
        <v>PASS DEUS TEM PODER</v>
      </c>
      <c r="C41" s="448">
        <f>'DADOS (F)'!F33</f>
        <v>483</v>
      </c>
      <c r="D41" s="449">
        <f t="shared" si="0"/>
        <v>96.6</v>
      </c>
      <c r="E41" s="449">
        <v>3</v>
      </c>
      <c r="F41" s="449">
        <v>3</v>
      </c>
      <c r="G41" s="449">
        <v>6</v>
      </c>
    </row>
    <row r="42" spans="1:7" ht="103.5" customHeight="1">
      <c r="A42" s="446">
        <f>'DADOS (F)'!A34</f>
        <v>23</v>
      </c>
      <c r="B42" s="447" t="str">
        <f>'DADOS (F)'!B34</f>
        <v>PASS UNIÃO</v>
      </c>
      <c r="C42" s="448">
        <f>'DADOS (F)'!F34</f>
        <v>147</v>
      </c>
      <c r="D42" s="449">
        <f t="shared" si="0"/>
        <v>29.4</v>
      </c>
      <c r="E42" s="449">
        <v>3</v>
      </c>
      <c r="F42" s="449">
        <v>3</v>
      </c>
      <c r="G42" s="449">
        <v>6</v>
      </c>
    </row>
    <row r="43" spans="1:7" ht="100.5" customHeight="1">
      <c r="A43" s="446">
        <f>'DADOS (F)'!A35</f>
        <v>24</v>
      </c>
      <c r="B43" s="447" t="str">
        <f>'DADOS (F)'!B35</f>
        <v>PASS SÃO JORGE</v>
      </c>
      <c r="C43" s="448">
        <f>'DADOS (F)'!F35</f>
        <v>46.32</v>
      </c>
      <c r="D43" s="449">
        <f t="shared" si="0"/>
        <v>9.26</v>
      </c>
      <c r="E43" s="449">
        <v>4</v>
      </c>
      <c r="F43" s="449">
        <v>4</v>
      </c>
      <c r="G43" s="449">
        <v>8</v>
      </c>
    </row>
    <row r="44" spans="1:7" ht="97.5" customHeight="1">
      <c r="A44" s="446">
        <f>'DADOS (F)'!A36</f>
        <v>25</v>
      </c>
      <c r="B44" s="447" t="str">
        <f>'DADOS (F)'!B36</f>
        <v>PASS AIRTON SENA</v>
      </c>
      <c r="C44" s="448">
        <f>'DADOS (F)'!F36</f>
        <v>280.29000000000002</v>
      </c>
      <c r="D44" s="449">
        <f t="shared" si="0"/>
        <v>56.06</v>
      </c>
      <c r="E44" s="449">
        <v>6</v>
      </c>
      <c r="F44" s="449">
        <v>6</v>
      </c>
      <c r="G44" s="449">
        <v>12</v>
      </c>
    </row>
    <row r="45" spans="1:7" s="354" customFormat="1" ht="109.5" customHeight="1">
      <c r="A45" s="446">
        <f>'DADOS (F)'!A37</f>
        <v>26</v>
      </c>
      <c r="B45" s="447" t="str">
        <f>'DADOS (F)'!B37</f>
        <v>RUA AMINTAS PINHEIRO</v>
      </c>
      <c r="C45" s="448">
        <f>'DADOS (F)'!F37</f>
        <v>514.52</v>
      </c>
      <c r="D45" s="449">
        <f t="shared" si="0"/>
        <v>102.9</v>
      </c>
      <c r="E45" s="449">
        <v>6</v>
      </c>
      <c r="F45" s="449">
        <v>6</v>
      </c>
      <c r="G45" s="449">
        <v>12</v>
      </c>
    </row>
    <row r="46" spans="1:7" ht="80.099999999999994" customHeight="1">
      <c r="A46" s="446">
        <f>'DADOS (F)'!A38</f>
        <v>27</v>
      </c>
      <c r="B46" s="447" t="str">
        <f>'DADOS (F)'!B38</f>
        <v>PASS PRINC ISABEL</v>
      </c>
      <c r="C46" s="448">
        <f>'DADOS (F)'!F38</f>
        <v>96.66</v>
      </c>
      <c r="D46" s="449">
        <f t="shared" si="0"/>
        <v>19.329999999999998</v>
      </c>
      <c r="E46" s="449">
        <v>4</v>
      </c>
      <c r="F46" s="449">
        <v>4</v>
      </c>
      <c r="G46" s="449">
        <v>8</v>
      </c>
    </row>
    <row r="47" spans="1:7" ht="49.5">
      <c r="A47" s="446">
        <f>'DADOS (F)'!A39</f>
        <v>28</v>
      </c>
      <c r="B47" s="447" t="str">
        <f>'DADOS (F)'!B39</f>
        <v>PASS SANTA CLARA</v>
      </c>
      <c r="C47" s="448">
        <f>'DADOS (F)'!F39</f>
        <v>95.95</v>
      </c>
      <c r="D47" s="449">
        <f t="shared" si="0"/>
        <v>19.190000000000001</v>
      </c>
      <c r="E47" s="449">
        <v>4</v>
      </c>
      <c r="F47" s="449">
        <v>4</v>
      </c>
      <c r="G47" s="449">
        <v>8</v>
      </c>
    </row>
    <row r="48" spans="1:7" ht="103.5" customHeight="1">
      <c r="A48" s="446">
        <f>'DADOS (F)'!A40</f>
        <v>29</v>
      </c>
      <c r="B48" s="447" t="str">
        <f>'DADOS (F)'!B40</f>
        <v>PASS AIRTON SENA 1</v>
      </c>
      <c r="C48" s="448">
        <f>'DADOS (F)'!F40</f>
        <v>117.94</v>
      </c>
      <c r="D48" s="449">
        <f t="shared" si="0"/>
        <v>23.59</v>
      </c>
      <c r="E48" s="449">
        <v>3</v>
      </c>
      <c r="F48" s="449">
        <v>3</v>
      </c>
      <c r="G48" s="449">
        <v>6</v>
      </c>
    </row>
    <row r="49" spans="1:7" ht="80.099999999999994" customHeight="1" thickBot="1">
      <c r="A49" s="446">
        <f>'DADOS (F)'!A41</f>
        <v>30</v>
      </c>
      <c r="B49" s="447" t="str">
        <f>'DADOS (F)'!B41</f>
        <v>PASS TIM LOPES</v>
      </c>
      <c r="C49" s="448">
        <f>'DADOS (F)'!F41</f>
        <v>108.35</v>
      </c>
      <c r="D49" s="449">
        <f t="shared" si="0"/>
        <v>21.67</v>
      </c>
      <c r="E49" s="449">
        <v>3</v>
      </c>
      <c r="F49" s="449">
        <v>3</v>
      </c>
      <c r="G49" s="449">
        <v>6</v>
      </c>
    </row>
    <row r="50" spans="1:7" ht="80.099999999999994" hidden="1" customHeight="1" thickBot="1">
      <c r="A50" s="446">
        <f>'DADOS (F)'!A42</f>
        <v>0</v>
      </c>
      <c r="B50" s="447">
        <f>'DADOS (F)'!B42</f>
        <v>0</v>
      </c>
      <c r="C50" s="448">
        <f>'DADOS (F)'!F42</f>
        <v>0</v>
      </c>
      <c r="D50" s="449">
        <f>'DADOS (F)'!H42</f>
        <v>0</v>
      </c>
      <c r="E50" s="449">
        <v>1</v>
      </c>
      <c r="F50" s="449" t="e">
        <f>#REF!*$F$17</f>
        <v>#REF!</v>
      </c>
      <c r="G50" s="449" t="e">
        <f t="shared" ref="G50:G56" si="1">F50*70%</f>
        <v>#REF!</v>
      </c>
    </row>
    <row r="51" spans="1:7" ht="50.25" hidden="1" thickBot="1">
      <c r="A51" s="446">
        <f>'DADOS (F)'!A43</f>
        <v>0</v>
      </c>
      <c r="B51" s="447">
        <f>'DADOS (F)'!B43</f>
        <v>0</v>
      </c>
      <c r="C51" s="448">
        <f>'DADOS (F)'!F43</f>
        <v>0</v>
      </c>
      <c r="D51" s="449">
        <f>'DADOS (F)'!H43</f>
        <v>0</v>
      </c>
      <c r="E51" s="449">
        <v>1</v>
      </c>
      <c r="F51" s="449" t="e">
        <f>#REF!*$F$17</f>
        <v>#REF!</v>
      </c>
      <c r="G51" s="449" t="e">
        <f t="shared" si="1"/>
        <v>#REF!</v>
      </c>
    </row>
    <row r="52" spans="1:7" ht="50.25" hidden="1" thickBot="1">
      <c r="A52" s="446">
        <f>'DADOS (F)'!A44</f>
        <v>0</v>
      </c>
      <c r="B52" s="447">
        <f>'DADOS (F)'!B44</f>
        <v>0</v>
      </c>
      <c r="C52" s="448">
        <f>'DADOS (F)'!F44</f>
        <v>0</v>
      </c>
      <c r="D52" s="449">
        <f>'DADOS (F)'!H44</f>
        <v>0</v>
      </c>
      <c r="E52" s="449">
        <v>1</v>
      </c>
      <c r="F52" s="449" t="e">
        <f>#REF!*$F$17</f>
        <v>#REF!</v>
      </c>
      <c r="G52" s="449" t="e">
        <f t="shared" si="1"/>
        <v>#REF!</v>
      </c>
    </row>
    <row r="53" spans="1:7" ht="80.099999999999994" hidden="1" customHeight="1" thickBot="1">
      <c r="A53" s="446">
        <f>'DADOS (F)'!A45</f>
        <v>0</v>
      </c>
      <c r="B53" s="447">
        <f>'DADOS (F)'!B45</f>
        <v>0</v>
      </c>
      <c r="C53" s="448">
        <f>'DADOS (F)'!F45</f>
        <v>0</v>
      </c>
      <c r="D53" s="449">
        <f>'DADOS (F)'!H45</f>
        <v>0</v>
      </c>
      <c r="E53" s="449">
        <v>1</v>
      </c>
      <c r="F53" s="449" t="e">
        <f>#REF!*$F$17</f>
        <v>#REF!</v>
      </c>
      <c r="G53" s="449" t="e">
        <f t="shared" si="1"/>
        <v>#REF!</v>
      </c>
    </row>
    <row r="54" spans="1:7" ht="80.099999999999994" hidden="1" customHeight="1" thickBot="1">
      <c r="A54" s="446">
        <f>'DADOS (F)'!A46</f>
        <v>0</v>
      </c>
      <c r="B54" s="447">
        <f>'DADOS (F)'!B46</f>
        <v>0</v>
      </c>
      <c r="C54" s="448">
        <f>'DADOS (F)'!F46</f>
        <v>0</v>
      </c>
      <c r="D54" s="449">
        <f>'DADOS (F)'!H46</f>
        <v>0</v>
      </c>
      <c r="E54" s="449">
        <v>1</v>
      </c>
      <c r="F54" s="449" t="e">
        <f>#REF!*$F$17</f>
        <v>#REF!</v>
      </c>
      <c r="G54" s="449" t="e">
        <f t="shared" si="1"/>
        <v>#REF!</v>
      </c>
    </row>
    <row r="55" spans="1:7" ht="80.099999999999994" hidden="1" customHeight="1" thickBot="1">
      <c r="A55" s="446">
        <f>'DADOS (F)'!A47</f>
        <v>0</v>
      </c>
      <c r="B55" s="447">
        <f>'DADOS (F)'!B47</f>
        <v>0</v>
      </c>
      <c r="C55" s="448">
        <f>'DADOS (F)'!F47</f>
        <v>0</v>
      </c>
      <c r="D55" s="449">
        <f>'DADOS (F)'!H47</f>
        <v>0</v>
      </c>
      <c r="E55" s="449">
        <v>1</v>
      </c>
      <c r="F55" s="449" t="e">
        <f>#REF!*$F$17</f>
        <v>#REF!</v>
      </c>
      <c r="G55" s="449" t="e">
        <f t="shared" si="1"/>
        <v>#REF!</v>
      </c>
    </row>
    <row r="56" spans="1:7" ht="50.25" hidden="1" thickBot="1">
      <c r="A56" s="446">
        <f>'DADOS (F)'!A48</f>
        <v>0</v>
      </c>
      <c r="B56" s="447">
        <f>'DADOS (F)'!B48</f>
        <v>0</v>
      </c>
      <c r="C56" s="448">
        <f>'DADOS (F)'!F48</f>
        <v>0</v>
      </c>
      <c r="D56" s="449">
        <f>'DADOS (F)'!H48</f>
        <v>0</v>
      </c>
      <c r="E56" s="449">
        <v>1</v>
      </c>
      <c r="F56" s="449" t="e">
        <f>#REF!*$F$17</f>
        <v>#REF!</v>
      </c>
      <c r="G56" s="449" t="e">
        <f t="shared" si="1"/>
        <v>#REF!</v>
      </c>
    </row>
    <row r="57" spans="1:7" ht="80.099999999999994" hidden="1" customHeight="1" thickBot="1">
      <c r="A57" s="446">
        <f>'DADOS (F)'!A49</f>
        <v>0</v>
      </c>
      <c r="B57" s="447">
        <f>'DADOS (F)'!B49</f>
        <v>0</v>
      </c>
      <c r="C57" s="448">
        <f>'DADOS (F)'!F49</f>
        <v>0</v>
      </c>
      <c r="D57" s="449">
        <f>'DADOS (F)'!H49</f>
        <v>0</v>
      </c>
      <c r="E57" s="449">
        <v>1</v>
      </c>
      <c r="F57" s="449" t="e">
        <f>#REF!*$F$17</f>
        <v>#REF!</v>
      </c>
      <c r="G57" s="449" t="e">
        <f>F57*70%</f>
        <v>#REF!</v>
      </c>
    </row>
    <row r="58" spans="1:7" ht="80.099999999999994" hidden="1" customHeight="1" thickBot="1">
      <c r="A58" s="446">
        <f>'DADOS (F)'!A50</f>
        <v>0</v>
      </c>
      <c r="B58" s="447">
        <f>'DADOS (F)'!B50</f>
        <v>0</v>
      </c>
      <c r="C58" s="448">
        <f>'DADOS (F)'!F50</f>
        <v>0</v>
      </c>
      <c r="D58" s="449">
        <f>'DADOS (F)'!H50</f>
        <v>0</v>
      </c>
      <c r="E58" s="449">
        <v>1</v>
      </c>
      <c r="F58" s="449" t="e">
        <f>#REF!*$F$17</f>
        <v>#REF!</v>
      </c>
      <c r="G58" s="449" t="e">
        <f>F58*70%</f>
        <v>#REF!</v>
      </c>
    </row>
    <row r="59" spans="1:7" ht="80.099999999999994" hidden="1" customHeight="1" thickBot="1">
      <c r="A59" s="446">
        <f>'DADOS (F)'!A51</f>
        <v>0</v>
      </c>
      <c r="B59" s="447">
        <f>'DADOS (F)'!B51</f>
        <v>0</v>
      </c>
      <c r="C59" s="448">
        <f>'DADOS (F)'!F51</f>
        <v>0</v>
      </c>
      <c r="D59" s="449">
        <f>'DADOS (F)'!H51</f>
        <v>0</v>
      </c>
      <c r="E59" s="449">
        <v>1</v>
      </c>
      <c r="F59" s="449" t="e">
        <f>#REF!*$F$17</f>
        <v>#REF!</v>
      </c>
      <c r="G59" s="449" t="e">
        <f>F59*70%</f>
        <v>#REF!</v>
      </c>
    </row>
    <row r="60" spans="1:7" ht="80.099999999999994" hidden="1" customHeight="1" thickBot="1">
      <c r="A60" s="446">
        <f>'DADOS (F)'!A52</f>
        <v>0</v>
      </c>
      <c r="B60" s="447">
        <f>'DADOS (F)'!B52</f>
        <v>0</v>
      </c>
      <c r="C60" s="448">
        <f>'DADOS (F)'!F52</f>
        <v>0</v>
      </c>
      <c r="D60" s="449">
        <f>'DADOS (F)'!H52</f>
        <v>0</v>
      </c>
      <c r="E60" s="449">
        <v>1</v>
      </c>
      <c r="F60" s="449" t="e">
        <f>#REF!*$F$17</f>
        <v>#REF!</v>
      </c>
      <c r="G60" s="449" t="e">
        <f t="shared" ref="G60:G123" si="2">F60*70%</f>
        <v>#REF!</v>
      </c>
    </row>
    <row r="61" spans="1:7" ht="80.099999999999994" hidden="1" customHeight="1" thickBot="1">
      <c r="A61" s="446">
        <f>'DADOS (F)'!A53</f>
        <v>0</v>
      </c>
      <c r="B61" s="447">
        <f>'DADOS (F)'!B53</f>
        <v>0</v>
      </c>
      <c r="C61" s="448">
        <f>'DADOS (F)'!F53</f>
        <v>0</v>
      </c>
      <c r="D61" s="449">
        <f>'DADOS (F)'!H53</f>
        <v>0</v>
      </c>
      <c r="E61" s="449">
        <v>1</v>
      </c>
      <c r="F61" s="449" t="e">
        <f>#REF!*$F$17</f>
        <v>#REF!</v>
      </c>
      <c r="G61" s="449" t="e">
        <f t="shared" si="2"/>
        <v>#REF!</v>
      </c>
    </row>
    <row r="62" spans="1:7" ht="80.099999999999994" hidden="1" customHeight="1" thickBot="1">
      <c r="A62" s="446">
        <f>'DADOS (F)'!A54</f>
        <v>0</v>
      </c>
      <c r="B62" s="447">
        <f>'DADOS (F)'!B54</f>
        <v>0</v>
      </c>
      <c r="C62" s="448">
        <f>'DADOS (F)'!F54</f>
        <v>0</v>
      </c>
      <c r="D62" s="449">
        <f>'DADOS (F)'!H54</f>
        <v>0</v>
      </c>
      <c r="E62" s="449">
        <v>1</v>
      </c>
      <c r="F62" s="449" t="e">
        <f>#REF!*$F$17</f>
        <v>#REF!</v>
      </c>
      <c r="G62" s="449" t="e">
        <f t="shared" si="2"/>
        <v>#REF!</v>
      </c>
    </row>
    <row r="63" spans="1:7" ht="80.099999999999994" hidden="1" customHeight="1" thickBot="1">
      <c r="A63" s="446">
        <f>'DADOS (F)'!A55</f>
        <v>0</v>
      </c>
      <c r="B63" s="447">
        <f>'DADOS (F)'!B55</f>
        <v>0</v>
      </c>
      <c r="C63" s="448">
        <f>'DADOS (F)'!F55</f>
        <v>0</v>
      </c>
      <c r="D63" s="449">
        <f>'DADOS (F)'!H55</f>
        <v>0</v>
      </c>
      <c r="E63" s="449">
        <v>1</v>
      </c>
      <c r="F63" s="449" t="e">
        <f>#REF!*$F$17</f>
        <v>#REF!</v>
      </c>
      <c r="G63" s="449" t="e">
        <f t="shared" si="2"/>
        <v>#REF!</v>
      </c>
    </row>
    <row r="64" spans="1:7" ht="80.099999999999994" hidden="1" customHeight="1" thickBot="1">
      <c r="A64" s="446">
        <f>'DADOS (F)'!A56</f>
        <v>0</v>
      </c>
      <c r="B64" s="447">
        <f>'DADOS (F)'!B56</f>
        <v>0</v>
      </c>
      <c r="C64" s="448">
        <f>'DADOS (F)'!F56</f>
        <v>0</v>
      </c>
      <c r="D64" s="449">
        <f>'DADOS (F)'!H56</f>
        <v>0</v>
      </c>
      <c r="E64" s="449">
        <v>1</v>
      </c>
      <c r="F64" s="449" t="e">
        <f>#REF!*$F$17</f>
        <v>#REF!</v>
      </c>
      <c r="G64" s="449" t="e">
        <f t="shared" si="2"/>
        <v>#REF!</v>
      </c>
    </row>
    <row r="65" spans="1:7" ht="80.099999999999994" hidden="1" customHeight="1" thickBot="1">
      <c r="A65" s="446">
        <f>'DADOS (F)'!A57</f>
        <v>0</v>
      </c>
      <c r="B65" s="447">
        <f>'DADOS (F)'!B57</f>
        <v>0</v>
      </c>
      <c r="C65" s="448">
        <f>'DADOS (F)'!F57</f>
        <v>0</v>
      </c>
      <c r="D65" s="449">
        <f>'DADOS (F)'!H57</f>
        <v>0</v>
      </c>
      <c r="E65" s="449">
        <v>1</v>
      </c>
      <c r="F65" s="449" t="e">
        <f>#REF!*$F$17</f>
        <v>#REF!</v>
      </c>
      <c r="G65" s="449" t="e">
        <f t="shared" si="2"/>
        <v>#REF!</v>
      </c>
    </row>
    <row r="66" spans="1:7" ht="80.099999999999994" hidden="1" customHeight="1" thickBot="1">
      <c r="A66" s="446">
        <f>'DADOS (F)'!A58</f>
        <v>0</v>
      </c>
      <c r="B66" s="447">
        <f>'DADOS (F)'!B58</f>
        <v>0</v>
      </c>
      <c r="C66" s="448">
        <f>'DADOS (F)'!F58</f>
        <v>0</v>
      </c>
      <c r="D66" s="449">
        <f>'DADOS (F)'!H58</f>
        <v>0</v>
      </c>
      <c r="E66" s="449">
        <v>1</v>
      </c>
      <c r="F66" s="449" t="e">
        <f>#REF!*$F$17</f>
        <v>#REF!</v>
      </c>
      <c r="G66" s="449" t="e">
        <f t="shared" si="2"/>
        <v>#REF!</v>
      </c>
    </row>
    <row r="67" spans="1:7" ht="80.099999999999994" hidden="1" customHeight="1" thickBot="1">
      <c r="A67" s="446">
        <f>'DADOS (F)'!A59</f>
        <v>0</v>
      </c>
      <c r="B67" s="447">
        <f>'DADOS (F)'!B59</f>
        <v>0</v>
      </c>
      <c r="C67" s="448">
        <f>'DADOS (F)'!F59</f>
        <v>0</v>
      </c>
      <c r="D67" s="449">
        <f>'DADOS (F)'!H59</f>
        <v>0</v>
      </c>
      <c r="E67" s="449">
        <v>1</v>
      </c>
      <c r="F67" s="449" t="e">
        <f>#REF!*$F$17</f>
        <v>#REF!</v>
      </c>
      <c r="G67" s="449" t="e">
        <f t="shared" si="2"/>
        <v>#REF!</v>
      </c>
    </row>
    <row r="68" spans="1:7" ht="80.099999999999994" hidden="1" customHeight="1" thickBot="1">
      <c r="A68" s="446">
        <f>'DADOS (F)'!A60</f>
        <v>0</v>
      </c>
      <c r="B68" s="447">
        <f>'DADOS (F)'!B60</f>
        <v>0</v>
      </c>
      <c r="C68" s="448">
        <f>'DADOS (F)'!F60</f>
        <v>0</v>
      </c>
      <c r="D68" s="449">
        <f>'DADOS (F)'!H60</f>
        <v>0</v>
      </c>
      <c r="E68" s="449">
        <v>1</v>
      </c>
      <c r="F68" s="449" t="e">
        <f>#REF!*$F$17</f>
        <v>#REF!</v>
      </c>
      <c r="G68" s="449" t="e">
        <f t="shared" si="2"/>
        <v>#REF!</v>
      </c>
    </row>
    <row r="69" spans="1:7" ht="80.099999999999994" hidden="1" customHeight="1" thickBot="1">
      <c r="A69" s="446">
        <f>'DADOS (F)'!A61</f>
        <v>0</v>
      </c>
      <c r="B69" s="447">
        <f>'DADOS (F)'!B61</f>
        <v>0</v>
      </c>
      <c r="C69" s="448">
        <f>'DADOS (F)'!F61</f>
        <v>0</v>
      </c>
      <c r="D69" s="449">
        <f>'DADOS (F)'!H61</f>
        <v>0</v>
      </c>
      <c r="E69" s="449">
        <v>1</v>
      </c>
      <c r="F69" s="449" t="e">
        <f>#REF!*$F$17</f>
        <v>#REF!</v>
      </c>
      <c r="G69" s="449" t="e">
        <f t="shared" si="2"/>
        <v>#REF!</v>
      </c>
    </row>
    <row r="70" spans="1:7" ht="80.099999999999994" hidden="1" customHeight="1" thickBot="1">
      <c r="A70" s="446">
        <f>'DADOS (F)'!A62</f>
        <v>0</v>
      </c>
      <c r="B70" s="447">
        <f>'DADOS (F)'!B62</f>
        <v>0</v>
      </c>
      <c r="C70" s="448">
        <f>'DADOS (F)'!F62</f>
        <v>0</v>
      </c>
      <c r="D70" s="449">
        <f>'DADOS (F)'!H62</f>
        <v>0</v>
      </c>
      <c r="E70" s="449">
        <v>1</v>
      </c>
      <c r="F70" s="449" t="e">
        <f>#REF!*$F$17</f>
        <v>#REF!</v>
      </c>
      <c r="G70" s="449" t="e">
        <f t="shared" si="2"/>
        <v>#REF!</v>
      </c>
    </row>
    <row r="71" spans="1:7" ht="80.099999999999994" hidden="1" customHeight="1" thickBot="1">
      <c r="A71" s="446">
        <f>'DADOS (F)'!A63</f>
        <v>0</v>
      </c>
      <c r="B71" s="447">
        <f>'DADOS (F)'!B63</f>
        <v>0</v>
      </c>
      <c r="C71" s="448">
        <f>'DADOS (F)'!F63</f>
        <v>0</v>
      </c>
      <c r="D71" s="449">
        <f>'DADOS (F)'!H63</f>
        <v>0</v>
      </c>
      <c r="E71" s="449">
        <v>1</v>
      </c>
      <c r="F71" s="449" t="e">
        <f>#REF!*$F$17</f>
        <v>#REF!</v>
      </c>
      <c r="G71" s="449" t="e">
        <f t="shared" si="2"/>
        <v>#REF!</v>
      </c>
    </row>
    <row r="72" spans="1:7" ht="80.099999999999994" hidden="1" customHeight="1" thickBot="1">
      <c r="A72" s="446">
        <f>'DADOS (F)'!A64</f>
        <v>0</v>
      </c>
      <c r="B72" s="447">
        <f>'DADOS (F)'!B64</f>
        <v>0</v>
      </c>
      <c r="C72" s="448">
        <f>'DADOS (F)'!F64</f>
        <v>0</v>
      </c>
      <c r="D72" s="449">
        <f>'DADOS (F)'!H64</f>
        <v>0</v>
      </c>
      <c r="E72" s="449">
        <v>1</v>
      </c>
      <c r="F72" s="449" t="e">
        <f>#REF!*$F$17</f>
        <v>#REF!</v>
      </c>
      <c r="G72" s="449" t="e">
        <f t="shared" si="2"/>
        <v>#REF!</v>
      </c>
    </row>
    <row r="73" spans="1:7" ht="80.099999999999994" hidden="1" customHeight="1" thickBot="1">
      <c r="A73" s="446">
        <f>'DADOS (F)'!A65</f>
        <v>0</v>
      </c>
      <c r="B73" s="447">
        <f>'DADOS (F)'!B65</f>
        <v>0</v>
      </c>
      <c r="C73" s="448">
        <f>'DADOS (F)'!F65</f>
        <v>0</v>
      </c>
      <c r="D73" s="449">
        <f>'DADOS (F)'!H65</f>
        <v>0</v>
      </c>
      <c r="E73" s="449">
        <v>1</v>
      </c>
      <c r="F73" s="449" t="e">
        <f>#REF!*$F$17</f>
        <v>#REF!</v>
      </c>
      <c r="G73" s="449" t="e">
        <f t="shared" si="2"/>
        <v>#REF!</v>
      </c>
    </row>
    <row r="74" spans="1:7" ht="80.099999999999994" hidden="1" customHeight="1" thickBot="1">
      <c r="A74" s="446">
        <f>'DADOS (F)'!A66</f>
        <v>0</v>
      </c>
      <c r="B74" s="447">
        <f>'DADOS (F)'!B66</f>
        <v>0</v>
      </c>
      <c r="C74" s="448">
        <f>'DADOS (F)'!F66</f>
        <v>0</v>
      </c>
      <c r="D74" s="449">
        <f>'DADOS (F)'!H66</f>
        <v>0</v>
      </c>
      <c r="E74" s="449">
        <v>1</v>
      </c>
      <c r="F74" s="449" t="e">
        <f>#REF!*$F$17</f>
        <v>#REF!</v>
      </c>
      <c r="G74" s="449" t="e">
        <f t="shared" si="2"/>
        <v>#REF!</v>
      </c>
    </row>
    <row r="75" spans="1:7" ht="80.099999999999994" hidden="1" customHeight="1" thickBot="1">
      <c r="A75" s="446">
        <f>'DADOS (F)'!A67</f>
        <v>0</v>
      </c>
      <c r="B75" s="447">
        <f>'DADOS (F)'!B67</f>
        <v>0</v>
      </c>
      <c r="C75" s="448">
        <f>'DADOS (F)'!F67</f>
        <v>0</v>
      </c>
      <c r="D75" s="449">
        <f>'DADOS (F)'!H67</f>
        <v>0</v>
      </c>
      <c r="E75" s="449">
        <v>1</v>
      </c>
      <c r="F75" s="449" t="e">
        <f>#REF!*$F$17</f>
        <v>#REF!</v>
      </c>
      <c r="G75" s="449" t="e">
        <f t="shared" si="2"/>
        <v>#REF!</v>
      </c>
    </row>
    <row r="76" spans="1:7" ht="80.099999999999994" hidden="1" customHeight="1" thickBot="1">
      <c r="A76" s="446">
        <f>'DADOS (F)'!A68</f>
        <v>0</v>
      </c>
      <c r="B76" s="447">
        <f>'DADOS (F)'!B68</f>
        <v>0</v>
      </c>
      <c r="C76" s="448">
        <f>'DADOS (F)'!F68</f>
        <v>0</v>
      </c>
      <c r="D76" s="449">
        <f>'DADOS (F)'!H68</f>
        <v>0</v>
      </c>
      <c r="E76" s="449">
        <v>1</v>
      </c>
      <c r="F76" s="449" t="e">
        <f>#REF!*$F$17</f>
        <v>#REF!</v>
      </c>
      <c r="G76" s="449" t="e">
        <f t="shared" si="2"/>
        <v>#REF!</v>
      </c>
    </row>
    <row r="77" spans="1:7" ht="80.099999999999994" hidden="1" customHeight="1" thickBot="1">
      <c r="A77" s="446">
        <f>'DADOS (F)'!A69</f>
        <v>0</v>
      </c>
      <c r="B77" s="447">
        <f>'DADOS (F)'!B69</f>
        <v>0</v>
      </c>
      <c r="C77" s="448">
        <f>'DADOS (F)'!F69</f>
        <v>0</v>
      </c>
      <c r="D77" s="449">
        <f>'DADOS (F)'!H69</f>
        <v>0</v>
      </c>
      <c r="E77" s="449">
        <v>1</v>
      </c>
      <c r="F77" s="449" t="e">
        <f>#REF!*$F$17</f>
        <v>#REF!</v>
      </c>
      <c r="G77" s="449" t="e">
        <f t="shared" si="2"/>
        <v>#REF!</v>
      </c>
    </row>
    <row r="78" spans="1:7" ht="80.099999999999994" hidden="1" customHeight="1" thickBot="1">
      <c r="A78" s="446"/>
      <c r="B78" s="447"/>
      <c r="C78" s="448"/>
      <c r="D78" s="449"/>
      <c r="E78" s="449"/>
      <c r="F78" s="449" t="e">
        <f>#REF!*$F$17</f>
        <v>#REF!</v>
      </c>
      <c r="G78" s="449" t="e">
        <f t="shared" si="2"/>
        <v>#REF!</v>
      </c>
    </row>
    <row r="79" spans="1:7" ht="80.099999999999994" hidden="1" customHeight="1" thickBot="1">
      <c r="A79" s="446"/>
      <c r="B79" s="447"/>
      <c r="C79" s="448"/>
      <c r="D79" s="449"/>
      <c r="E79" s="449"/>
      <c r="F79" s="449" t="e">
        <f>#REF!*$F$17</f>
        <v>#REF!</v>
      </c>
      <c r="G79" s="449" t="e">
        <f t="shared" si="2"/>
        <v>#REF!</v>
      </c>
    </row>
    <row r="80" spans="1:7" ht="80.099999999999994" hidden="1" customHeight="1" thickBot="1">
      <c r="A80" s="446"/>
      <c r="B80" s="447"/>
      <c r="C80" s="448"/>
      <c r="D80" s="449"/>
      <c r="E80" s="449"/>
      <c r="F80" s="449" t="e">
        <f>#REF!*$F$17</f>
        <v>#REF!</v>
      </c>
      <c r="G80" s="449" t="e">
        <f t="shared" si="2"/>
        <v>#REF!</v>
      </c>
    </row>
    <row r="81" spans="1:7" ht="80.099999999999994" hidden="1" customHeight="1" thickBot="1">
      <c r="A81" s="446"/>
      <c r="B81" s="447"/>
      <c r="C81" s="448"/>
      <c r="D81" s="449"/>
      <c r="E81" s="449"/>
      <c r="F81" s="449" t="e">
        <f>#REF!*$F$17</f>
        <v>#REF!</v>
      </c>
      <c r="G81" s="449" t="e">
        <f t="shared" si="2"/>
        <v>#REF!</v>
      </c>
    </row>
    <row r="82" spans="1:7" ht="80.099999999999994" hidden="1" customHeight="1" thickBot="1">
      <c r="A82" s="446"/>
      <c r="B82" s="447"/>
      <c r="C82" s="448"/>
      <c r="D82" s="449"/>
      <c r="E82" s="449"/>
      <c r="F82" s="449" t="e">
        <f>#REF!*$F$17</f>
        <v>#REF!</v>
      </c>
      <c r="G82" s="449" t="e">
        <f t="shared" si="2"/>
        <v>#REF!</v>
      </c>
    </row>
    <row r="83" spans="1:7" ht="80.099999999999994" hidden="1" customHeight="1" thickBot="1">
      <c r="A83" s="446"/>
      <c r="B83" s="447"/>
      <c r="C83" s="448"/>
      <c r="D83" s="449"/>
      <c r="E83" s="449"/>
      <c r="F83" s="449" t="e">
        <f>#REF!*$F$17</f>
        <v>#REF!</v>
      </c>
      <c r="G83" s="449" t="e">
        <f t="shared" si="2"/>
        <v>#REF!</v>
      </c>
    </row>
    <row r="84" spans="1:7" ht="80.099999999999994" hidden="1" customHeight="1" thickBot="1">
      <c r="A84" s="446"/>
      <c r="B84" s="447"/>
      <c r="C84" s="448"/>
      <c r="D84" s="449"/>
      <c r="E84" s="449"/>
      <c r="F84" s="449" t="e">
        <f>#REF!*$F$17</f>
        <v>#REF!</v>
      </c>
      <c r="G84" s="449" t="e">
        <f t="shared" si="2"/>
        <v>#REF!</v>
      </c>
    </row>
    <row r="85" spans="1:7" ht="80.099999999999994" hidden="1" customHeight="1" thickBot="1">
      <c r="A85" s="446"/>
      <c r="B85" s="447"/>
      <c r="C85" s="448"/>
      <c r="D85" s="449"/>
      <c r="E85" s="449"/>
      <c r="F85" s="449" t="e">
        <f>#REF!*$F$17</f>
        <v>#REF!</v>
      </c>
      <c r="G85" s="449" t="e">
        <f t="shared" si="2"/>
        <v>#REF!</v>
      </c>
    </row>
    <row r="86" spans="1:7" ht="80.099999999999994" hidden="1" customHeight="1" thickBot="1">
      <c r="A86" s="446"/>
      <c r="B86" s="447"/>
      <c r="C86" s="448"/>
      <c r="D86" s="449"/>
      <c r="E86" s="449"/>
      <c r="F86" s="449" t="e">
        <f>#REF!*$F$17</f>
        <v>#REF!</v>
      </c>
      <c r="G86" s="449" t="e">
        <f t="shared" si="2"/>
        <v>#REF!</v>
      </c>
    </row>
    <row r="87" spans="1:7" ht="80.099999999999994" hidden="1" customHeight="1" thickBot="1">
      <c r="A87" s="446"/>
      <c r="B87" s="447"/>
      <c r="C87" s="448"/>
      <c r="D87" s="449"/>
      <c r="E87" s="449"/>
      <c r="F87" s="449" t="e">
        <f>#REF!*$F$17</f>
        <v>#REF!</v>
      </c>
      <c r="G87" s="449" t="e">
        <f t="shared" si="2"/>
        <v>#REF!</v>
      </c>
    </row>
    <row r="88" spans="1:7" ht="80.099999999999994" hidden="1" customHeight="1" thickBot="1">
      <c r="A88" s="446"/>
      <c r="B88" s="447"/>
      <c r="C88" s="448"/>
      <c r="D88" s="449"/>
      <c r="E88" s="449"/>
      <c r="F88" s="449" t="e">
        <f>#REF!*$F$17</f>
        <v>#REF!</v>
      </c>
      <c r="G88" s="449" t="e">
        <f t="shared" si="2"/>
        <v>#REF!</v>
      </c>
    </row>
    <row r="89" spans="1:7" ht="80.099999999999994" hidden="1" customHeight="1" thickBot="1">
      <c r="A89" s="446"/>
      <c r="B89" s="447"/>
      <c r="C89" s="448"/>
      <c r="D89" s="449"/>
      <c r="E89" s="449"/>
      <c r="F89" s="449" t="e">
        <f>#REF!*$F$17</f>
        <v>#REF!</v>
      </c>
      <c r="G89" s="449" t="e">
        <f t="shared" si="2"/>
        <v>#REF!</v>
      </c>
    </row>
    <row r="90" spans="1:7" ht="80.099999999999994" hidden="1" customHeight="1" thickBot="1">
      <c r="A90" s="446"/>
      <c r="B90" s="447"/>
      <c r="C90" s="448"/>
      <c r="D90" s="449"/>
      <c r="E90" s="449"/>
      <c r="F90" s="449" t="e">
        <f>#REF!*$F$17</f>
        <v>#REF!</v>
      </c>
      <c r="G90" s="449" t="e">
        <f t="shared" si="2"/>
        <v>#REF!</v>
      </c>
    </row>
    <row r="91" spans="1:7" ht="80.099999999999994" hidden="1" customHeight="1" thickBot="1">
      <c r="A91" s="446"/>
      <c r="B91" s="447"/>
      <c r="C91" s="448"/>
      <c r="D91" s="449"/>
      <c r="E91" s="449"/>
      <c r="F91" s="449" t="e">
        <f>#REF!*$F$17</f>
        <v>#REF!</v>
      </c>
      <c r="G91" s="449" t="e">
        <f t="shared" si="2"/>
        <v>#REF!</v>
      </c>
    </row>
    <row r="92" spans="1:7" ht="80.099999999999994" hidden="1" customHeight="1" thickBot="1">
      <c r="A92" s="446"/>
      <c r="B92" s="447"/>
      <c r="C92" s="448"/>
      <c r="D92" s="449"/>
      <c r="E92" s="449"/>
      <c r="F92" s="449" t="e">
        <f>#REF!*$F$17</f>
        <v>#REF!</v>
      </c>
      <c r="G92" s="449" t="e">
        <f t="shared" si="2"/>
        <v>#REF!</v>
      </c>
    </row>
    <row r="93" spans="1:7" ht="80.099999999999994" hidden="1" customHeight="1" thickBot="1">
      <c r="A93" s="446"/>
      <c r="B93" s="447"/>
      <c r="C93" s="448"/>
      <c r="D93" s="449"/>
      <c r="E93" s="449"/>
      <c r="F93" s="449" t="e">
        <f>#REF!*$F$17</f>
        <v>#REF!</v>
      </c>
      <c r="G93" s="449" t="e">
        <f t="shared" si="2"/>
        <v>#REF!</v>
      </c>
    </row>
    <row r="94" spans="1:7" ht="80.099999999999994" hidden="1" customHeight="1" thickBot="1">
      <c r="A94" s="446"/>
      <c r="B94" s="447"/>
      <c r="C94" s="448"/>
      <c r="D94" s="449"/>
      <c r="E94" s="449"/>
      <c r="F94" s="449" t="e">
        <f>#REF!*$F$17</f>
        <v>#REF!</v>
      </c>
      <c r="G94" s="449" t="e">
        <f t="shared" si="2"/>
        <v>#REF!</v>
      </c>
    </row>
    <row r="95" spans="1:7" ht="80.099999999999994" hidden="1" customHeight="1" thickBot="1">
      <c r="A95" s="446"/>
      <c r="B95" s="447"/>
      <c r="C95" s="448"/>
      <c r="D95" s="449"/>
      <c r="E95" s="449"/>
      <c r="F95" s="449" t="e">
        <f>#REF!*$F$17</f>
        <v>#REF!</v>
      </c>
      <c r="G95" s="449" t="e">
        <f t="shared" si="2"/>
        <v>#REF!</v>
      </c>
    </row>
    <row r="96" spans="1:7" ht="80.099999999999994" hidden="1" customHeight="1" thickBot="1">
      <c r="A96" s="446"/>
      <c r="B96" s="447"/>
      <c r="C96" s="448"/>
      <c r="D96" s="449"/>
      <c r="E96" s="449"/>
      <c r="F96" s="449" t="e">
        <f>#REF!*$F$17</f>
        <v>#REF!</v>
      </c>
      <c r="G96" s="449" t="e">
        <f t="shared" si="2"/>
        <v>#REF!</v>
      </c>
    </row>
    <row r="97" spans="1:7" ht="80.099999999999994" hidden="1" customHeight="1" thickBot="1">
      <c r="A97" s="446"/>
      <c r="B97" s="447"/>
      <c r="C97" s="448"/>
      <c r="D97" s="449"/>
      <c r="E97" s="449"/>
      <c r="F97" s="449" t="e">
        <f>#REF!*$F$17</f>
        <v>#REF!</v>
      </c>
      <c r="G97" s="449" t="e">
        <f t="shared" si="2"/>
        <v>#REF!</v>
      </c>
    </row>
    <row r="98" spans="1:7" ht="80.099999999999994" hidden="1" customHeight="1" thickBot="1">
      <c r="A98" s="446"/>
      <c r="B98" s="447"/>
      <c r="C98" s="448"/>
      <c r="D98" s="449"/>
      <c r="E98" s="449"/>
      <c r="F98" s="449" t="e">
        <f>#REF!*$F$17</f>
        <v>#REF!</v>
      </c>
      <c r="G98" s="449" t="e">
        <f t="shared" si="2"/>
        <v>#REF!</v>
      </c>
    </row>
    <row r="99" spans="1:7" ht="80.099999999999994" hidden="1" customHeight="1" thickBot="1">
      <c r="A99" s="446"/>
      <c r="B99" s="447"/>
      <c r="C99" s="448"/>
      <c r="D99" s="449"/>
      <c r="E99" s="449"/>
      <c r="F99" s="449" t="e">
        <f>#REF!*$F$17</f>
        <v>#REF!</v>
      </c>
      <c r="G99" s="449" t="e">
        <f t="shared" si="2"/>
        <v>#REF!</v>
      </c>
    </row>
    <row r="100" spans="1:7" ht="80.099999999999994" hidden="1" customHeight="1" thickBot="1">
      <c r="A100" s="446"/>
      <c r="B100" s="447"/>
      <c r="C100" s="448"/>
      <c r="D100" s="449"/>
      <c r="E100" s="449"/>
      <c r="F100" s="449" t="e">
        <f>#REF!*$F$17</f>
        <v>#REF!</v>
      </c>
      <c r="G100" s="449" t="e">
        <f t="shared" si="2"/>
        <v>#REF!</v>
      </c>
    </row>
    <row r="101" spans="1:7" ht="80.099999999999994" hidden="1" customHeight="1" thickBot="1">
      <c r="A101" s="446"/>
      <c r="B101" s="447"/>
      <c r="C101" s="448"/>
      <c r="D101" s="449"/>
      <c r="E101" s="449"/>
      <c r="F101" s="449" t="e">
        <f>#REF!*$F$17</f>
        <v>#REF!</v>
      </c>
      <c r="G101" s="449" t="e">
        <f t="shared" si="2"/>
        <v>#REF!</v>
      </c>
    </row>
    <row r="102" spans="1:7" ht="80.099999999999994" hidden="1" customHeight="1" thickBot="1">
      <c r="A102" s="446"/>
      <c r="B102" s="447"/>
      <c r="C102" s="448"/>
      <c r="D102" s="449"/>
      <c r="E102" s="449"/>
      <c r="F102" s="449" t="e">
        <f>#REF!*$F$17</f>
        <v>#REF!</v>
      </c>
      <c r="G102" s="449" t="e">
        <f t="shared" si="2"/>
        <v>#REF!</v>
      </c>
    </row>
    <row r="103" spans="1:7" ht="80.099999999999994" hidden="1" customHeight="1" thickBot="1">
      <c r="A103" s="446"/>
      <c r="B103" s="447"/>
      <c r="C103" s="448"/>
      <c r="D103" s="449"/>
      <c r="E103" s="449"/>
      <c r="F103" s="449" t="e">
        <f>#REF!*$F$17</f>
        <v>#REF!</v>
      </c>
      <c r="G103" s="449" t="e">
        <f t="shared" si="2"/>
        <v>#REF!</v>
      </c>
    </row>
    <row r="104" spans="1:7" ht="80.099999999999994" hidden="1" customHeight="1" thickBot="1">
      <c r="A104" s="446"/>
      <c r="B104" s="447"/>
      <c r="C104" s="448"/>
      <c r="D104" s="449"/>
      <c r="E104" s="449"/>
      <c r="F104" s="449" t="e">
        <f>#REF!*$F$17</f>
        <v>#REF!</v>
      </c>
      <c r="G104" s="449" t="e">
        <f t="shared" si="2"/>
        <v>#REF!</v>
      </c>
    </row>
    <row r="105" spans="1:7" ht="80.099999999999994" hidden="1" customHeight="1" thickBot="1">
      <c r="A105" s="446"/>
      <c r="B105" s="447"/>
      <c r="C105" s="448"/>
      <c r="D105" s="449"/>
      <c r="E105" s="449"/>
      <c r="F105" s="449" t="e">
        <f>#REF!*$F$17</f>
        <v>#REF!</v>
      </c>
      <c r="G105" s="449" t="e">
        <f t="shared" si="2"/>
        <v>#REF!</v>
      </c>
    </row>
    <row r="106" spans="1:7" ht="80.099999999999994" hidden="1" customHeight="1" thickBot="1">
      <c r="A106" s="446"/>
      <c r="B106" s="447"/>
      <c r="C106" s="448"/>
      <c r="D106" s="449"/>
      <c r="E106" s="449"/>
      <c r="F106" s="449" t="e">
        <f>#REF!*$F$17</f>
        <v>#REF!</v>
      </c>
      <c r="G106" s="449" t="e">
        <f t="shared" si="2"/>
        <v>#REF!</v>
      </c>
    </row>
    <row r="107" spans="1:7" ht="80.099999999999994" hidden="1" customHeight="1" thickBot="1">
      <c r="A107" s="446"/>
      <c r="B107" s="447"/>
      <c r="C107" s="448"/>
      <c r="D107" s="449"/>
      <c r="E107" s="449"/>
      <c r="F107" s="449" t="e">
        <f>#REF!*$F$17</f>
        <v>#REF!</v>
      </c>
      <c r="G107" s="449" t="e">
        <f t="shared" si="2"/>
        <v>#REF!</v>
      </c>
    </row>
    <row r="108" spans="1:7" ht="80.099999999999994" hidden="1" customHeight="1" thickBot="1">
      <c r="A108" s="446"/>
      <c r="B108" s="447"/>
      <c r="C108" s="448"/>
      <c r="D108" s="449"/>
      <c r="E108" s="449"/>
      <c r="F108" s="449" t="e">
        <f>#REF!*$F$17</f>
        <v>#REF!</v>
      </c>
      <c r="G108" s="449" t="e">
        <f t="shared" si="2"/>
        <v>#REF!</v>
      </c>
    </row>
    <row r="109" spans="1:7" ht="80.099999999999994" hidden="1" customHeight="1" thickBot="1">
      <c r="A109" s="446"/>
      <c r="B109" s="447"/>
      <c r="C109" s="448"/>
      <c r="D109" s="449"/>
      <c r="E109" s="449"/>
      <c r="F109" s="449" t="e">
        <f>#REF!*$F$17</f>
        <v>#REF!</v>
      </c>
      <c r="G109" s="449" t="e">
        <f t="shared" si="2"/>
        <v>#REF!</v>
      </c>
    </row>
    <row r="110" spans="1:7" ht="80.099999999999994" hidden="1" customHeight="1" thickBot="1">
      <c r="A110" s="446"/>
      <c r="B110" s="447"/>
      <c r="C110" s="448"/>
      <c r="D110" s="449"/>
      <c r="E110" s="449"/>
      <c r="F110" s="449" t="e">
        <f>#REF!*$F$17</f>
        <v>#REF!</v>
      </c>
      <c r="G110" s="449" t="e">
        <f t="shared" si="2"/>
        <v>#REF!</v>
      </c>
    </row>
    <row r="111" spans="1:7" ht="80.099999999999994" hidden="1" customHeight="1" thickBot="1">
      <c r="A111" s="446"/>
      <c r="B111" s="447"/>
      <c r="C111" s="448"/>
      <c r="D111" s="449"/>
      <c r="E111" s="449"/>
      <c r="F111" s="449" t="e">
        <f>#REF!*$F$17</f>
        <v>#REF!</v>
      </c>
      <c r="G111" s="449" t="e">
        <f t="shared" si="2"/>
        <v>#REF!</v>
      </c>
    </row>
    <row r="112" spans="1:7" ht="80.099999999999994" hidden="1" customHeight="1" thickBot="1">
      <c r="A112" s="446"/>
      <c r="B112" s="447"/>
      <c r="C112" s="448"/>
      <c r="D112" s="449"/>
      <c r="E112" s="449"/>
      <c r="F112" s="449" t="e">
        <f>#REF!*$F$17</f>
        <v>#REF!</v>
      </c>
      <c r="G112" s="449" t="e">
        <f t="shared" si="2"/>
        <v>#REF!</v>
      </c>
    </row>
    <row r="113" spans="1:7" ht="80.099999999999994" hidden="1" customHeight="1" thickBot="1">
      <c r="A113" s="446"/>
      <c r="B113" s="447"/>
      <c r="C113" s="448"/>
      <c r="D113" s="449"/>
      <c r="E113" s="449"/>
      <c r="F113" s="449" t="e">
        <f>#REF!*$F$17</f>
        <v>#REF!</v>
      </c>
      <c r="G113" s="449" t="e">
        <f t="shared" si="2"/>
        <v>#REF!</v>
      </c>
    </row>
    <row r="114" spans="1:7" ht="80.099999999999994" hidden="1" customHeight="1" thickBot="1">
      <c r="A114" s="446"/>
      <c r="B114" s="447"/>
      <c r="C114" s="448"/>
      <c r="D114" s="449"/>
      <c r="E114" s="449"/>
      <c r="F114" s="449" t="e">
        <f>#REF!*$F$17</f>
        <v>#REF!</v>
      </c>
      <c r="G114" s="449" t="e">
        <f t="shared" si="2"/>
        <v>#REF!</v>
      </c>
    </row>
    <row r="115" spans="1:7" ht="80.099999999999994" hidden="1" customHeight="1" thickBot="1">
      <c r="A115" s="446"/>
      <c r="B115" s="447"/>
      <c r="C115" s="448"/>
      <c r="D115" s="449"/>
      <c r="E115" s="449"/>
      <c r="F115" s="449" t="e">
        <f>#REF!*$F$17</f>
        <v>#REF!</v>
      </c>
      <c r="G115" s="449" t="e">
        <f t="shared" si="2"/>
        <v>#REF!</v>
      </c>
    </row>
    <row r="116" spans="1:7" ht="80.099999999999994" hidden="1" customHeight="1" thickBot="1">
      <c r="A116" s="446"/>
      <c r="B116" s="447"/>
      <c r="C116" s="448"/>
      <c r="D116" s="449"/>
      <c r="E116" s="449"/>
      <c r="F116" s="449" t="e">
        <f>#REF!*$F$17</f>
        <v>#REF!</v>
      </c>
      <c r="G116" s="449" t="e">
        <f t="shared" si="2"/>
        <v>#REF!</v>
      </c>
    </row>
    <row r="117" spans="1:7" ht="80.099999999999994" hidden="1" customHeight="1" thickBot="1">
      <c r="A117" s="446"/>
      <c r="B117" s="447"/>
      <c r="C117" s="448"/>
      <c r="D117" s="449"/>
      <c r="E117" s="449"/>
      <c r="F117" s="449" t="e">
        <f>#REF!*$F$17</f>
        <v>#REF!</v>
      </c>
      <c r="G117" s="449" t="e">
        <f t="shared" si="2"/>
        <v>#REF!</v>
      </c>
    </row>
    <row r="118" spans="1:7" ht="80.099999999999994" hidden="1" customHeight="1" thickBot="1">
      <c r="A118" s="446"/>
      <c r="B118" s="447"/>
      <c r="C118" s="448"/>
      <c r="D118" s="449"/>
      <c r="E118" s="449"/>
      <c r="F118" s="449" t="e">
        <f>#REF!*$F$17</f>
        <v>#REF!</v>
      </c>
      <c r="G118" s="449" t="e">
        <f t="shared" si="2"/>
        <v>#REF!</v>
      </c>
    </row>
    <row r="119" spans="1:7" ht="80.099999999999994" hidden="1" customHeight="1" thickBot="1">
      <c r="A119" s="446"/>
      <c r="B119" s="447"/>
      <c r="C119" s="448"/>
      <c r="D119" s="449"/>
      <c r="E119" s="449"/>
      <c r="F119" s="449" t="e">
        <f>#REF!*$F$17</f>
        <v>#REF!</v>
      </c>
      <c r="G119" s="449" t="e">
        <f t="shared" si="2"/>
        <v>#REF!</v>
      </c>
    </row>
    <row r="120" spans="1:7" ht="80.099999999999994" hidden="1" customHeight="1" thickBot="1">
      <c r="A120" s="446"/>
      <c r="B120" s="447"/>
      <c r="C120" s="448"/>
      <c r="D120" s="449"/>
      <c r="E120" s="449"/>
      <c r="F120" s="449" t="e">
        <f>#REF!*$F$17</f>
        <v>#REF!</v>
      </c>
      <c r="G120" s="449" t="e">
        <f t="shared" si="2"/>
        <v>#REF!</v>
      </c>
    </row>
    <row r="121" spans="1:7" ht="80.099999999999994" hidden="1" customHeight="1" thickBot="1">
      <c r="A121" s="446"/>
      <c r="B121" s="447"/>
      <c r="C121" s="448"/>
      <c r="D121" s="449"/>
      <c r="E121" s="449"/>
      <c r="F121" s="449" t="e">
        <f>#REF!*$F$17</f>
        <v>#REF!</v>
      </c>
      <c r="G121" s="449" t="e">
        <f t="shared" si="2"/>
        <v>#REF!</v>
      </c>
    </row>
    <row r="122" spans="1:7" ht="80.099999999999994" hidden="1" customHeight="1" thickBot="1">
      <c r="A122" s="446"/>
      <c r="B122" s="447"/>
      <c r="C122" s="448"/>
      <c r="D122" s="449"/>
      <c r="E122" s="449"/>
      <c r="F122" s="449" t="e">
        <f>#REF!*$F$17</f>
        <v>#REF!</v>
      </c>
      <c r="G122" s="449" t="e">
        <f t="shared" si="2"/>
        <v>#REF!</v>
      </c>
    </row>
    <row r="123" spans="1:7" ht="80.099999999999994" hidden="1" customHeight="1" thickBot="1">
      <c r="A123" s="446"/>
      <c r="B123" s="447"/>
      <c r="C123" s="448"/>
      <c r="D123" s="449"/>
      <c r="E123" s="449"/>
      <c r="F123" s="449" t="e">
        <f>#REF!*$F$17</f>
        <v>#REF!</v>
      </c>
      <c r="G123" s="449" t="e">
        <f t="shared" si="2"/>
        <v>#REF!</v>
      </c>
    </row>
    <row r="124" spans="1:7" ht="80.099999999999994" hidden="1" customHeight="1" thickBot="1">
      <c r="A124" s="446"/>
      <c r="B124" s="447"/>
      <c r="C124" s="448"/>
      <c r="D124" s="449"/>
      <c r="E124" s="449"/>
      <c r="F124" s="449" t="e">
        <f>#REF!*$F$17</f>
        <v>#REF!</v>
      </c>
      <c r="G124" s="449" t="e">
        <f>F124*70%</f>
        <v>#REF!</v>
      </c>
    </row>
    <row r="125" spans="1:7" ht="80.099999999999994" hidden="1" customHeight="1" thickBot="1">
      <c r="A125" s="446"/>
      <c r="B125" s="447"/>
      <c r="C125" s="448"/>
      <c r="D125" s="449"/>
      <c r="E125" s="449"/>
      <c r="F125" s="449" t="e">
        <f>#REF!*$F$17</f>
        <v>#REF!</v>
      </c>
      <c r="G125" s="449" t="e">
        <f>F125*70%</f>
        <v>#REF!</v>
      </c>
    </row>
    <row r="126" spans="1:7" s="349" customFormat="1" ht="80.099999999999994" customHeight="1" thickBot="1">
      <c r="A126" s="1745" t="s">
        <v>317</v>
      </c>
      <c r="B126" s="1746"/>
      <c r="C126" s="452">
        <f>SUM(C20:C125)</f>
        <v>6557.35</v>
      </c>
      <c r="D126" s="452">
        <f>SUM(D20:D125)</f>
        <v>1311.48</v>
      </c>
      <c r="E126" s="452">
        <f>SUM(E20:E49)</f>
        <v>88</v>
      </c>
      <c r="F126" s="452">
        <f>SUM(F20:F49)</f>
        <v>88</v>
      </c>
      <c r="G126" s="452">
        <f>SUM(G20:G49)</f>
        <v>176</v>
      </c>
    </row>
    <row r="127" spans="1:7" s="349" customFormat="1">
      <c r="B127" s="361"/>
      <c r="C127" s="361"/>
      <c r="D127" s="361"/>
      <c r="E127" s="361"/>
      <c r="F127" s="361"/>
      <c r="G127" s="361"/>
    </row>
    <row r="128" spans="1:7" s="349" customFormat="1" ht="20.100000000000001" customHeight="1">
      <c r="B128" s="361"/>
      <c r="C128" s="361"/>
      <c r="D128" s="361"/>
      <c r="E128" s="361"/>
      <c r="F128" s="361"/>
      <c r="G128" s="361"/>
    </row>
    <row r="129" spans="2:7" s="349" customFormat="1" ht="20.100000000000001" customHeight="1">
      <c r="B129" s="361"/>
      <c r="C129" s="361"/>
      <c r="D129" s="361"/>
      <c r="E129" s="361"/>
      <c r="F129" s="361"/>
      <c r="G129" s="361"/>
    </row>
    <row r="130" spans="2:7" s="349" customFormat="1" ht="20.100000000000001" customHeight="1">
      <c r="B130" s="361"/>
      <c r="C130" s="361"/>
      <c r="D130" s="361"/>
      <c r="E130" s="361"/>
      <c r="F130" s="361"/>
      <c r="G130" s="361"/>
    </row>
    <row r="131" spans="2:7" s="349" customFormat="1" ht="20.100000000000001" customHeight="1">
      <c r="B131" s="361"/>
      <c r="C131" s="361"/>
      <c r="D131" s="361"/>
      <c r="E131" s="361"/>
      <c r="F131" s="361"/>
      <c r="G131" s="361"/>
    </row>
    <row r="132" spans="2:7" s="349" customFormat="1" ht="20.100000000000001" customHeight="1">
      <c r="B132" s="361"/>
      <c r="C132" s="361"/>
      <c r="D132" s="361"/>
      <c r="E132" s="361"/>
      <c r="F132" s="361"/>
      <c r="G132" s="361"/>
    </row>
    <row r="133" spans="2:7" s="349" customFormat="1" ht="20.100000000000001" customHeight="1">
      <c r="B133" s="361"/>
      <c r="C133" s="361"/>
      <c r="D133" s="361"/>
      <c r="E133" s="361"/>
      <c r="F133" s="361"/>
      <c r="G133" s="361"/>
    </row>
    <row r="134" spans="2:7" s="349" customFormat="1" ht="20.100000000000001" customHeight="1">
      <c r="B134" s="361"/>
      <c r="C134" s="361"/>
      <c r="D134" s="361"/>
      <c r="E134" s="361"/>
      <c r="F134" s="361"/>
      <c r="G134" s="361"/>
    </row>
    <row r="135" spans="2:7" s="349" customFormat="1" ht="20.100000000000001" customHeight="1">
      <c r="B135" s="361"/>
      <c r="C135" s="361"/>
      <c r="D135" s="361"/>
      <c r="E135" s="361"/>
      <c r="F135" s="361"/>
      <c r="G135" s="361"/>
    </row>
    <row r="136" spans="2:7" s="349" customFormat="1" ht="20.100000000000001" customHeight="1">
      <c r="B136" s="361"/>
      <c r="C136" s="361"/>
      <c r="D136" s="361"/>
      <c r="E136" s="361"/>
      <c r="F136" s="361"/>
      <c r="G136" s="361"/>
    </row>
    <row r="137" spans="2:7" s="349" customFormat="1" ht="20.100000000000001" customHeight="1">
      <c r="B137" s="361"/>
      <c r="C137" s="361"/>
      <c r="D137" s="361"/>
      <c r="E137" s="361"/>
      <c r="F137" s="361"/>
      <c r="G137" s="361"/>
    </row>
    <row r="138" spans="2:7" s="349" customFormat="1" ht="20.100000000000001" customHeight="1">
      <c r="B138" s="361"/>
      <c r="C138" s="361"/>
      <c r="D138" s="361"/>
      <c r="E138" s="361"/>
      <c r="F138" s="361"/>
      <c r="G138" s="361"/>
    </row>
    <row r="139" spans="2:7" s="349" customFormat="1" ht="20.100000000000001" customHeight="1">
      <c r="B139" s="361"/>
      <c r="C139" s="361"/>
      <c r="D139" s="361"/>
      <c r="E139" s="361"/>
      <c r="F139" s="361"/>
      <c r="G139" s="361"/>
    </row>
    <row r="140" spans="2:7" s="349" customFormat="1" ht="20.100000000000001" customHeight="1">
      <c r="B140" s="361"/>
      <c r="C140" s="361"/>
      <c r="D140" s="361"/>
      <c r="E140" s="361"/>
      <c r="F140" s="361"/>
      <c r="G140" s="361"/>
    </row>
    <row r="141" spans="2:7" s="349" customFormat="1" ht="20.100000000000001" customHeight="1">
      <c r="B141" s="361"/>
      <c r="C141" s="361"/>
      <c r="D141" s="361"/>
      <c r="E141" s="361"/>
      <c r="F141" s="361"/>
      <c r="G141" s="361"/>
    </row>
    <row r="142" spans="2:7" s="349" customFormat="1" ht="20.100000000000001" customHeight="1">
      <c r="B142" s="361"/>
      <c r="C142" s="361"/>
      <c r="D142" s="361"/>
      <c r="E142" s="361"/>
      <c r="F142" s="361"/>
      <c r="G142" s="361"/>
    </row>
    <row r="143" spans="2:7" s="349" customFormat="1" ht="20.100000000000001" customHeight="1">
      <c r="B143" s="361"/>
      <c r="C143" s="361"/>
      <c r="D143" s="361"/>
      <c r="E143" s="361"/>
      <c r="F143" s="361"/>
      <c r="G143" s="361"/>
    </row>
    <row r="144" spans="2:7" s="349" customFormat="1" ht="20.100000000000001" customHeight="1">
      <c r="B144" s="361"/>
      <c r="C144" s="361"/>
      <c r="D144" s="361"/>
      <c r="E144" s="361"/>
      <c r="F144" s="361"/>
      <c r="G144" s="361"/>
    </row>
    <row r="145" spans="2:7" s="349" customFormat="1" ht="20.100000000000001" customHeight="1">
      <c r="B145" s="361"/>
      <c r="C145" s="361"/>
      <c r="D145" s="361"/>
      <c r="E145" s="361"/>
      <c r="F145" s="361"/>
      <c r="G145" s="361"/>
    </row>
    <row r="146" spans="2:7" s="349" customFormat="1" ht="20.100000000000001" customHeight="1">
      <c r="B146" s="361"/>
      <c r="C146" s="361"/>
      <c r="D146" s="361"/>
      <c r="E146" s="361"/>
      <c r="F146" s="361"/>
      <c r="G146" s="361"/>
    </row>
    <row r="147" spans="2:7" s="349" customFormat="1" ht="20.100000000000001" customHeight="1">
      <c r="B147" s="361"/>
      <c r="C147" s="361"/>
      <c r="D147" s="361"/>
      <c r="E147" s="361"/>
      <c r="F147" s="361"/>
      <c r="G147" s="361"/>
    </row>
    <row r="148" spans="2:7" s="349" customFormat="1" ht="20.100000000000001" customHeight="1">
      <c r="B148" s="361"/>
      <c r="C148" s="361"/>
      <c r="D148" s="361"/>
      <c r="E148" s="361"/>
      <c r="F148" s="361"/>
      <c r="G148" s="361"/>
    </row>
    <row r="149" spans="2:7" s="349" customFormat="1" ht="19.899999999999999" customHeight="1">
      <c r="B149" s="361"/>
      <c r="C149" s="361"/>
      <c r="D149" s="361"/>
      <c r="E149" s="361"/>
      <c r="F149" s="361"/>
      <c r="G149" s="361"/>
    </row>
    <row r="150" spans="2:7" s="349" customFormat="1" ht="20.100000000000001" customHeight="1">
      <c r="B150" s="361"/>
      <c r="C150" s="361"/>
      <c r="D150" s="361"/>
      <c r="E150" s="361"/>
      <c r="F150" s="361"/>
      <c r="G150" s="361"/>
    </row>
    <row r="151" spans="2:7" s="349" customFormat="1" ht="20.100000000000001" customHeight="1">
      <c r="B151" s="361"/>
      <c r="C151" s="361"/>
      <c r="D151" s="361"/>
      <c r="E151" s="361"/>
      <c r="F151" s="361"/>
      <c r="G151" s="361"/>
    </row>
    <row r="152" spans="2:7" s="349" customFormat="1" ht="20.100000000000001" customHeight="1">
      <c r="B152" s="361"/>
      <c r="C152" s="361"/>
      <c r="D152" s="361"/>
      <c r="E152" s="361"/>
      <c r="F152" s="361"/>
      <c r="G152" s="361"/>
    </row>
    <row r="153" spans="2:7" s="349" customFormat="1" ht="20.100000000000001" customHeight="1">
      <c r="B153" s="361"/>
      <c r="C153" s="361"/>
      <c r="D153" s="361"/>
      <c r="E153" s="361"/>
      <c r="F153" s="361"/>
      <c r="G153" s="361"/>
    </row>
    <row r="154" spans="2:7" s="349" customFormat="1" ht="20.100000000000001" customHeight="1">
      <c r="B154" s="361"/>
      <c r="C154" s="361"/>
      <c r="D154" s="361"/>
      <c r="E154" s="361"/>
      <c r="F154" s="361"/>
      <c r="G154" s="361"/>
    </row>
    <row r="155" spans="2:7" s="349" customFormat="1" ht="20.100000000000001" customHeight="1">
      <c r="B155" s="361"/>
      <c r="C155" s="361"/>
      <c r="D155" s="361"/>
      <c r="E155" s="361"/>
      <c r="F155" s="361"/>
      <c r="G155" s="361"/>
    </row>
    <row r="156" spans="2:7" s="349" customFormat="1" ht="20.100000000000001" customHeight="1">
      <c r="B156" s="361"/>
      <c r="C156" s="361"/>
      <c r="D156" s="361"/>
      <c r="E156" s="361"/>
      <c r="F156" s="361"/>
      <c r="G156" s="361"/>
    </row>
    <row r="157" spans="2:7" s="349" customFormat="1" ht="20.100000000000001" customHeight="1">
      <c r="B157" s="361"/>
      <c r="C157" s="361"/>
      <c r="D157" s="361"/>
      <c r="E157" s="361"/>
      <c r="F157" s="361"/>
      <c r="G157" s="361"/>
    </row>
    <row r="158" spans="2:7" s="349" customFormat="1" ht="20.100000000000001" customHeight="1">
      <c r="B158" s="361"/>
      <c r="C158" s="361"/>
      <c r="D158" s="361"/>
      <c r="E158" s="361"/>
      <c r="F158" s="361"/>
      <c r="G158" s="361"/>
    </row>
    <row r="159" spans="2:7" s="349" customFormat="1" ht="20.100000000000001" customHeight="1">
      <c r="B159" s="361"/>
      <c r="C159" s="361"/>
      <c r="D159" s="361"/>
      <c r="E159" s="361"/>
      <c r="F159" s="361"/>
      <c r="G159" s="361"/>
    </row>
    <row r="160" spans="2:7" s="349" customFormat="1" ht="20.100000000000001" customHeight="1">
      <c r="B160" s="361"/>
      <c r="C160" s="361"/>
      <c r="D160" s="361"/>
      <c r="E160" s="361"/>
      <c r="F160" s="361"/>
      <c r="G160" s="361"/>
    </row>
    <row r="161" spans="2:7" ht="20.100000000000001" customHeight="1"/>
    <row r="162" spans="2:7" ht="9.9499999999999993" customHeight="1"/>
    <row r="163" spans="2:7" ht="20.100000000000001" customHeight="1"/>
    <row r="164" spans="2:7" ht="20.100000000000001" customHeight="1"/>
    <row r="165" spans="2:7" ht="20.100000000000001" customHeight="1"/>
    <row r="166" spans="2:7" s="349" customFormat="1" ht="20.100000000000001" customHeight="1">
      <c r="B166" s="361"/>
      <c r="C166" s="361"/>
      <c r="D166" s="361"/>
      <c r="E166" s="361"/>
      <c r="F166" s="361"/>
      <c r="G166" s="361"/>
    </row>
    <row r="167" spans="2:7" s="349" customFormat="1" ht="20.100000000000001" customHeight="1">
      <c r="B167" s="361"/>
      <c r="C167" s="361"/>
      <c r="D167" s="361"/>
      <c r="E167" s="361"/>
      <c r="F167" s="361"/>
      <c r="G167" s="361"/>
    </row>
    <row r="168" spans="2:7" s="349" customFormat="1" ht="20.100000000000001" customHeight="1">
      <c r="B168" s="361"/>
      <c r="C168" s="361"/>
      <c r="D168" s="361"/>
      <c r="E168" s="361"/>
      <c r="F168" s="361"/>
      <c r="G168" s="361"/>
    </row>
    <row r="169" spans="2:7" s="349" customFormat="1" ht="20.100000000000001" customHeight="1">
      <c r="B169" s="361"/>
      <c r="C169" s="361"/>
      <c r="D169" s="361"/>
      <c r="E169" s="361"/>
      <c r="F169" s="361"/>
      <c r="G169" s="361"/>
    </row>
    <row r="170" spans="2:7" s="349" customFormat="1" ht="20.100000000000001" customHeight="1">
      <c r="B170" s="361"/>
      <c r="C170" s="361"/>
      <c r="D170" s="361"/>
      <c r="E170" s="361"/>
      <c r="F170" s="361"/>
      <c r="G170" s="361"/>
    </row>
    <row r="171" spans="2:7" s="349" customFormat="1" ht="20.100000000000001" customHeight="1">
      <c r="B171" s="361"/>
      <c r="C171" s="361"/>
      <c r="D171" s="361"/>
      <c r="E171" s="361"/>
      <c r="F171" s="361"/>
      <c r="G171" s="361"/>
    </row>
    <row r="172" spans="2:7" s="349" customFormat="1" ht="20.100000000000001" customHeight="1">
      <c r="B172" s="361"/>
      <c r="C172" s="361"/>
      <c r="D172" s="361"/>
      <c r="E172" s="361"/>
      <c r="F172" s="361"/>
      <c r="G172" s="361"/>
    </row>
    <row r="173" spans="2:7" s="349" customFormat="1" ht="20.100000000000001" customHeight="1">
      <c r="B173" s="361"/>
      <c r="C173" s="361"/>
      <c r="D173" s="361"/>
      <c r="E173" s="361"/>
      <c r="F173" s="361"/>
      <c r="G173" s="361"/>
    </row>
    <row r="174" spans="2:7" s="349" customFormat="1" ht="20.100000000000001" customHeight="1">
      <c r="B174" s="361"/>
      <c r="C174" s="361"/>
      <c r="D174" s="361"/>
      <c r="E174" s="361"/>
      <c r="F174" s="361"/>
      <c r="G174" s="361"/>
    </row>
    <row r="175" spans="2:7" s="349" customFormat="1" ht="20.100000000000001" customHeight="1">
      <c r="B175" s="361"/>
      <c r="C175" s="361"/>
      <c r="D175" s="361"/>
      <c r="E175" s="361"/>
      <c r="F175" s="361"/>
      <c r="G175" s="361"/>
    </row>
    <row r="176" spans="2:7" s="349" customFormat="1" ht="20.100000000000001" customHeight="1">
      <c r="B176" s="361"/>
      <c r="C176" s="361"/>
      <c r="D176" s="361"/>
      <c r="E176" s="361"/>
      <c r="F176" s="361"/>
      <c r="G176" s="361"/>
    </row>
    <row r="177" spans="2:7" s="349" customFormat="1" ht="20.100000000000001" customHeight="1">
      <c r="B177" s="361"/>
      <c r="C177" s="361"/>
      <c r="D177" s="361"/>
      <c r="E177" s="361"/>
      <c r="F177" s="361"/>
      <c r="G177" s="361"/>
    </row>
    <row r="178" spans="2:7" s="349" customFormat="1" ht="20.100000000000001" customHeight="1">
      <c r="B178" s="361"/>
      <c r="C178" s="361"/>
      <c r="D178" s="361"/>
      <c r="E178" s="361"/>
      <c r="F178" s="361"/>
      <c r="G178" s="361"/>
    </row>
    <row r="179" spans="2:7" s="349" customFormat="1" ht="20.100000000000001" customHeight="1">
      <c r="B179" s="361"/>
      <c r="C179" s="361"/>
      <c r="D179" s="361"/>
      <c r="E179" s="361"/>
      <c r="F179" s="361"/>
      <c r="G179" s="361"/>
    </row>
    <row r="180" spans="2:7" s="349" customFormat="1" ht="20.100000000000001" customHeight="1">
      <c r="B180" s="361"/>
      <c r="C180" s="361"/>
      <c r="D180" s="361"/>
      <c r="E180" s="361"/>
      <c r="F180" s="361"/>
      <c r="G180" s="361"/>
    </row>
    <row r="181" spans="2:7" s="349" customFormat="1" ht="20.100000000000001" customHeight="1">
      <c r="B181" s="361"/>
      <c r="C181" s="361"/>
      <c r="D181" s="361"/>
      <c r="E181" s="361"/>
      <c r="F181" s="361"/>
      <c r="G181" s="361"/>
    </row>
    <row r="182" spans="2:7" s="349" customFormat="1" ht="20.100000000000001" customHeight="1">
      <c r="B182" s="361"/>
      <c r="C182" s="361"/>
      <c r="D182" s="361"/>
      <c r="E182" s="361"/>
      <c r="F182" s="361"/>
      <c r="G182" s="361"/>
    </row>
    <row r="183" spans="2:7" s="349" customFormat="1" ht="20.100000000000001" customHeight="1">
      <c r="B183" s="361"/>
      <c r="C183" s="361"/>
      <c r="D183" s="361"/>
      <c r="E183" s="361"/>
      <c r="F183" s="361"/>
      <c r="G183" s="361"/>
    </row>
    <row r="184" spans="2:7" s="349" customFormat="1" ht="20.100000000000001" customHeight="1">
      <c r="B184" s="361"/>
      <c r="C184" s="361"/>
      <c r="D184" s="361"/>
      <c r="E184" s="361"/>
      <c r="F184" s="361"/>
      <c r="G184" s="361"/>
    </row>
    <row r="185" spans="2:7" s="349" customFormat="1" ht="20.100000000000001" customHeight="1">
      <c r="B185" s="361"/>
      <c r="C185" s="361"/>
      <c r="D185" s="361"/>
      <c r="E185" s="361"/>
      <c r="F185" s="361"/>
      <c r="G185" s="361"/>
    </row>
    <row r="186" spans="2:7" s="349" customFormat="1" ht="20.100000000000001" customHeight="1">
      <c r="B186" s="361"/>
      <c r="C186" s="361"/>
      <c r="D186" s="361"/>
      <c r="E186" s="361"/>
      <c r="F186" s="361"/>
      <c r="G186" s="361"/>
    </row>
    <row r="187" spans="2:7" s="349" customFormat="1" ht="20.100000000000001" customHeight="1">
      <c r="B187" s="361"/>
      <c r="C187" s="361"/>
      <c r="D187" s="361"/>
      <c r="E187" s="361"/>
      <c r="F187" s="361"/>
      <c r="G187" s="361"/>
    </row>
    <row r="188" spans="2:7" s="349" customFormat="1" ht="20.100000000000001" customHeight="1">
      <c r="B188" s="361"/>
      <c r="C188" s="361"/>
      <c r="D188" s="361"/>
      <c r="E188" s="361"/>
      <c r="F188" s="361"/>
      <c r="G188" s="361"/>
    </row>
    <row r="189" spans="2:7" s="349" customFormat="1" ht="20.100000000000001" customHeight="1">
      <c r="B189" s="361"/>
      <c r="C189" s="361"/>
      <c r="D189" s="361"/>
      <c r="E189" s="361"/>
      <c r="F189" s="361"/>
      <c r="G189" s="361"/>
    </row>
    <row r="190" spans="2:7" s="349" customFormat="1" ht="20.100000000000001" customHeight="1">
      <c r="B190" s="361"/>
      <c r="C190" s="361"/>
      <c r="D190" s="361"/>
      <c r="E190" s="361"/>
      <c r="F190" s="361"/>
      <c r="G190" s="361"/>
    </row>
    <row r="191" spans="2:7" s="349" customFormat="1" ht="20.100000000000001" customHeight="1">
      <c r="B191" s="361"/>
      <c r="C191" s="361"/>
      <c r="D191" s="361"/>
      <c r="E191" s="361"/>
      <c r="F191" s="361"/>
      <c r="G191" s="361"/>
    </row>
    <row r="192" spans="2:7" s="349" customFormat="1" ht="20.100000000000001" customHeight="1">
      <c r="B192" s="361"/>
      <c r="C192" s="361"/>
      <c r="D192" s="361"/>
      <c r="E192" s="361"/>
      <c r="F192" s="361"/>
      <c r="G192" s="361"/>
    </row>
    <row r="193" spans="2:7" s="349" customFormat="1" ht="20.100000000000001" customHeight="1">
      <c r="B193" s="361"/>
      <c r="C193" s="361"/>
      <c r="D193" s="361"/>
      <c r="E193" s="361"/>
      <c r="F193" s="361"/>
      <c r="G193" s="361"/>
    </row>
    <row r="194" spans="2:7" s="349" customFormat="1" ht="20.100000000000001" customHeight="1">
      <c r="B194" s="361"/>
      <c r="C194" s="361"/>
      <c r="D194" s="361"/>
      <c r="E194" s="361"/>
      <c r="F194" s="361"/>
      <c r="G194" s="361"/>
    </row>
    <row r="195" spans="2:7" s="349" customFormat="1" ht="20.100000000000001" customHeight="1">
      <c r="B195" s="361"/>
      <c r="C195" s="361"/>
      <c r="D195" s="361"/>
      <c r="E195" s="361"/>
      <c r="F195" s="361"/>
      <c r="G195" s="361"/>
    </row>
    <row r="196" spans="2:7" s="349" customFormat="1" ht="20.100000000000001" customHeight="1">
      <c r="B196" s="361"/>
      <c r="C196" s="361"/>
      <c r="D196" s="361"/>
      <c r="E196" s="361"/>
      <c r="F196" s="361"/>
      <c r="G196" s="361"/>
    </row>
    <row r="197" spans="2:7" s="349" customFormat="1" ht="20.100000000000001" customHeight="1">
      <c r="B197" s="361"/>
      <c r="C197" s="361"/>
      <c r="D197" s="361"/>
      <c r="E197" s="361"/>
      <c r="F197" s="361"/>
      <c r="G197" s="361"/>
    </row>
    <row r="198" spans="2:7" s="349" customFormat="1" ht="20.100000000000001" customHeight="1">
      <c r="B198" s="361"/>
      <c r="C198" s="361"/>
      <c r="D198" s="361"/>
      <c r="E198" s="361"/>
      <c r="F198" s="361"/>
      <c r="G198" s="361"/>
    </row>
    <row r="199" spans="2:7" s="349" customFormat="1" ht="20.100000000000001" customHeight="1">
      <c r="B199" s="361"/>
      <c r="C199" s="361"/>
      <c r="D199" s="361"/>
      <c r="E199" s="361"/>
      <c r="F199" s="361"/>
      <c r="G199" s="361"/>
    </row>
    <row r="200" spans="2:7" s="349" customFormat="1" ht="20.100000000000001" customHeight="1">
      <c r="B200" s="361"/>
      <c r="C200" s="361"/>
      <c r="D200" s="361"/>
      <c r="E200" s="361"/>
      <c r="F200" s="361"/>
      <c r="G200" s="361"/>
    </row>
    <row r="201" spans="2:7" s="349" customFormat="1" ht="20.100000000000001" customHeight="1">
      <c r="B201" s="361"/>
      <c r="C201" s="361"/>
      <c r="D201" s="361"/>
      <c r="E201" s="361"/>
      <c r="F201" s="361"/>
      <c r="G201" s="361"/>
    </row>
    <row r="202" spans="2:7" s="349" customFormat="1" ht="20.100000000000001" customHeight="1">
      <c r="B202" s="361"/>
      <c r="C202" s="361"/>
      <c r="D202" s="361"/>
      <c r="E202" s="361"/>
      <c r="F202" s="361"/>
      <c r="G202" s="361"/>
    </row>
    <row r="203" spans="2:7" ht="20.100000000000001" customHeight="1"/>
    <row r="204" spans="2:7" ht="9.9499999999999993" customHeight="1"/>
    <row r="205" spans="2:7" ht="20.100000000000001" customHeight="1"/>
    <row r="206" spans="2:7" ht="20.100000000000001" customHeight="1"/>
    <row r="207" spans="2:7" ht="20.100000000000001" customHeight="1"/>
    <row r="208" spans="2:7" ht="20.100000000000001" customHeight="1"/>
    <row r="209" spans="2:7" s="349" customFormat="1" ht="20.100000000000001" customHeight="1">
      <c r="B209" s="361"/>
      <c r="C209" s="361"/>
      <c r="D209" s="361"/>
      <c r="E209" s="361"/>
      <c r="F209" s="361"/>
      <c r="G209" s="361"/>
    </row>
    <row r="210" spans="2:7" s="349" customFormat="1" ht="20.100000000000001" customHeight="1">
      <c r="B210" s="361"/>
      <c r="C210" s="361"/>
      <c r="D210" s="361"/>
      <c r="E210" s="361"/>
      <c r="F210" s="361"/>
      <c r="G210" s="361"/>
    </row>
    <row r="211" spans="2:7" s="349" customFormat="1" ht="20.100000000000001" customHeight="1">
      <c r="B211" s="361"/>
      <c r="C211" s="361"/>
      <c r="D211" s="361"/>
      <c r="E211" s="361"/>
      <c r="F211" s="361"/>
      <c r="G211" s="361"/>
    </row>
    <row r="212" spans="2:7" s="349" customFormat="1" ht="20.100000000000001" customHeight="1">
      <c r="B212" s="361"/>
      <c r="C212" s="361"/>
      <c r="D212" s="361"/>
      <c r="E212" s="361"/>
      <c r="F212" s="361"/>
      <c r="G212" s="361"/>
    </row>
    <row r="213" spans="2:7" s="349" customFormat="1" ht="20.100000000000001" customHeight="1">
      <c r="B213" s="361"/>
      <c r="C213" s="361"/>
      <c r="D213" s="361"/>
      <c r="E213" s="361"/>
      <c r="F213" s="361"/>
      <c r="G213" s="361"/>
    </row>
    <row r="214" spans="2:7" s="349" customFormat="1" ht="20.100000000000001" customHeight="1">
      <c r="B214" s="361"/>
      <c r="C214" s="361"/>
      <c r="D214" s="361"/>
      <c r="E214" s="361"/>
      <c r="F214" s="361"/>
      <c r="G214" s="361"/>
    </row>
    <row r="215" spans="2:7" s="349" customFormat="1" ht="20.100000000000001" customHeight="1">
      <c r="B215" s="361"/>
      <c r="C215" s="361"/>
      <c r="D215" s="361"/>
      <c r="E215" s="361"/>
      <c r="F215" s="361"/>
      <c r="G215" s="361"/>
    </row>
    <row r="216" spans="2:7" s="349" customFormat="1" ht="20.100000000000001" customHeight="1">
      <c r="B216" s="361"/>
      <c r="C216" s="361"/>
      <c r="D216" s="361"/>
      <c r="E216" s="361"/>
      <c r="F216" s="361"/>
      <c r="G216" s="361"/>
    </row>
    <row r="217" spans="2:7" s="349" customFormat="1" ht="20.100000000000001" customHeight="1">
      <c r="B217" s="361"/>
      <c r="C217" s="361"/>
      <c r="D217" s="361"/>
      <c r="E217" s="361"/>
      <c r="F217" s="361"/>
      <c r="G217" s="361"/>
    </row>
    <row r="218" spans="2:7" s="349" customFormat="1" ht="20.100000000000001" customHeight="1">
      <c r="B218" s="361"/>
      <c r="C218" s="361"/>
      <c r="D218" s="361"/>
      <c r="E218" s="361"/>
      <c r="F218" s="361"/>
      <c r="G218" s="361"/>
    </row>
    <row r="219" spans="2:7" s="349" customFormat="1" ht="20.100000000000001" customHeight="1">
      <c r="B219" s="361"/>
      <c r="C219" s="361"/>
      <c r="D219" s="361"/>
      <c r="E219" s="361"/>
      <c r="F219" s="361"/>
      <c r="G219" s="361"/>
    </row>
    <row r="220" spans="2:7" s="349" customFormat="1" ht="20.100000000000001" customHeight="1">
      <c r="B220" s="361"/>
      <c r="C220" s="361"/>
      <c r="D220" s="361"/>
      <c r="E220" s="361"/>
      <c r="F220" s="361"/>
      <c r="G220" s="361"/>
    </row>
    <row r="221" spans="2:7" s="349" customFormat="1" ht="20.100000000000001" customHeight="1">
      <c r="B221" s="361"/>
      <c r="C221" s="361"/>
      <c r="D221" s="361"/>
      <c r="E221" s="361"/>
      <c r="F221" s="361"/>
      <c r="G221" s="361"/>
    </row>
    <row r="222" spans="2:7" s="349" customFormat="1" ht="20.100000000000001" customHeight="1">
      <c r="B222" s="361"/>
      <c r="C222" s="361"/>
      <c r="D222" s="361"/>
      <c r="E222" s="361"/>
      <c r="F222" s="361"/>
      <c r="G222" s="361"/>
    </row>
    <row r="223" spans="2:7" s="349" customFormat="1" ht="20.100000000000001" customHeight="1">
      <c r="B223" s="361"/>
      <c r="C223" s="361"/>
      <c r="D223" s="361"/>
      <c r="E223" s="361"/>
      <c r="F223" s="361"/>
      <c r="G223" s="361"/>
    </row>
    <row r="224" spans="2:7" s="349" customFormat="1" ht="20.100000000000001" customHeight="1">
      <c r="B224" s="361"/>
      <c r="C224" s="361"/>
      <c r="D224" s="361"/>
      <c r="E224" s="361"/>
      <c r="F224" s="361"/>
      <c r="G224" s="361"/>
    </row>
    <row r="225" spans="2:7" s="349" customFormat="1" ht="19.899999999999999" customHeight="1">
      <c r="B225" s="361"/>
      <c r="C225" s="361"/>
      <c r="D225" s="361"/>
      <c r="E225" s="361"/>
      <c r="F225" s="361"/>
      <c r="G225" s="361"/>
    </row>
    <row r="226" spans="2:7" s="349" customFormat="1" ht="20.100000000000001" customHeight="1">
      <c r="B226" s="361"/>
      <c r="C226" s="361"/>
      <c r="D226" s="361"/>
      <c r="E226" s="361"/>
      <c r="F226" s="361"/>
      <c r="G226" s="361"/>
    </row>
    <row r="227" spans="2:7" s="349" customFormat="1" ht="20.100000000000001" customHeight="1">
      <c r="B227" s="361"/>
      <c r="C227" s="361"/>
      <c r="D227" s="361"/>
      <c r="E227" s="361"/>
      <c r="F227" s="361"/>
      <c r="G227" s="361"/>
    </row>
    <row r="228" spans="2:7" s="349" customFormat="1" ht="20.100000000000001" customHeight="1">
      <c r="B228" s="361"/>
      <c r="C228" s="361"/>
      <c r="D228" s="361"/>
      <c r="E228" s="361"/>
      <c r="F228" s="361"/>
      <c r="G228" s="361"/>
    </row>
    <row r="229" spans="2:7" s="349" customFormat="1" ht="20.100000000000001" customHeight="1">
      <c r="B229" s="361"/>
      <c r="C229" s="361"/>
      <c r="D229" s="361"/>
      <c r="E229" s="361"/>
      <c r="F229" s="361"/>
      <c r="G229" s="361"/>
    </row>
    <row r="230" spans="2:7" s="349" customFormat="1" ht="20.100000000000001" customHeight="1">
      <c r="B230" s="361"/>
      <c r="C230" s="361"/>
      <c r="D230" s="361"/>
      <c r="E230" s="361"/>
      <c r="F230" s="361"/>
      <c r="G230" s="361"/>
    </row>
    <row r="231" spans="2:7" s="349" customFormat="1" ht="20.100000000000001" customHeight="1">
      <c r="B231" s="361"/>
      <c r="C231" s="361"/>
      <c r="D231" s="361"/>
      <c r="E231" s="361"/>
      <c r="F231" s="361"/>
      <c r="G231" s="361"/>
    </row>
    <row r="232" spans="2:7" s="349" customFormat="1" ht="20.100000000000001" customHeight="1">
      <c r="B232" s="361"/>
      <c r="C232" s="361"/>
      <c r="D232" s="361"/>
      <c r="E232" s="361"/>
      <c r="F232" s="361"/>
      <c r="G232" s="361"/>
    </row>
    <row r="233" spans="2:7" s="349" customFormat="1" ht="20.100000000000001" customHeight="1">
      <c r="B233" s="361"/>
      <c r="C233" s="361"/>
      <c r="D233" s="361"/>
      <c r="E233" s="361"/>
      <c r="F233" s="361"/>
      <c r="G233" s="361"/>
    </row>
    <row r="234" spans="2:7" s="349" customFormat="1" ht="20.100000000000001" customHeight="1">
      <c r="B234" s="361"/>
      <c r="C234" s="361"/>
      <c r="D234" s="361"/>
      <c r="E234" s="361"/>
      <c r="F234" s="361"/>
      <c r="G234" s="361"/>
    </row>
    <row r="235" spans="2:7" s="349" customFormat="1" ht="20.100000000000001" customHeight="1">
      <c r="B235" s="361"/>
      <c r="C235" s="361"/>
      <c r="D235" s="361"/>
      <c r="E235" s="361"/>
      <c r="F235" s="361"/>
      <c r="G235" s="361"/>
    </row>
    <row r="236" spans="2:7" s="349" customFormat="1" ht="20.100000000000001" customHeight="1">
      <c r="B236" s="361"/>
      <c r="C236" s="361"/>
      <c r="D236" s="361"/>
      <c r="E236" s="361"/>
      <c r="F236" s="361"/>
      <c r="G236" s="361"/>
    </row>
    <row r="237" spans="2:7" s="349" customFormat="1" ht="20.100000000000001" customHeight="1">
      <c r="B237" s="361"/>
      <c r="C237" s="361"/>
      <c r="D237" s="361"/>
      <c r="E237" s="361"/>
      <c r="F237" s="361"/>
      <c r="G237" s="361"/>
    </row>
    <row r="238" spans="2:7" s="349" customFormat="1" ht="20.100000000000001" customHeight="1">
      <c r="B238" s="361"/>
      <c r="C238" s="361"/>
      <c r="D238" s="361"/>
      <c r="E238" s="361"/>
      <c r="F238" s="361"/>
      <c r="G238" s="361"/>
    </row>
    <row r="239" spans="2:7" s="349" customFormat="1" ht="20.100000000000001" customHeight="1">
      <c r="B239" s="361"/>
      <c r="C239" s="361"/>
      <c r="D239" s="361"/>
      <c r="E239" s="361"/>
      <c r="F239" s="361"/>
      <c r="G239" s="361"/>
    </row>
    <row r="240" spans="2:7" s="349" customFormat="1" ht="20.100000000000001" customHeight="1">
      <c r="B240" s="361"/>
      <c r="C240" s="361"/>
      <c r="D240" s="361"/>
      <c r="E240" s="361"/>
      <c r="F240" s="361"/>
      <c r="G240" s="361"/>
    </row>
    <row r="241" spans="2:7" s="349" customFormat="1" ht="20.100000000000001" customHeight="1">
      <c r="B241" s="361"/>
      <c r="C241" s="361"/>
      <c r="D241" s="361"/>
      <c r="E241" s="361"/>
      <c r="F241" s="361"/>
      <c r="G241" s="361"/>
    </row>
    <row r="242" spans="2:7" s="349" customFormat="1" ht="20.100000000000001" customHeight="1">
      <c r="B242" s="361"/>
      <c r="C242" s="361"/>
      <c r="D242" s="361"/>
      <c r="E242" s="361"/>
      <c r="F242" s="361"/>
      <c r="G242" s="361"/>
    </row>
    <row r="243" spans="2:7" s="349" customFormat="1" ht="20.100000000000001" customHeight="1">
      <c r="B243" s="361"/>
      <c r="C243" s="361"/>
      <c r="D243" s="361"/>
      <c r="E243" s="361"/>
      <c r="F243" s="361"/>
      <c r="G243" s="361"/>
    </row>
    <row r="244" spans="2:7" s="349" customFormat="1" ht="20.100000000000001" customHeight="1">
      <c r="B244" s="361"/>
      <c r="C244" s="361"/>
      <c r="D244" s="361"/>
      <c r="E244" s="361"/>
      <c r="F244" s="361"/>
      <c r="G244" s="361"/>
    </row>
    <row r="245" spans="2:7" s="349" customFormat="1" ht="20.100000000000001" customHeight="1">
      <c r="B245" s="361"/>
      <c r="C245" s="361"/>
      <c r="D245" s="361"/>
      <c r="E245" s="361"/>
      <c r="F245" s="361"/>
      <c r="G245" s="361"/>
    </row>
    <row r="246" spans="2:7" ht="20.100000000000001" customHeight="1"/>
    <row r="247" spans="2:7" ht="9.9499999999999993" customHeight="1"/>
    <row r="248" spans="2:7" ht="20.100000000000001" customHeight="1"/>
    <row r="249" spans="2:7" ht="20.100000000000001" customHeight="1"/>
    <row r="250" spans="2:7" ht="20.100000000000001" customHeight="1"/>
    <row r="251" spans="2:7" s="349" customFormat="1" ht="20.100000000000001" customHeight="1">
      <c r="B251" s="361"/>
      <c r="C251" s="361"/>
      <c r="D251" s="361"/>
      <c r="E251" s="361"/>
      <c r="F251" s="361"/>
      <c r="G251" s="361"/>
    </row>
    <row r="252" spans="2:7" s="349" customFormat="1" ht="20.100000000000001" customHeight="1">
      <c r="B252" s="361"/>
      <c r="C252" s="361"/>
      <c r="D252" s="361"/>
      <c r="E252" s="361"/>
      <c r="F252" s="361"/>
      <c r="G252" s="361"/>
    </row>
    <row r="253" spans="2:7" s="349" customFormat="1" ht="20.100000000000001" customHeight="1">
      <c r="B253" s="361"/>
      <c r="C253" s="361"/>
      <c r="D253" s="361"/>
      <c r="E253" s="361"/>
      <c r="F253" s="361"/>
      <c r="G253" s="361"/>
    </row>
    <row r="254" spans="2:7" s="349" customFormat="1" ht="20.100000000000001" customHeight="1">
      <c r="B254" s="361"/>
      <c r="C254" s="361"/>
      <c r="D254" s="361"/>
      <c r="E254" s="361"/>
      <c r="F254" s="361"/>
      <c r="G254" s="361"/>
    </row>
    <row r="255" spans="2:7" s="349" customFormat="1" ht="20.100000000000001" customHeight="1">
      <c r="B255" s="361"/>
      <c r="C255" s="361"/>
      <c r="D255" s="361"/>
      <c r="E255" s="361"/>
      <c r="F255" s="361"/>
      <c r="G255" s="361"/>
    </row>
    <row r="256" spans="2:7" s="349" customFormat="1" ht="20.100000000000001" customHeight="1">
      <c r="B256" s="361"/>
      <c r="C256" s="361"/>
      <c r="D256" s="361"/>
      <c r="E256" s="361"/>
      <c r="F256" s="361"/>
      <c r="G256" s="361"/>
    </row>
    <row r="257" spans="2:7" s="349" customFormat="1" ht="20.100000000000001" customHeight="1">
      <c r="B257" s="361"/>
      <c r="C257" s="361"/>
      <c r="D257" s="361"/>
      <c r="E257" s="361"/>
      <c r="F257" s="361"/>
      <c r="G257" s="361"/>
    </row>
    <row r="258" spans="2:7" s="349" customFormat="1" ht="20.100000000000001" customHeight="1">
      <c r="B258" s="361"/>
      <c r="C258" s="361"/>
      <c r="D258" s="361"/>
      <c r="E258" s="361"/>
      <c r="F258" s="361"/>
      <c r="G258" s="361"/>
    </row>
    <row r="259" spans="2:7" s="349" customFormat="1" ht="20.100000000000001" customHeight="1">
      <c r="B259" s="361"/>
      <c r="C259" s="361"/>
      <c r="D259" s="361"/>
      <c r="E259" s="361"/>
      <c r="F259" s="361"/>
      <c r="G259" s="361"/>
    </row>
    <row r="260" spans="2:7" s="349" customFormat="1" ht="20.100000000000001" customHeight="1">
      <c r="B260" s="361"/>
      <c r="C260" s="361"/>
      <c r="D260" s="361"/>
      <c r="E260" s="361"/>
      <c r="F260" s="361"/>
      <c r="G260" s="361"/>
    </row>
    <row r="261" spans="2:7" s="349" customFormat="1" ht="20.100000000000001" customHeight="1">
      <c r="B261" s="361"/>
      <c r="C261" s="361"/>
      <c r="D261" s="361"/>
      <c r="E261" s="361"/>
      <c r="F261" s="361"/>
      <c r="G261" s="361"/>
    </row>
    <row r="262" spans="2:7" s="349" customFormat="1" ht="20.100000000000001" customHeight="1">
      <c r="B262" s="361"/>
      <c r="C262" s="361"/>
      <c r="D262" s="361"/>
      <c r="E262" s="361"/>
      <c r="F262" s="361"/>
      <c r="G262" s="361"/>
    </row>
    <row r="263" spans="2:7" s="349" customFormat="1" ht="20.100000000000001" customHeight="1">
      <c r="B263" s="361"/>
      <c r="C263" s="361"/>
      <c r="D263" s="361"/>
      <c r="E263" s="361"/>
      <c r="F263" s="361"/>
      <c r="G263" s="361"/>
    </row>
    <row r="264" spans="2:7" s="349" customFormat="1" ht="20.100000000000001" customHeight="1">
      <c r="B264" s="361"/>
      <c r="C264" s="361"/>
      <c r="D264" s="361"/>
      <c r="E264" s="361"/>
      <c r="F264" s="361"/>
      <c r="G264" s="361"/>
    </row>
    <row r="265" spans="2:7" s="349" customFormat="1" ht="20.100000000000001" customHeight="1">
      <c r="B265" s="361"/>
      <c r="C265" s="361"/>
      <c r="D265" s="361"/>
      <c r="E265" s="361"/>
      <c r="F265" s="361"/>
      <c r="G265" s="361"/>
    </row>
    <row r="266" spans="2:7" s="349" customFormat="1" ht="20.100000000000001" customHeight="1">
      <c r="B266" s="361"/>
      <c r="C266" s="361"/>
      <c r="D266" s="361"/>
      <c r="E266" s="361"/>
      <c r="F266" s="361"/>
      <c r="G266" s="361"/>
    </row>
    <row r="267" spans="2:7" s="349" customFormat="1" ht="20.100000000000001" customHeight="1">
      <c r="B267" s="361"/>
      <c r="C267" s="361"/>
      <c r="D267" s="361"/>
      <c r="E267" s="361"/>
      <c r="F267" s="361"/>
      <c r="G267" s="361"/>
    </row>
    <row r="268" spans="2:7" s="349" customFormat="1" ht="20.100000000000001" customHeight="1">
      <c r="B268" s="361"/>
      <c r="C268" s="361"/>
      <c r="D268" s="361"/>
      <c r="E268" s="361"/>
      <c r="F268" s="361"/>
      <c r="G268" s="361"/>
    </row>
    <row r="269" spans="2:7" s="349" customFormat="1" ht="20.100000000000001" customHeight="1">
      <c r="B269" s="361"/>
      <c r="C269" s="361"/>
      <c r="D269" s="361"/>
      <c r="E269" s="361"/>
      <c r="F269" s="361"/>
      <c r="G269" s="361"/>
    </row>
    <row r="270" spans="2:7" s="349" customFormat="1" ht="20.100000000000001" customHeight="1">
      <c r="B270" s="361"/>
      <c r="C270" s="361"/>
      <c r="D270" s="361"/>
      <c r="E270" s="361"/>
      <c r="F270" s="361"/>
      <c r="G270" s="361"/>
    </row>
    <row r="271" spans="2:7" s="349" customFormat="1" ht="20.100000000000001" customHeight="1">
      <c r="B271" s="361"/>
      <c r="C271" s="361"/>
      <c r="D271" s="361"/>
      <c r="E271" s="361"/>
      <c r="F271" s="361"/>
      <c r="G271" s="361"/>
    </row>
    <row r="272" spans="2:7" s="349" customFormat="1" ht="20.100000000000001" customHeight="1">
      <c r="B272" s="361"/>
      <c r="C272" s="361"/>
      <c r="D272" s="361"/>
      <c r="E272" s="361"/>
      <c r="F272" s="361"/>
      <c r="G272" s="361"/>
    </row>
    <row r="273" spans="2:7" s="349" customFormat="1" ht="20.100000000000001" customHeight="1">
      <c r="B273" s="361"/>
      <c r="C273" s="361"/>
      <c r="D273" s="361"/>
      <c r="E273" s="361"/>
      <c r="F273" s="361"/>
      <c r="G273" s="361"/>
    </row>
    <row r="274" spans="2:7" s="349" customFormat="1" ht="20.100000000000001" customHeight="1">
      <c r="B274" s="361"/>
      <c r="C274" s="361"/>
      <c r="D274" s="361"/>
      <c r="E274" s="361"/>
      <c r="F274" s="361"/>
      <c r="G274" s="361"/>
    </row>
    <row r="275" spans="2:7" s="349" customFormat="1" ht="20.100000000000001" customHeight="1">
      <c r="B275" s="361"/>
      <c r="C275" s="361"/>
      <c r="D275" s="361"/>
      <c r="E275" s="361"/>
      <c r="F275" s="361"/>
      <c r="G275" s="361"/>
    </row>
    <row r="276" spans="2:7" s="349" customFormat="1" ht="20.100000000000001" customHeight="1">
      <c r="B276" s="361"/>
      <c r="C276" s="361"/>
      <c r="D276" s="361"/>
      <c r="E276" s="361"/>
      <c r="F276" s="361"/>
      <c r="G276" s="361"/>
    </row>
    <row r="277" spans="2:7" s="349" customFormat="1" ht="20.100000000000001" customHeight="1">
      <c r="B277" s="361"/>
      <c r="C277" s="361"/>
      <c r="D277" s="361"/>
      <c r="E277" s="361"/>
      <c r="F277" s="361"/>
      <c r="G277" s="361"/>
    </row>
    <row r="278" spans="2:7" s="349" customFormat="1" ht="20.100000000000001" customHeight="1">
      <c r="B278" s="361"/>
      <c r="C278" s="361"/>
      <c r="D278" s="361"/>
      <c r="E278" s="361"/>
      <c r="F278" s="361"/>
      <c r="G278" s="361"/>
    </row>
    <row r="279" spans="2:7" s="349" customFormat="1" ht="20.100000000000001" customHeight="1">
      <c r="B279" s="361"/>
      <c r="C279" s="361"/>
      <c r="D279" s="361"/>
      <c r="E279" s="361"/>
      <c r="F279" s="361"/>
      <c r="G279" s="361"/>
    </row>
    <row r="280" spans="2:7" s="349" customFormat="1" ht="20.100000000000001" customHeight="1">
      <c r="B280" s="361"/>
      <c r="C280" s="361"/>
      <c r="D280" s="361"/>
      <c r="E280" s="361"/>
      <c r="F280" s="361"/>
      <c r="G280" s="361"/>
    </row>
    <row r="281" spans="2:7" s="349" customFormat="1" ht="20.100000000000001" customHeight="1">
      <c r="B281" s="361"/>
      <c r="C281" s="361"/>
      <c r="D281" s="361"/>
      <c r="E281" s="361"/>
      <c r="F281" s="361"/>
      <c r="G281" s="361"/>
    </row>
    <row r="282" spans="2:7" s="349" customFormat="1" ht="20.100000000000001" customHeight="1">
      <c r="B282" s="361"/>
      <c r="C282" s="361"/>
      <c r="D282" s="361"/>
      <c r="E282" s="361"/>
      <c r="F282" s="361"/>
      <c r="G282" s="361"/>
    </row>
    <row r="283" spans="2:7" s="349" customFormat="1" ht="20.100000000000001" customHeight="1">
      <c r="B283" s="361"/>
      <c r="C283" s="361"/>
      <c r="D283" s="361"/>
      <c r="E283" s="361"/>
      <c r="F283" s="361"/>
      <c r="G283" s="361"/>
    </row>
    <row r="284" spans="2:7" s="349" customFormat="1" ht="20.100000000000001" customHeight="1">
      <c r="B284" s="361"/>
      <c r="C284" s="361"/>
      <c r="D284" s="361"/>
      <c r="E284" s="361"/>
      <c r="F284" s="361"/>
      <c r="G284" s="361"/>
    </row>
    <row r="285" spans="2:7" s="349" customFormat="1" ht="20.100000000000001" customHeight="1">
      <c r="B285" s="361"/>
      <c r="C285" s="361"/>
      <c r="D285" s="361"/>
      <c r="E285" s="361"/>
      <c r="F285" s="361"/>
      <c r="G285" s="361"/>
    </row>
    <row r="286" spans="2:7" s="349" customFormat="1" ht="20.100000000000001" customHeight="1">
      <c r="B286" s="361"/>
      <c r="C286" s="361"/>
      <c r="D286" s="361"/>
      <c r="E286" s="361"/>
      <c r="F286" s="361"/>
      <c r="G286" s="361"/>
    </row>
    <row r="287" spans="2:7" s="349" customFormat="1" ht="20.100000000000001" customHeight="1">
      <c r="B287" s="361"/>
      <c r="C287" s="361"/>
      <c r="D287" s="361"/>
      <c r="E287" s="361"/>
      <c r="F287" s="361"/>
      <c r="G287" s="361"/>
    </row>
    <row r="288" spans="2:7" ht="20.100000000000001" customHeight="1"/>
    <row r="289" spans="2:7" ht="9.9499999999999993" customHeight="1"/>
    <row r="290" spans="2:7" ht="20.100000000000001" customHeight="1"/>
    <row r="291" spans="2:7" ht="20.100000000000001" customHeight="1"/>
    <row r="292" spans="2:7" ht="20.100000000000001" customHeight="1"/>
    <row r="293" spans="2:7" s="349" customFormat="1" ht="20.100000000000001" customHeight="1">
      <c r="B293" s="361"/>
      <c r="C293" s="361"/>
      <c r="D293" s="361"/>
      <c r="E293" s="361"/>
      <c r="F293" s="361"/>
      <c r="G293" s="361"/>
    </row>
    <row r="294" spans="2:7" s="349" customFormat="1" ht="20.100000000000001" customHeight="1">
      <c r="B294" s="361"/>
      <c r="C294" s="361"/>
      <c r="D294" s="361"/>
      <c r="E294" s="361"/>
      <c r="F294" s="361"/>
      <c r="G294" s="361"/>
    </row>
    <row r="295" spans="2:7" s="349" customFormat="1" ht="20.100000000000001" customHeight="1">
      <c r="B295" s="361"/>
      <c r="C295" s="361"/>
      <c r="D295" s="361"/>
      <c r="E295" s="361"/>
      <c r="F295" s="361"/>
      <c r="G295" s="361"/>
    </row>
    <row r="296" spans="2:7" s="349" customFormat="1" ht="20.100000000000001" customHeight="1">
      <c r="B296" s="361"/>
      <c r="C296" s="361"/>
      <c r="D296" s="361"/>
      <c r="E296" s="361"/>
      <c r="F296" s="361"/>
      <c r="G296" s="361"/>
    </row>
    <row r="297" spans="2:7" s="349" customFormat="1" ht="20.100000000000001" customHeight="1">
      <c r="B297" s="361"/>
      <c r="C297" s="361"/>
      <c r="D297" s="361"/>
      <c r="E297" s="361"/>
      <c r="F297" s="361"/>
      <c r="G297" s="361"/>
    </row>
    <row r="298" spans="2:7" s="349" customFormat="1" ht="20.100000000000001" customHeight="1">
      <c r="B298" s="361"/>
      <c r="C298" s="361"/>
      <c r="D298" s="361"/>
      <c r="E298" s="361"/>
      <c r="F298" s="361"/>
      <c r="G298" s="361"/>
    </row>
    <row r="299" spans="2:7" s="349" customFormat="1" ht="20.100000000000001" customHeight="1">
      <c r="B299" s="361"/>
      <c r="C299" s="361"/>
      <c r="D299" s="361"/>
      <c r="E299" s="361"/>
      <c r="F299" s="361"/>
      <c r="G299" s="361"/>
    </row>
    <row r="300" spans="2:7" s="349" customFormat="1" ht="20.100000000000001" customHeight="1">
      <c r="B300" s="361"/>
      <c r="C300" s="361"/>
      <c r="D300" s="361"/>
      <c r="E300" s="361"/>
      <c r="F300" s="361"/>
      <c r="G300" s="361"/>
    </row>
    <row r="301" spans="2:7" s="349" customFormat="1" ht="20.100000000000001" customHeight="1">
      <c r="B301" s="361"/>
      <c r="C301" s="361"/>
      <c r="D301" s="361"/>
      <c r="E301" s="361"/>
      <c r="F301" s="361"/>
      <c r="G301" s="361"/>
    </row>
    <row r="302" spans="2:7" s="349" customFormat="1" ht="20.100000000000001" customHeight="1">
      <c r="B302" s="361"/>
      <c r="C302" s="361"/>
      <c r="D302" s="361"/>
      <c r="E302" s="361"/>
      <c r="F302" s="361"/>
      <c r="G302" s="361"/>
    </row>
    <row r="303" spans="2:7" s="349" customFormat="1" ht="20.100000000000001" customHeight="1">
      <c r="B303" s="361"/>
      <c r="C303" s="361"/>
      <c r="D303" s="361"/>
      <c r="E303" s="361"/>
      <c r="F303" s="361"/>
      <c r="G303" s="361"/>
    </row>
    <row r="304" spans="2:7" s="349" customFormat="1" ht="20.100000000000001" customHeight="1">
      <c r="B304" s="361"/>
      <c r="C304" s="361"/>
      <c r="D304" s="361"/>
      <c r="E304" s="361"/>
      <c r="F304" s="361"/>
      <c r="G304" s="361"/>
    </row>
    <row r="305" spans="2:7" s="349" customFormat="1" ht="20.100000000000001" customHeight="1">
      <c r="B305" s="361"/>
      <c r="C305" s="361"/>
      <c r="D305" s="361"/>
      <c r="E305" s="361"/>
      <c r="F305" s="361"/>
      <c r="G305" s="361"/>
    </row>
    <row r="306" spans="2:7" s="349" customFormat="1" ht="20.100000000000001" customHeight="1">
      <c r="B306" s="361"/>
      <c r="C306" s="361"/>
      <c r="D306" s="361"/>
      <c r="E306" s="361"/>
      <c r="F306" s="361"/>
      <c r="G306" s="361"/>
    </row>
    <row r="307" spans="2:7" s="349" customFormat="1" ht="20.100000000000001" customHeight="1">
      <c r="B307" s="361"/>
      <c r="C307" s="361"/>
      <c r="D307" s="361"/>
      <c r="E307" s="361"/>
      <c r="F307" s="361"/>
      <c r="G307" s="361"/>
    </row>
    <row r="308" spans="2:7" s="349" customFormat="1" ht="20.100000000000001" customHeight="1">
      <c r="B308" s="361"/>
      <c r="C308" s="361"/>
      <c r="D308" s="361"/>
      <c r="E308" s="361"/>
      <c r="F308" s="361"/>
      <c r="G308" s="361"/>
    </row>
    <row r="309" spans="2:7" s="349" customFormat="1" ht="20.100000000000001" customHeight="1">
      <c r="B309" s="361"/>
      <c r="C309" s="361"/>
      <c r="D309" s="361"/>
      <c r="E309" s="361"/>
      <c r="F309" s="361"/>
      <c r="G309" s="361"/>
    </row>
    <row r="310" spans="2:7" s="349" customFormat="1" ht="20.100000000000001" customHeight="1">
      <c r="B310" s="361"/>
      <c r="C310" s="361"/>
      <c r="D310" s="361"/>
      <c r="E310" s="361"/>
      <c r="F310" s="361"/>
      <c r="G310" s="361"/>
    </row>
    <row r="311" spans="2:7" s="349" customFormat="1" ht="20.100000000000001" customHeight="1">
      <c r="B311" s="361"/>
      <c r="C311" s="361"/>
      <c r="D311" s="361"/>
      <c r="E311" s="361"/>
      <c r="F311" s="361"/>
      <c r="G311" s="361"/>
    </row>
    <row r="312" spans="2:7" s="349" customFormat="1" ht="20.100000000000001" customHeight="1">
      <c r="B312" s="361"/>
      <c r="C312" s="361"/>
      <c r="D312" s="361"/>
      <c r="E312" s="361"/>
      <c r="F312" s="361"/>
      <c r="G312" s="361"/>
    </row>
    <row r="313" spans="2:7" s="349" customFormat="1" ht="20.100000000000001" customHeight="1">
      <c r="B313" s="361"/>
      <c r="C313" s="361"/>
      <c r="D313" s="361"/>
      <c r="E313" s="361"/>
      <c r="F313" s="361"/>
      <c r="G313" s="361"/>
    </row>
    <row r="314" spans="2:7" s="349" customFormat="1" ht="20.100000000000001" customHeight="1">
      <c r="B314" s="361"/>
      <c r="C314" s="361"/>
      <c r="D314" s="361"/>
      <c r="E314" s="361"/>
      <c r="F314" s="361"/>
      <c r="G314" s="361"/>
    </row>
    <row r="315" spans="2:7" s="349" customFormat="1" ht="19.899999999999999" customHeight="1">
      <c r="B315" s="361"/>
      <c r="C315" s="361"/>
      <c r="D315" s="361"/>
      <c r="E315" s="361"/>
      <c r="F315" s="361"/>
      <c r="G315" s="361"/>
    </row>
    <row r="316" spans="2:7" s="349" customFormat="1" ht="20.100000000000001" customHeight="1">
      <c r="B316" s="361"/>
      <c r="C316" s="361"/>
      <c r="D316" s="361"/>
      <c r="E316" s="361"/>
      <c r="F316" s="361"/>
      <c r="G316" s="361"/>
    </row>
    <row r="317" spans="2:7" s="349" customFormat="1" ht="20.100000000000001" customHeight="1">
      <c r="B317" s="361"/>
      <c r="C317" s="361"/>
      <c r="D317" s="361"/>
      <c r="E317" s="361"/>
      <c r="F317" s="361"/>
      <c r="G317" s="361"/>
    </row>
    <row r="318" spans="2:7" s="349" customFormat="1" ht="20.100000000000001" customHeight="1">
      <c r="B318" s="361"/>
      <c r="C318" s="361"/>
      <c r="D318" s="361"/>
      <c r="E318" s="361"/>
      <c r="F318" s="361"/>
      <c r="G318" s="361"/>
    </row>
    <row r="319" spans="2:7" s="349" customFormat="1" ht="20.100000000000001" customHeight="1">
      <c r="B319" s="361"/>
      <c r="C319" s="361"/>
      <c r="D319" s="361"/>
      <c r="E319" s="361"/>
      <c r="F319" s="361"/>
      <c r="G319" s="361"/>
    </row>
    <row r="320" spans="2:7" s="349" customFormat="1" ht="20.100000000000001" customHeight="1">
      <c r="B320" s="361"/>
      <c r="C320" s="361"/>
      <c r="D320" s="361"/>
      <c r="E320" s="361"/>
      <c r="F320" s="361"/>
      <c r="G320" s="361"/>
    </row>
    <row r="321" spans="2:7" s="349" customFormat="1" ht="20.100000000000001" customHeight="1">
      <c r="B321" s="361"/>
      <c r="C321" s="361"/>
      <c r="D321" s="361"/>
      <c r="E321" s="361"/>
      <c r="F321" s="361"/>
      <c r="G321" s="361"/>
    </row>
    <row r="322" spans="2:7" s="349" customFormat="1" ht="20.100000000000001" customHeight="1">
      <c r="B322" s="361"/>
      <c r="C322" s="361"/>
      <c r="D322" s="361"/>
      <c r="E322" s="361"/>
      <c r="F322" s="361"/>
      <c r="G322" s="361"/>
    </row>
    <row r="323" spans="2:7" s="349" customFormat="1" ht="20.100000000000001" customHeight="1">
      <c r="B323" s="361"/>
      <c r="C323" s="361"/>
      <c r="D323" s="361"/>
      <c r="E323" s="361"/>
      <c r="F323" s="361"/>
      <c r="G323" s="361"/>
    </row>
    <row r="324" spans="2:7" s="349" customFormat="1" ht="20.100000000000001" customHeight="1">
      <c r="B324" s="361"/>
      <c r="C324" s="361"/>
      <c r="D324" s="361"/>
      <c r="E324" s="361"/>
      <c r="F324" s="361"/>
      <c r="G324" s="361"/>
    </row>
    <row r="325" spans="2:7" s="349" customFormat="1" ht="20.100000000000001" customHeight="1">
      <c r="B325" s="361"/>
      <c r="C325" s="361"/>
      <c r="D325" s="361"/>
      <c r="E325" s="361"/>
      <c r="F325" s="361"/>
      <c r="G325" s="361"/>
    </row>
    <row r="326" spans="2:7" s="349" customFormat="1" ht="20.100000000000001" customHeight="1">
      <c r="B326" s="361"/>
      <c r="C326" s="361"/>
      <c r="D326" s="361"/>
      <c r="E326" s="361"/>
      <c r="F326" s="361"/>
      <c r="G326" s="361"/>
    </row>
    <row r="327" spans="2:7" s="349" customFormat="1" ht="20.100000000000001" customHeight="1">
      <c r="B327" s="361"/>
      <c r="C327" s="361"/>
      <c r="D327" s="361"/>
      <c r="E327" s="361"/>
      <c r="F327" s="361"/>
      <c r="G327" s="361"/>
    </row>
    <row r="328" spans="2:7" s="349" customFormat="1" ht="20.100000000000001" customHeight="1">
      <c r="B328" s="361"/>
      <c r="C328" s="361"/>
      <c r="D328" s="361"/>
      <c r="E328" s="361"/>
      <c r="F328" s="361"/>
      <c r="G328" s="361"/>
    </row>
    <row r="329" spans="2:7" s="349" customFormat="1" ht="20.100000000000001" customHeight="1">
      <c r="B329" s="361"/>
      <c r="C329" s="361"/>
      <c r="D329" s="361"/>
      <c r="E329" s="361"/>
      <c r="F329" s="361"/>
      <c r="G329" s="361"/>
    </row>
    <row r="330" spans="2:7" ht="20.100000000000001" customHeight="1"/>
    <row r="331" spans="2:7" ht="9.9499999999999993" customHeight="1"/>
    <row r="332" spans="2:7" ht="20.100000000000001" customHeight="1"/>
    <row r="333" spans="2:7" ht="20.100000000000001" customHeight="1"/>
    <row r="334" spans="2:7" ht="20.100000000000001" customHeight="1"/>
    <row r="335" spans="2:7" ht="20.100000000000001" customHeight="1"/>
    <row r="336" spans="2:7" s="349" customFormat="1" ht="20.100000000000001" customHeight="1">
      <c r="B336" s="361"/>
      <c r="C336" s="361"/>
      <c r="D336" s="361"/>
      <c r="E336" s="361"/>
      <c r="F336" s="361"/>
      <c r="G336" s="361"/>
    </row>
    <row r="337" spans="2:7" s="349" customFormat="1" ht="20.100000000000001" customHeight="1">
      <c r="B337" s="361"/>
      <c r="C337" s="361"/>
      <c r="D337" s="361"/>
      <c r="E337" s="361"/>
      <c r="F337" s="361"/>
      <c r="G337" s="361"/>
    </row>
    <row r="338" spans="2:7" s="349" customFormat="1" ht="20.100000000000001" customHeight="1">
      <c r="B338" s="361"/>
      <c r="C338" s="361"/>
      <c r="D338" s="361"/>
      <c r="E338" s="361"/>
      <c r="F338" s="361"/>
      <c r="G338" s="361"/>
    </row>
    <row r="339" spans="2:7" s="349" customFormat="1" ht="20.100000000000001" customHeight="1">
      <c r="B339" s="361"/>
      <c r="C339" s="361"/>
      <c r="D339" s="361"/>
      <c r="E339" s="361"/>
      <c r="F339" s="361"/>
      <c r="G339" s="361"/>
    </row>
    <row r="340" spans="2:7" s="349" customFormat="1" ht="20.100000000000001" customHeight="1">
      <c r="B340" s="361"/>
      <c r="C340" s="361"/>
      <c r="D340" s="361"/>
      <c r="E340" s="361"/>
      <c r="F340" s="361"/>
      <c r="G340" s="361"/>
    </row>
    <row r="341" spans="2:7" s="349" customFormat="1" ht="20.100000000000001" customHeight="1">
      <c r="B341" s="361"/>
      <c r="C341" s="361"/>
      <c r="D341" s="361"/>
      <c r="E341" s="361"/>
      <c r="F341" s="361"/>
      <c r="G341" s="361"/>
    </row>
    <row r="342" spans="2:7" s="349" customFormat="1" ht="20.100000000000001" customHeight="1">
      <c r="B342" s="361"/>
      <c r="C342" s="361"/>
      <c r="D342" s="361"/>
      <c r="E342" s="361"/>
      <c r="F342" s="361"/>
      <c r="G342" s="361"/>
    </row>
    <row r="343" spans="2:7" s="349" customFormat="1" ht="20.100000000000001" customHeight="1">
      <c r="B343" s="361"/>
      <c r="C343" s="361"/>
      <c r="D343" s="361"/>
      <c r="E343" s="361"/>
      <c r="F343" s="361"/>
      <c r="G343" s="361"/>
    </row>
    <row r="344" spans="2:7" s="349" customFormat="1" ht="20.100000000000001" customHeight="1">
      <c r="B344" s="361"/>
      <c r="C344" s="361"/>
      <c r="D344" s="361"/>
      <c r="E344" s="361"/>
      <c r="F344" s="361"/>
      <c r="G344" s="361"/>
    </row>
    <row r="345" spans="2:7" s="349" customFormat="1" ht="20.100000000000001" customHeight="1">
      <c r="B345" s="361"/>
      <c r="C345" s="361"/>
      <c r="D345" s="361"/>
      <c r="E345" s="361"/>
      <c r="F345" s="361"/>
      <c r="G345" s="361"/>
    </row>
    <row r="346" spans="2:7" s="349" customFormat="1" ht="20.100000000000001" customHeight="1">
      <c r="B346" s="361"/>
      <c r="C346" s="361"/>
      <c r="D346" s="361"/>
      <c r="E346" s="361"/>
      <c r="F346" s="361"/>
      <c r="G346" s="361"/>
    </row>
    <row r="347" spans="2:7" s="349" customFormat="1" ht="20.100000000000001" customHeight="1">
      <c r="B347" s="361"/>
      <c r="C347" s="361"/>
      <c r="D347" s="361"/>
      <c r="E347" s="361"/>
      <c r="F347" s="361"/>
      <c r="G347" s="361"/>
    </row>
    <row r="348" spans="2:7" s="349" customFormat="1" ht="20.100000000000001" customHeight="1">
      <c r="B348" s="361"/>
      <c r="C348" s="361"/>
      <c r="D348" s="361"/>
      <c r="E348" s="361"/>
      <c r="F348" s="361"/>
      <c r="G348" s="361"/>
    </row>
    <row r="349" spans="2:7" s="349" customFormat="1" ht="20.100000000000001" customHeight="1">
      <c r="B349" s="361"/>
      <c r="C349" s="361"/>
      <c r="D349" s="361"/>
      <c r="E349" s="361"/>
      <c r="F349" s="361"/>
      <c r="G349" s="361"/>
    </row>
    <row r="350" spans="2:7" s="349" customFormat="1" ht="20.100000000000001" customHeight="1">
      <c r="B350" s="361"/>
      <c r="C350" s="361"/>
      <c r="D350" s="361"/>
      <c r="E350" s="361"/>
      <c r="F350" s="361"/>
      <c r="G350" s="361"/>
    </row>
    <row r="351" spans="2:7" s="349" customFormat="1" ht="20.100000000000001" customHeight="1">
      <c r="B351" s="361"/>
      <c r="C351" s="361"/>
      <c r="D351" s="361"/>
      <c r="E351" s="361"/>
      <c r="F351" s="361"/>
      <c r="G351" s="361"/>
    </row>
    <row r="352" spans="2:7" s="349" customFormat="1" ht="20.100000000000001" customHeight="1">
      <c r="B352" s="361"/>
      <c r="C352" s="361"/>
      <c r="D352" s="361"/>
      <c r="E352" s="361"/>
      <c r="F352" s="361"/>
      <c r="G352" s="361"/>
    </row>
    <row r="353" spans="2:7" s="349" customFormat="1" ht="20.100000000000001" customHeight="1">
      <c r="B353" s="361"/>
      <c r="C353" s="361"/>
      <c r="D353" s="361"/>
      <c r="E353" s="361"/>
      <c r="F353" s="361"/>
      <c r="G353" s="361"/>
    </row>
    <row r="354" spans="2:7" s="349" customFormat="1" ht="20.100000000000001" customHeight="1">
      <c r="B354" s="361"/>
      <c r="C354" s="361"/>
      <c r="D354" s="361"/>
      <c r="E354" s="361"/>
      <c r="F354" s="361"/>
      <c r="G354" s="361"/>
    </row>
    <row r="355" spans="2:7" s="349" customFormat="1" ht="20.100000000000001" customHeight="1">
      <c r="B355" s="361"/>
      <c r="C355" s="361"/>
      <c r="D355" s="361"/>
      <c r="E355" s="361"/>
      <c r="F355" s="361"/>
      <c r="G355" s="361"/>
    </row>
    <row r="356" spans="2:7" s="349" customFormat="1" ht="20.100000000000001" customHeight="1">
      <c r="B356" s="361"/>
      <c r="C356" s="361"/>
      <c r="D356" s="361"/>
      <c r="E356" s="361"/>
      <c r="F356" s="361"/>
      <c r="G356" s="361"/>
    </row>
    <row r="357" spans="2:7" s="349" customFormat="1" ht="20.100000000000001" customHeight="1">
      <c r="B357" s="361"/>
      <c r="C357" s="361"/>
      <c r="D357" s="361"/>
      <c r="E357" s="361"/>
      <c r="F357" s="361"/>
      <c r="G357" s="361"/>
    </row>
    <row r="358" spans="2:7" s="349" customFormat="1" ht="20.100000000000001" customHeight="1">
      <c r="B358" s="361"/>
      <c r="C358" s="361"/>
      <c r="D358" s="361"/>
      <c r="E358" s="361"/>
      <c r="F358" s="361"/>
      <c r="G358" s="361"/>
    </row>
    <row r="359" spans="2:7" s="349" customFormat="1" ht="20.100000000000001" customHeight="1">
      <c r="B359" s="361"/>
      <c r="C359" s="361"/>
      <c r="D359" s="361"/>
      <c r="E359" s="361"/>
      <c r="F359" s="361"/>
      <c r="G359" s="361"/>
    </row>
    <row r="360" spans="2:7" s="349" customFormat="1" ht="20.100000000000001" customHeight="1">
      <c r="B360" s="361"/>
      <c r="C360" s="361"/>
      <c r="D360" s="361"/>
      <c r="E360" s="361"/>
      <c r="F360" s="361"/>
      <c r="G360" s="361"/>
    </row>
    <row r="361" spans="2:7" s="349" customFormat="1" ht="20.100000000000001" customHeight="1">
      <c r="B361" s="361"/>
      <c r="C361" s="361"/>
      <c r="D361" s="361"/>
      <c r="E361" s="361"/>
      <c r="F361" s="361"/>
      <c r="G361" s="361"/>
    </row>
    <row r="362" spans="2:7" s="349" customFormat="1" ht="20.100000000000001" customHeight="1">
      <c r="B362" s="361"/>
      <c r="C362" s="361"/>
      <c r="D362" s="361"/>
      <c r="E362" s="361"/>
      <c r="F362" s="361"/>
      <c r="G362" s="361"/>
    </row>
    <row r="363" spans="2:7" s="349" customFormat="1" ht="20.100000000000001" customHeight="1">
      <c r="B363" s="361"/>
      <c r="C363" s="361"/>
      <c r="D363" s="361"/>
      <c r="E363" s="361"/>
      <c r="F363" s="361"/>
      <c r="G363" s="361"/>
    </row>
    <row r="364" spans="2:7" s="349" customFormat="1" ht="20.100000000000001" customHeight="1">
      <c r="B364" s="361"/>
      <c r="C364" s="361"/>
      <c r="D364" s="361"/>
      <c r="E364" s="361"/>
      <c r="F364" s="361"/>
      <c r="G364" s="361"/>
    </row>
    <row r="365" spans="2:7" s="349" customFormat="1" ht="20.100000000000001" customHeight="1">
      <c r="B365" s="361"/>
      <c r="C365" s="361"/>
      <c r="D365" s="361"/>
      <c r="E365" s="361"/>
      <c r="F365" s="361"/>
      <c r="G365" s="361"/>
    </row>
    <row r="366" spans="2:7" s="349" customFormat="1" ht="20.100000000000001" customHeight="1">
      <c r="B366" s="361"/>
      <c r="C366" s="361"/>
      <c r="D366" s="361"/>
      <c r="E366" s="361"/>
      <c r="F366" s="361"/>
      <c r="G366" s="361"/>
    </row>
    <row r="367" spans="2:7" s="349" customFormat="1" ht="20.100000000000001" customHeight="1">
      <c r="B367" s="361"/>
      <c r="C367" s="361"/>
      <c r="D367" s="361"/>
      <c r="E367" s="361"/>
      <c r="F367" s="361"/>
      <c r="G367" s="361"/>
    </row>
    <row r="368" spans="2:7" s="349" customFormat="1" ht="20.100000000000001" customHeight="1">
      <c r="B368" s="361"/>
      <c r="C368" s="361"/>
      <c r="D368" s="361"/>
      <c r="E368" s="361"/>
      <c r="F368" s="361"/>
      <c r="G368" s="361"/>
    </row>
    <row r="369" spans="2:7" s="349" customFormat="1" ht="20.100000000000001" customHeight="1">
      <c r="B369" s="361"/>
      <c r="C369" s="361"/>
      <c r="D369" s="361"/>
      <c r="E369" s="361"/>
      <c r="F369" s="361"/>
      <c r="G369" s="361"/>
    </row>
    <row r="370" spans="2:7" s="349" customFormat="1" ht="20.100000000000001" customHeight="1">
      <c r="B370" s="361"/>
      <c r="C370" s="361"/>
      <c r="D370" s="361"/>
      <c r="E370" s="361"/>
      <c r="F370" s="361"/>
      <c r="G370" s="361"/>
    </row>
    <row r="371" spans="2:7" s="349" customFormat="1" ht="20.100000000000001" customHeight="1">
      <c r="B371" s="361"/>
      <c r="C371" s="361"/>
      <c r="D371" s="361"/>
      <c r="E371" s="361"/>
      <c r="F371" s="361"/>
      <c r="G371" s="361"/>
    </row>
    <row r="372" spans="2:7" s="349" customFormat="1" ht="20.100000000000001" customHeight="1">
      <c r="B372" s="361"/>
      <c r="C372" s="361"/>
      <c r="D372" s="361"/>
      <c r="E372" s="361"/>
      <c r="F372" s="361"/>
      <c r="G372" s="361"/>
    </row>
    <row r="373" spans="2:7" ht="20.100000000000001" customHeight="1"/>
    <row r="374" spans="2:7" ht="9.9499999999999993" customHeight="1"/>
    <row r="375" spans="2:7" ht="20.100000000000001" customHeight="1"/>
    <row r="376" spans="2:7" ht="20.100000000000001" customHeight="1"/>
    <row r="377" spans="2:7" ht="20.100000000000001" customHeight="1"/>
    <row r="378" spans="2:7" s="349" customFormat="1" ht="20.100000000000001" customHeight="1">
      <c r="B378" s="361"/>
      <c r="C378" s="361"/>
      <c r="D378" s="361"/>
      <c r="E378" s="361"/>
      <c r="F378" s="361"/>
      <c r="G378" s="361"/>
    </row>
    <row r="379" spans="2:7" s="349" customFormat="1" ht="20.100000000000001" customHeight="1">
      <c r="B379" s="361"/>
      <c r="C379" s="361"/>
      <c r="D379" s="361"/>
      <c r="E379" s="361"/>
      <c r="F379" s="361"/>
      <c r="G379" s="361"/>
    </row>
    <row r="380" spans="2:7" s="349" customFormat="1" ht="20.100000000000001" customHeight="1">
      <c r="B380" s="361"/>
      <c r="C380" s="361"/>
      <c r="D380" s="361"/>
      <c r="E380" s="361"/>
      <c r="F380" s="361"/>
      <c r="G380" s="361"/>
    </row>
    <row r="381" spans="2:7" s="349" customFormat="1" ht="20.100000000000001" customHeight="1">
      <c r="B381" s="361"/>
      <c r="C381" s="361"/>
      <c r="D381" s="361"/>
      <c r="E381" s="361"/>
      <c r="F381" s="361"/>
      <c r="G381" s="361"/>
    </row>
    <row r="382" spans="2:7" s="349" customFormat="1" ht="20.100000000000001" customHeight="1">
      <c r="B382" s="361"/>
      <c r="C382" s="361"/>
      <c r="D382" s="361"/>
      <c r="E382" s="361"/>
      <c r="F382" s="361"/>
      <c r="G382" s="361"/>
    </row>
    <row r="383" spans="2:7" s="349" customFormat="1" ht="20.100000000000001" customHeight="1">
      <c r="B383" s="361"/>
      <c r="C383" s="361"/>
      <c r="D383" s="361"/>
      <c r="E383" s="361"/>
      <c r="F383" s="361"/>
      <c r="G383" s="361"/>
    </row>
    <row r="384" spans="2:7" s="349" customFormat="1" ht="20.100000000000001" customHeight="1">
      <c r="B384" s="361"/>
      <c r="C384" s="361"/>
      <c r="D384" s="361"/>
      <c r="E384" s="361"/>
      <c r="F384" s="361"/>
      <c r="G384" s="361"/>
    </row>
    <row r="385" spans="2:7" s="349" customFormat="1" ht="20.100000000000001" customHeight="1">
      <c r="B385" s="361"/>
      <c r="C385" s="361"/>
      <c r="D385" s="361"/>
      <c r="E385" s="361"/>
      <c r="F385" s="361"/>
      <c r="G385" s="361"/>
    </row>
    <row r="386" spans="2:7" s="349" customFormat="1" ht="20.100000000000001" customHeight="1">
      <c r="B386" s="361"/>
      <c r="C386" s="361"/>
      <c r="D386" s="361"/>
      <c r="E386" s="361"/>
      <c r="F386" s="361"/>
      <c r="G386" s="361"/>
    </row>
    <row r="387" spans="2:7" s="349" customFormat="1" ht="20.100000000000001" customHeight="1">
      <c r="B387" s="361"/>
      <c r="C387" s="361"/>
      <c r="D387" s="361"/>
      <c r="E387" s="361"/>
      <c r="F387" s="361"/>
      <c r="G387" s="361"/>
    </row>
    <row r="388" spans="2:7" s="349" customFormat="1" ht="20.100000000000001" customHeight="1">
      <c r="B388" s="361"/>
      <c r="C388" s="361"/>
      <c r="D388" s="361"/>
      <c r="E388" s="361"/>
      <c r="F388" s="361"/>
      <c r="G388" s="361"/>
    </row>
    <row r="389" spans="2:7" s="349" customFormat="1" ht="20.100000000000001" customHeight="1">
      <c r="B389" s="361"/>
      <c r="C389" s="361"/>
      <c r="D389" s="361"/>
      <c r="E389" s="361"/>
      <c r="F389" s="361"/>
      <c r="G389" s="361"/>
    </row>
    <row r="390" spans="2:7" s="349" customFormat="1" ht="20.100000000000001" customHeight="1">
      <c r="B390" s="361"/>
      <c r="C390" s="361"/>
      <c r="D390" s="361"/>
      <c r="E390" s="361"/>
      <c r="F390" s="361"/>
      <c r="G390" s="361"/>
    </row>
    <row r="391" spans="2:7" s="349" customFormat="1" ht="20.100000000000001" customHeight="1">
      <c r="B391" s="361"/>
      <c r="C391" s="361"/>
      <c r="D391" s="361"/>
      <c r="E391" s="361"/>
      <c r="F391" s="361"/>
      <c r="G391" s="361"/>
    </row>
    <row r="392" spans="2:7" s="349" customFormat="1" ht="20.100000000000001" customHeight="1">
      <c r="B392" s="361"/>
      <c r="C392" s="361"/>
      <c r="D392" s="361"/>
      <c r="E392" s="361"/>
      <c r="F392" s="361"/>
      <c r="G392" s="361"/>
    </row>
    <row r="393" spans="2:7" s="349" customFormat="1" ht="20.100000000000001" customHeight="1">
      <c r="B393" s="361"/>
      <c r="C393" s="361"/>
      <c r="D393" s="361"/>
      <c r="E393" s="361"/>
      <c r="F393" s="361"/>
      <c r="G393" s="361"/>
    </row>
    <row r="394" spans="2:7" s="349" customFormat="1" ht="20.100000000000001" customHeight="1">
      <c r="B394" s="361"/>
      <c r="C394" s="361"/>
      <c r="D394" s="361"/>
      <c r="E394" s="361"/>
      <c r="F394" s="361"/>
      <c r="G394" s="361"/>
    </row>
    <row r="395" spans="2:7" s="349" customFormat="1" ht="20.100000000000001" customHeight="1">
      <c r="B395" s="361"/>
      <c r="C395" s="361"/>
      <c r="D395" s="361"/>
      <c r="E395" s="361"/>
      <c r="F395" s="361"/>
      <c r="G395" s="361"/>
    </row>
    <row r="396" spans="2:7" s="349" customFormat="1" ht="20.100000000000001" customHeight="1">
      <c r="B396" s="361"/>
      <c r="C396" s="361"/>
      <c r="D396" s="361"/>
      <c r="E396" s="361"/>
      <c r="F396" s="361"/>
      <c r="G396" s="361"/>
    </row>
    <row r="397" spans="2:7" s="349" customFormat="1" ht="20.100000000000001" customHeight="1">
      <c r="B397" s="361"/>
      <c r="C397" s="361"/>
      <c r="D397" s="361"/>
      <c r="E397" s="361"/>
      <c r="F397" s="361"/>
      <c r="G397" s="361"/>
    </row>
    <row r="398" spans="2:7" s="349" customFormat="1" ht="20.100000000000001" customHeight="1">
      <c r="B398" s="361"/>
      <c r="C398" s="361"/>
      <c r="D398" s="361"/>
      <c r="E398" s="361"/>
      <c r="F398" s="361"/>
      <c r="G398" s="361"/>
    </row>
    <row r="399" spans="2:7" s="349" customFormat="1" ht="20.100000000000001" customHeight="1">
      <c r="B399" s="361"/>
      <c r="C399" s="361"/>
      <c r="D399" s="361"/>
      <c r="E399" s="361"/>
      <c r="F399" s="361"/>
      <c r="G399" s="361"/>
    </row>
    <row r="400" spans="2:7" s="349" customFormat="1" ht="20.100000000000001" customHeight="1">
      <c r="B400" s="361"/>
      <c r="C400" s="361"/>
      <c r="D400" s="361"/>
      <c r="E400" s="361"/>
      <c r="F400" s="361"/>
      <c r="G400" s="361"/>
    </row>
    <row r="401" spans="2:7" s="349" customFormat="1" ht="20.100000000000001" customHeight="1">
      <c r="B401" s="361"/>
      <c r="C401" s="361"/>
      <c r="D401" s="361"/>
      <c r="E401" s="361"/>
      <c r="F401" s="361"/>
      <c r="G401" s="361"/>
    </row>
    <row r="402" spans="2:7" s="349" customFormat="1" ht="20.100000000000001" customHeight="1">
      <c r="B402" s="361"/>
      <c r="C402" s="361"/>
      <c r="D402" s="361"/>
      <c r="E402" s="361"/>
      <c r="F402" s="361"/>
      <c r="G402" s="361"/>
    </row>
    <row r="403" spans="2:7" s="349" customFormat="1" ht="20.100000000000001" customHeight="1">
      <c r="B403" s="361"/>
      <c r="C403" s="361"/>
      <c r="D403" s="361"/>
      <c r="E403" s="361"/>
      <c r="F403" s="361"/>
      <c r="G403" s="361"/>
    </row>
    <row r="404" spans="2:7" s="349" customFormat="1" ht="20.100000000000001" customHeight="1">
      <c r="B404" s="361"/>
      <c r="C404" s="361"/>
      <c r="D404" s="361"/>
      <c r="E404" s="361"/>
      <c r="F404" s="361"/>
      <c r="G404" s="361"/>
    </row>
    <row r="405" spans="2:7" s="349" customFormat="1" ht="20.100000000000001" customHeight="1">
      <c r="B405" s="361"/>
      <c r="C405" s="361"/>
      <c r="D405" s="361"/>
      <c r="E405" s="361"/>
      <c r="F405" s="361"/>
      <c r="G405" s="361"/>
    </row>
    <row r="406" spans="2:7" s="349" customFormat="1" ht="20.100000000000001" customHeight="1">
      <c r="B406" s="361"/>
      <c r="C406" s="361"/>
      <c r="D406" s="361"/>
      <c r="E406" s="361"/>
      <c r="F406" s="361"/>
      <c r="G406" s="361"/>
    </row>
    <row r="407" spans="2:7" s="349" customFormat="1" ht="20.100000000000001" customHeight="1">
      <c r="B407" s="361"/>
      <c r="C407" s="361"/>
      <c r="D407" s="361"/>
      <c r="E407" s="361"/>
      <c r="F407" s="361"/>
      <c r="G407" s="361"/>
    </row>
    <row r="408" spans="2:7" s="349" customFormat="1" ht="20.100000000000001" customHeight="1">
      <c r="B408" s="361"/>
      <c r="C408" s="361"/>
      <c r="D408" s="361"/>
      <c r="E408" s="361"/>
      <c r="F408" s="361"/>
      <c r="G408" s="361"/>
    </row>
    <row r="409" spans="2:7" s="349" customFormat="1" ht="20.100000000000001" customHeight="1">
      <c r="B409" s="361"/>
      <c r="C409" s="361"/>
      <c r="D409" s="361"/>
      <c r="E409" s="361"/>
      <c r="F409" s="361"/>
      <c r="G409" s="361"/>
    </row>
    <row r="410" spans="2:7" s="349" customFormat="1" ht="20.100000000000001" customHeight="1">
      <c r="B410" s="361"/>
      <c r="C410" s="361"/>
      <c r="D410" s="361"/>
      <c r="E410" s="361"/>
      <c r="F410" s="361"/>
      <c r="G410" s="361"/>
    </row>
    <row r="411" spans="2:7" s="349" customFormat="1" ht="20.100000000000001" customHeight="1">
      <c r="B411" s="361"/>
      <c r="C411" s="361"/>
      <c r="D411" s="361"/>
      <c r="E411" s="361"/>
      <c r="F411" s="361"/>
      <c r="G411" s="361"/>
    </row>
    <row r="412" spans="2:7" s="349" customFormat="1" ht="20.100000000000001" customHeight="1">
      <c r="B412" s="361"/>
      <c r="C412" s="361"/>
      <c r="D412" s="361"/>
      <c r="E412" s="361"/>
      <c r="F412" s="361"/>
      <c r="G412" s="361"/>
    </row>
    <row r="413" spans="2:7" s="349" customFormat="1" ht="20.100000000000001" customHeight="1">
      <c r="B413" s="361"/>
      <c r="C413" s="361"/>
      <c r="D413" s="361"/>
      <c r="E413" s="361"/>
      <c r="F413" s="361"/>
      <c r="G413" s="361"/>
    </row>
    <row r="414" spans="2:7" s="349" customFormat="1" ht="20.100000000000001" customHeight="1">
      <c r="B414" s="361"/>
      <c r="C414" s="361"/>
      <c r="D414" s="361"/>
      <c r="E414" s="361"/>
      <c r="F414" s="361"/>
      <c r="G414" s="361"/>
    </row>
    <row r="415" spans="2:7" ht="20.100000000000001" customHeight="1"/>
    <row r="416" spans="2:7" ht="9.9499999999999993" customHeight="1"/>
    <row r="417" spans="2:7" ht="20.100000000000001" customHeight="1"/>
    <row r="418" spans="2:7" ht="20.100000000000001" customHeight="1"/>
    <row r="419" spans="2:7" ht="20.100000000000001" customHeight="1"/>
    <row r="420" spans="2:7" s="349" customFormat="1" ht="20.100000000000001" customHeight="1">
      <c r="B420" s="361"/>
      <c r="C420" s="361"/>
      <c r="D420" s="361"/>
      <c r="E420" s="361"/>
      <c r="F420" s="361"/>
      <c r="G420" s="361"/>
    </row>
    <row r="421" spans="2:7" s="349" customFormat="1" ht="20.100000000000001" customHeight="1">
      <c r="B421" s="361"/>
      <c r="C421" s="361"/>
      <c r="D421" s="361"/>
      <c r="E421" s="361"/>
      <c r="F421" s="361"/>
      <c r="G421" s="361"/>
    </row>
    <row r="422" spans="2:7" s="349" customFormat="1" ht="20.100000000000001" customHeight="1">
      <c r="B422" s="361"/>
      <c r="C422" s="361"/>
      <c r="D422" s="361"/>
      <c r="E422" s="361"/>
      <c r="F422" s="361"/>
      <c r="G422" s="361"/>
    </row>
    <row r="423" spans="2:7" s="349" customFormat="1" ht="20.100000000000001" customHeight="1">
      <c r="B423" s="361"/>
      <c r="C423" s="361"/>
      <c r="D423" s="361"/>
      <c r="E423" s="361"/>
      <c r="F423" s="361"/>
      <c r="G423" s="361"/>
    </row>
    <row r="424" spans="2:7" s="349" customFormat="1" ht="20.100000000000001" customHeight="1">
      <c r="B424" s="361"/>
      <c r="C424" s="361"/>
      <c r="D424" s="361"/>
      <c r="E424" s="361"/>
      <c r="F424" s="361"/>
      <c r="G424" s="361"/>
    </row>
    <row r="425" spans="2:7" s="349" customFormat="1" ht="20.100000000000001" customHeight="1">
      <c r="B425" s="361"/>
      <c r="C425" s="361"/>
      <c r="D425" s="361"/>
      <c r="E425" s="361"/>
      <c r="F425" s="361"/>
      <c r="G425" s="361"/>
    </row>
    <row r="426" spans="2:7" s="349" customFormat="1" ht="20.100000000000001" customHeight="1">
      <c r="B426" s="361"/>
      <c r="C426" s="361"/>
      <c r="D426" s="361"/>
      <c r="E426" s="361"/>
      <c r="F426" s="361"/>
      <c r="G426" s="361"/>
    </row>
    <row r="427" spans="2:7" s="349" customFormat="1" ht="20.100000000000001" customHeight="1">
      <c r="B427" s="361"/>
      <c r="C427" s="361"/>
      <c r="D427" s="361"/>
      <c r="E427" s="361"/>
      <c r="F427" s="361"/>
      <c r="G427" s="361"/>
    </row>
    <row r="428" spans="2:7" s="349" customFormat="1" ht="20.100000000000001" customHeight="1">
      <c r="B428" s="361"/>
      <c r="C428" s="361"/>
      <c r="D428" s="361"/>
      <c r="E428" s="361"/>
      <c r="F428" s="361"/>
      <c r="G428" s="361"/>
    </row>
    <row r="429" spans="2:7" s="349" customFormat="1" ht="20.100000000000001" customHeight="1">
      <c r="B429" s="361"/>
      <c r="C429" s="361"/>
      <c r="D429" s="361"/>
      <c r="E429" s="361"/>
      <c r="F429" s="361"/>
      <c r="G429" s="361"/>
    </row>
    <row r="430" spans="2:7" s="349" customFormat="1" ht="20.100000000000001" customHeight="1">
      <c r="B430" s="361"/>
      <c r="C430" s="361"/>
      <c r="D430" s="361"/>
      <c r="E430" s="361"/>
      <c r="F430" s="361"/>
      <c r="G430" s="361"/>
    </row>
    <row r="431" spans="2:7" s="349" customFormat="1" ht="20.100000000000001" customHeight="1">
      <c r="B431" s="361"/>
      <c r="C431" s="361"/>
      <c r="D431" s="361"/>
      <c r="E431" s="361"/>
      <c r="F431" s="361"/>
      <c r="G431" s="361"/>
    </row>
    <row r="432" spans="2:7" s="349" customFormat="1" ht="20.100000000000001" customHeight="1">
      <c r="B432" s="361"/>
      <c r="C432" s="361"/>
      <c r="D432" s="361"/>
      <c r="E432" s="361"/>
      <c r="F432" s="361"/>
      <c r="G432" s="361"/>
    </row>
    <row r="433" spans="2:7" s="349" customFormat="1" ht="20.100000000000001" customHeight="1">
      <c r="B433" s="361"/>
      <c r="C433" s="361"/>
      <c r="D433" s="361"/>
      <c r="E433" s="361"/>
      <c r="F433" s="361"/>
      <c r="G433" s="361"/>
    </row>
    <row r="434" spans="2:7" s="349" customFormat="1" ht="20.100000000000001" customHeight="1">
      <c r="B434" s="361"/>
      <c r="C434" s="361"/>
      <c r="D434" s="361"/>
      <c r="E434" s="361"/>
      <c r="F434" s="361"/>
      <c r="G434" s="361"/>
    </row>
    <row r="435" spans="2:7" s="349" customFormat="1" ht="20.100000000000001" customHeight="1">
      <c r="B435" s="361"/>
      <c r="C435" s="361"/>
      <c r="D435" s="361"/>
      <c r="E435" s="361"/>
      <c r="F435" s="361"/>
      <c r="G435" s="361"/>
    </row>
    <row r="436" spans="2:7" s="349" customFormat="1" ht="20.100000000000001" customHeight="1">
      <c r="B436" s="361"/>
      <c r="C436" s="361"/>
      <c r="D436" s="361"/>
      <c r="E436" s="361"/>
      <c r="F436" s="361"/>
      <c r="G436" s="361"/>
    </row>
    <row r="437" spans="2:7" s="349" customFormat="1" ht="20.100000000000001" customHeight="1">
      <c r="B437" s="361"/>
      <c r="C437" s="361"/>
      <c r="D437" s="361"/>
      <c r="E437" s="361"/>
      <c r="F437" s="361"/>
      <c r="G437" s="361"/>
    </row>
    <row r="438" spans="2:7" s="349" customFormat="1" ht="20.100000000000001" customHeight="1">
      <c r="B438" s="361"/>
      <c r="C438" s="361"/>
      <c r="D438" s="361"/>
      <c r="E438" s="361"/>
      <c r="F438" s="361"/>
      <c r="G438" s="361"/>
    </row>
    <row r="439" spans="2:7" s="349" customFormat="1" ht="20.100000000000001" customHeight="1">
      <c r="B439" s="361"/>
      <c r="C439" s="361"/>
      <c r="D439" s="361"/>
      <c r="E439" s="361"/>
      <c r="F439" s="361"/>
      <c r="G439" s="361"/>
    </row>
    <row r="440" spans="2:7" s="349" customFormat="1" ht="20.100000000000001" customHeight="1">
      <c r="B440" s="361"/>
      <c r="C440" s="361"/>
      <c r="D440" s="361"/>
      <c r="E440" s="361"/>
      <c r="F440" s="361"/>
      <c r="G440" s="361"/>
    </row>
    <row r="441" spans="2:7" s="349" customFormat="1" ht="20.100000000000001" customHeight="1">
      <c r="B441" s="361"/>
      <c r="C441" s="361"/>
      <c r="D441" s="361"/>
      <c r="E441" s="361"/>
      <c r="F441" s="361"/>
      <c r="G441" s="361"/>
    </row>
    <row r="442" spans="2:7" s="349" customFormat="1" ht="20.100000000000001" customHeight="1">
      <c r="B442" s="361"/>
      <c r="C442" s="361"/>
      <c r="D442" s="361"/>
      <c r="E442" s="361"/>
      <c r="F442" s="361"/>
      <c r="G442" s="361"/>
    </row>
    <row r="443" spans="2:7" s="349" customFormat="1" ht="20.100000000000001" customHeight="1">
      <c r="B443" s="361"/>
      <c r="C443" s="361"/>
      <c r="D443" s="361"/>
      <c r="E443" s="361"/>
      <c r="F443" s="361"/>
      <c r="G443" s="361"/>
    </row>
    <row r="444" spans="2:7" s="349" customFormat="1" ht="20.100000000000001" customHeight="1">
      <c r="B444" s="361"/>
      <c r="C444" s="361"/>
      <c r="D444" s="361"/>
      <c r="E444" s="361"/>
      <c r="F444" s="361"/>
      <c r="G444" s="361"/>
    </row>
    <row r="445" spans="2:7" s="349" customFormat="1" ht="20.100000000000001" customHeight="1">
      <c r="B445" s="361"/>
      <c r="C445" s="361"/>
      <c r="D445" s="361"/>
      <c r="E445" s="361"/>
      <c r="F445" s="361"/>
      <c r="G445" s="361"/>
    </row>
    <row r="446" spans="2:7" s="349" customFormat="1" ht="20.100000000000001" customHeight="1">
      <c r="B446" s="361"/>
      <c r="C446" s="361"/>
      <c r="D446" s="361"/>
      <c r="E446" s="361"/>
      <c r="F446" s="361"/>
      <c r="G446" s="361"/>
    </row>
    <row r="447" spans="2:7" s="349" customFormat="1" ht="20.100000000000001" customHeight="1">
      <c r="B447" s="361"/>
      <c r="C447" s="361"/>
      <c r="D447" s="361"/>
      <c r="E447" s="361"/>
      <c r="F447" s="361"/>
      <c r="G447" s="361"/>
    </row>
    <row r="448" spans="2:7" s="349" customFormat="1" ht="20.100000000000001" customHeight="1">
      <c r="B448" s="361"/>
      <c r="C448" s="361"/>
      <c r="D448" s="361"/>
      <c r="E448" s="361"/>
      <c r="F448" s="361"/>
      <c r="G448" s="361"/>
    </row>
    <row r="449" spans="2:7" s="349" customFormat="1" ht="20.100000000000001" customHeight="1">
      <c r="B449" s="361"/>
      <c r="C449" s="361"/>
      <c r="D449" s="361"/>
      <c r="E449" s="361"/>
      <c r="F449" s="361"/>
      <c r="G449" s="361"/>
    </row>
    <row r="450" spans="2:7" s="349" customFormat="1" ht="20.100000000000001" customHeight="1">
      <c r="B450" s="361"/>
      <c r="C450" s="361"/>
      <c r="D450" s="361"/>
      <c r="E450" s="361"/>
      <c r="F450" s="361"/>
      <c r="G450" s="361"/>
    </row>
    <row r="451" spans="2:7" s="349" customFormat="1" ht="20.100000000000001" customHeight="1">
      <c r="B451" s="361"/>
      <c r="C451" s="361"/>
      <c r="D451" s="361"/>
      <c r="E451" s="361"/>
      <c r="F451" s="361"/>
      <c r="G451" s="361"/>
    </row>
    <row r="452" spans="2:7" s="349" customFormat="1" ht="20.100000000000001" customHeight="1">
      <c r="B452" s="361"/>
      <c r="C452" s="361"/>
      <c r="D452" s="361"/>
      <c r="E452" s="361"/>
      <c r="F452" s="361"/>
      <c r="G452" s="361"/>
    </row>
    <row r="453" spans="2:7" s="349" customFormat="1" ht="20.100000000000001" customHeight="1">
      <c r="B453" s="361"/>
      <c r="C453" s="361"/>
      <c r="D453" s="361"/>
      <c r="E453" s="361"/>
      <c r="F453" s="361"/>
      <c r="G453" s="361"/>
    </row>
    <row r="454" spans="2:7" s="349" customFormat="1" ht="20.100000000000001" customHeight="1">
      <c r="B454" s="361"/>
      <c r="C454" s="361"/>
      <c r="D454" s="361"/>
      <c r="E454" s="361"/>
      <c r="F454" s="361"/>
      <c r="G454" s="361"/>
    </row>
    <row r="455" spans="2:7" s="349" customFormat="1" ht="20.100000000000001" customHeight="1">
      <c r="B455" s="361"/>
      <c r="C455" s="361"/>
      <c r="D455" s="361"/>
      <c r="E455" s="361"/>
      <c r="F455" s="361"/>
      <c r="G455" s="361"/>
    </row>
    <row r="456" spans="2:7" s="349" customFormat="1" ht="20.100000000000001" customHeight="1">
      <c r="B456" s="361"/>
      <c r="C456" s="361"/>
      <c r="D456" s="361"/>
      <c r="E456" s="361"/>
      <c r="F456" s="361"/>
      <c r="G456" s="361"/>
    </row>
    <row r="457" spans="2:7" ht="20.100000000000001" customHeight="1"/>
    <row r="458" spans="2:7" ht="9.9499999999999993" customHeight="1"/>
    <row r="459" spans="2:7" ht="20.100000000000001" customHeight="1"/>
    <row r="460" spans="2:7" ht="20.100000000000001" customHeight="1"/>
    <row r="461" spans="2:7" ht="20.100000000000001" customHeight="1"/>
    <row r="462" spans="2:7" s="349" customFormat="1" ht="20.100000000000001" customHeight="1">
      <c r="B462" s="361"/>
      <c r="C462" s="361"/>
      <c r="D462" s="361"/>
      <c r="E462" s="361"/>
      <c r="F462" s="361"/>
      <c r="G462" s="361"/>
    </row>
    <row r="463" spans="2:7" s="349" customFormat="1" ht="20.100000000000001" customHeight="1">
      <c r="B463" s="361"/>
      <c r="C463" s="361"/>
      <c r="D463" s="361"/>
      <c r="E463" s="361"/>
      <c r="F463" s="361"/>
      <c r="G463" s="361"/>
    </row>
    <row r="464" spans="2:7" s="349" customFormat="1" ht="20.100000000000001" customHeight="1">
      <c r="B464" s="361"/>
      <c r="C464" s="361"/>
      <c r="D464" s="361"/>
      <c r="E464" s="361"/>
      <c r="F464" s="361"/>
      <c r="G464" s="361"/>
    </row>
    <row r="465" spans="2:7" s="349" customFormat="1" ht="20.100000000000001" customHeight="1">
      <c r="B465" s="361"/>
      <c r="C465" s="361"/>
      <c r="D465" s="361"/>
      <c r="E465" s="361"/>
      <c r="F465" s="361"/>
      <c r="G465" s="361"/>
    </row>
    <row r="466" spans="2:7" s="349" customFormat="1" ht="20.100000000000001" customHeight="1">
      <c r="B466" s="361"/>
      <c r="C466" s="361"/>
      <c r="D466" s="361"/>
      <c r="E466" s="361"/>
      <c r="F466" s="361"/>
      <c r="G466" s="361"/>
    </row>
    <row r="467" spans="2:7" s="349" customFormat="1" ht="20.100000000000001" customHeight="1">
      <c r="B467" s="361"/>
      <c r="C467" s="361"/>
      <c r="D467" s="361"/>
      <c r="E467" s="361"/>
      <c r="F467" s="361"/>
      <c r="G467" s="361"/>
    </row>
    <row r="468" spans="2:7" s="349" customFormat="1" ht="20.100000000000001" customHeight="1">
      <c r="B468" s="361"/>
      <c r="C468" s="361"/>
      <c r="D468" s="361"/>
      <c r="E468" s="361"/>
      <c r="F468" s="361"/>
      <c r="G468" s="361"/>
    </row>
    <row r="469" spans="2:7" s="349" customFormat="1" ht="20.100000000000001" customHeight="1">
      <c r="B469" s="361"/>
      <c r="C469" s="361"/>
      <c r="D469" s="361"/>
      <c r="E469" s="361"/>
      <c r="F469" s="361"/>
      <c r="G469" s="361"/>
    </row>
    <row r="470" spans="2:7" s="349" customFormat="1" ht="20.100000000000001" customHeight="1">
      <c r="B470" s="361"/>
      <c r="C470" s="361"/>
      <c r="D470" s="361"/>
      <c r="E470" s="361"/>
      <c r="F470" s="361"/>
      <c r="G470" s="361"/>
    </row>
    <row r="471" spans="2:7" s="349" customFormat="1" ht="20.100000000000001" customHeight="1">
      <c r="B471" s="361"/>
      <c r="C471" s="361"/>
      <c r="D471" s="361"/>
      <c r="E471" s="361"/>
      <c r="F471" s="361"/>
      <c r="G471" s="361"/>
    </row>
    <row r="472" spans="2:7" s="349" customFormat="1" ht="20.100000000000001" customHeight="1">
      <c r="B472" s="361"/>
      <c r="C472" s="361"/>
      <c r="D472" s="361"/>
      <c r="E472" s="361"/>
      <c r="F472" s="361"/>
      <c r="G472" s="361"/>
    </row>
    <row r="473" spans="2:7" s="349" customFormat="1" ht="20.100000000000001" customHeight="1">
      <c r="B473" s="361"/>
      <c r="C473" s="361"/>
      <c r="D473" s="361"/>
      <c r="E473" s="361"/>
      <c r="F473" s="361"/>
      <c r="G473" s="361"/>
    </row>
    <row r="474" spans="2:7" s="349" customFormat="1" ht="20.100000000000001" customHeight="1">
      <c r="B474" s="361"/>
      <c r="C474" s="361"/>
      <c r="D474" s="361"/>
      <c r="E474" s="361"/>
      <c r="F474" s="361"/>
      <c r="G474" s="361"/>
    </row>
    <row r="475" spans="2:7" s="349" customFormat="1" ht="20.100000000000001" customHeight="1">
      <c r="B475" s="361"/>
      <c r="C475" s="361"/>
      <c r="D475" s="361"/>
      <c r="E475" s="361"/>
      <c r="F475" s="361"/>
      <c r="G475" s="361"/>
    </row>
    <row r="476" spans="2:7" s="349" customFormat="1" ht="20.100000000000001" customHeight="1">
      <c r="B476" s="361"/>
      <c r="C476" s="361"/>
      <c r="D476" s="361"/>
      <c r="E476" s="361"/>
      <c r="F476" s="361"/>
      <c r="G476" s="361"/>
    </row>
    <row r="477" spans="2:7" s="349" customFormat="1" ht="20.100000000000001" customHeight="1">
      <c r="B477" s="361"/>
      <c r="C477" s="361"/>
      <c r="D477" s="361"/>
      <c r="E477" s="361"/>
      <c r="F477" s="361"/>
      <c r="G477" s="361"/>
    </row>
    <row r="478" spans="2:7" s="349" customFormat="1" ht="20.100000000000001" customHeight="1">
      <c r="B478" s="361"/>
      <c r="C478" s="361"/>
      <c r="D478" s="361"/>
      <c r="E478" s="361"/>
      <c r="F478" s="361"/>
      <c r="G478" s="361"/>
    </row>
    <row r="479" spans="2:7" s="349" customFormat="1" ht="20.100000000000001" customHeight="1">
      <c r="B479" s="361"/>
      <c r="C479" s="361"/>
      <c r="D479" s="361"/>
      <c r="E479" s="361"/>
      <c r="F479" s="361"/>
      <c r="G479" s="361"/>
    </row>
    <row r="480" spans="2:7" s="349" customFormat="1" ht="20.100000000000001" customHeight="1">
      <c r="B480" s="361"/>
      <c r="C480" s="361"/>
      <c r="D480" s="361"/>
      <c r="E480" s="361"/>
      <c r="F480" s="361"/>
      <c r="G480" s="361"/>
    </row>
    <row r="481" spans="2:7" s="349" customFormat="1" ht="20.100000000000001" customHeight="1">
      <c r="B481" s="361"/>
      <c r="C481" s="361"/>
      <c r="D481" s="361"/>
      <c r="E481" s="361"/>
      <c r="F481" s="361"/>
      <c r="G481" s="361"/>
    </row>
    <row r="482" spans="2:7" s="349" customFormat="1" ht="20.100000000000001" customHeight="1">
      <c r="B482" s="361"/>
      <c r="C482" s="361"/>
      <c r="D482" s="361"/>
      <c r="E482" s="361"/>
      <c r="F482" s="361"/>
      <c r="G482" s="361"/>
    </row>
    <row r="483" spans="2:7" s="349" customFormat="1" ht="20.100000000000001" customHeight="1">
      <c r="B483" s="361"/>
      <c r="C483" s="361"/>
      <c r="D483" s="361"/>
      <c r="E483" s="361"/>
      <c r="F483" s="361"/>
      <c r="G483" s="361"/>
    </row>
    <row r="484" spans="2:7" s="349" customFormat="1" ht="20.100000000000001" customHeight="1">
      <c r="B484" s="361"/>
      <c r="C484" s="361"/>
      <c r="D484" s="361"/>
      <c r="E484" s="361"/>
      <c r="F484" s="361"/>
      <c r="G484" s="361"/>
    </row>
    <row r="485" spans="2:7" s="349" customFormat="1" ht="20.100000000000001" customHeight="1">
      <c r="B485" s="361"/>
      <c r="C485" s="361"/>
      <c r="D485" s="361"/>
      <c r="E485" s="361"/>
      <c r="F485" s="361"/>
      <c r="G485" s="361"/>
    </row>
    <row r="486" spans="2:7" s="349" customFormat="1" ht="20.100000000000001" customHeight="1">
      <c r="B486" s="361"/>
      <c r="C486" s="361"/>
      <c r="D486" s="361"/>
      <c r="E486" s="361"/>
      <c r="F486" s="361"/>
      <c r="G486" s="361"/>
    </row>
    <row r="487" spans="2:7" s="349" customFormat="1" ht="20.100000000000001" customHeight="1">
      <c r="B487" s="361"/>
      <c r="C487" s="361"/>
      <c r="D487" s="361"/>
      <c r="E487" s="361"/>
      <c r="F487" s="361"/>
      <c r="G487" s="361"/>
    </row>
    <row r="488" spans="2:7" s="349" customFormat="1" ht="20.100000000000001" customHeight="1">
      <c r="B488" s="361"/>
      <c r="C488" s="361"/>
      <c r="D488" s="361"/>
      <c r="E488" s="361"/>
      <c r="F488" s="361"/>
      <c r="G488" s="361"/>
    </row>
    <row r="489" spans="2:7" s="349" customFormat="1" ht="20.100000000000001" customHeight="1">
      <c r="B489" s="361"/>
      <c r="C489" s="361"/>
      <c r="D489" s="361"/>
      <c r="E489" s="361"/>
      <c r="F489" s="361"/>
      <c r="G489" s="361"/>
    </row>
    <row r="490" spans="2:7" s="349" customFormat="1" ht="20.100000000000001" customHeight="1">
      <c r="B490" s="361"/>
      <c r="C490" s="361"/>
      <c r="D490" s="361"/>
      <c r="E490" s="361"/>
      <c r="F490" s="361"/>
      <c r="G490" s="361"/>
    </row>
    <row r="491" spans="2:7" s="349" customFormat="1" ht="20.100000000000001" customHeight="1">
      <c r="B491" s="361"/>
      <c r="C491" s="361"/>
      <c r="D491" s="361"/>
      <c r="E491" s="361"/>
      <c r="F491" s="361"/>
      <c r="G491" s="361"/>
    </row>
    <row r="492" spans="2:7" s="349" customFormat="1" ht="20.100000000000001" customHeight="1">
      <c r="B492" s="361"/>
      <c r="C492" s="361"/>
      <c r="D492" s="361"/>
      <c r="E492" s="361"/>
      <c r="F492" s="361"/>
      <c r="G492" s="361"/>
    </row>
    <row r="493" spans="2:7" s="349" customFormat="1" ht="20.100000000000001" customHeight="1">
      <c r="B493" s="361"/>
      <c r="C493" s="361"/>
      <c r="D493" s="361"/>
      <c r="E493" s="361"/>
      <c r="F493" s="361"/>
      <c r="G493" s="361"/>
    </row>
    <row r="494" spans="2:7" s="349" customFormat="1" ht="20.100000000000001" customHeight="1">
      <c r="B494" s="361"/>
      <c r="C494" s="361"/>
      <c r="D494" s="361"/>
      <c r="E494" s="361"/>
      <c r="F494" s="361"/>
      <c r="G494" s="361"/>
    </row>
    <row r="495" spans="2:7" s="349" customFormat="1" ht="20.100000000000001" customHeight="1">
      <c r="B495" s="361"/>
      <c r="C495" s="361"/>
      <c r="D495" s="361"/>
      <c r="E495" s="361"/>
      <c r="F495" s="361"/>
      <c r="G495" s="361"/>
    </row>
    <row r="496" spans="2:7" s="349" customFormat="1" ht="20.100000000000001" customHeight="1">
      <c r="B496" s="361"/>
      <c r="C496" s="361"/>
      <c r="D496" s="361"/>
      <c r="E496" s="361"/>
      <c r="F496" s="361"/>
      <c r="G496" s="361"/>
    </row>
    <row r="497" spans="2:7" s="349" customFormat="1" ht="20.100000000000001" customHeight="1">
      <c r="B497" s="361"/>
      <c r="C497" s="361"/>
      <c r="D497" s="361"/>
      <c r="E497" s="361"/>
      <c r="F497" s="361"/>
      <c r="G497" s="361"/>
    </row>
    <row r="498" spans="2:7" s="349" customFormat="1" ht="20.100000000000001" customHeight="1">
      <c r="B498" s="361"/>
      <c r="C498" s="361"/>
      <c r="D498" s="361"/>
      <c r="E498" s="361"/>
      <c r="F498" s="361"/>
      <c r="G498" s="361"/>
    </row>
    <row r="499" spans="2:7" ht="20.100000000000001" customHeight="1"/>
    <row r="500" spans="2:7" ht="9.9499999999999993" customHeight="1"/>
    <row r="501" spans="2:7" ht="20.100000000000001" customHeight="1"/>
    <row r="502" spans="2:7" ht="20.100000000000001" customHeight="1"/>
    <row r="503" spans="2:7" ht="20.100000000000001" customHeight="1"/>
    <row r="504" spans="2:7" s="349" customFormat="1" ht="20.100000000000001" customHeight="1">
      <c r="B504" s="361"/>
      <c r="C504" s="361"/>
      <c r="D504" s="361"/>
      <c r="E504" s="361"/>
      <c r="F504" s="361"/>
      <c r="G504" s="361"/>
    </row>
    <row r="505" spans="2:7" s="349" customFormat="1" ht="20.100000000000001" customHeight="1">
      <c r="B505" s="361"/>
      <c r="C505" s="361"/>
      <c r="D505" s="361"/>
      <c r="E505" s="361"/>
      <c r="F505" s="361"/>
      <c r="G505" s="361"/>
    </row>
    <row r="506" spans="2:7" s="349" customFormat="1" ht="20.100000000000001" customHeight="1">
      <c r="B506" s="361"/>
      <c r="C506" s="361"/>
      <c r="D506" s="361"/>
      <c r="E506" s="361"/>
      <c r="F506" s="361"/>
      <c r="G506" s="361"/>
    </row>
    <row r="507" spans="2:7" s="349" customFormat="1" ht="20.100000000000001" customHeight="1">
      <c r="B507" s="361"/>
      <c r="C507" s="361"/>
      <c r="D507" s="361"/>
      <c r="E507" s="361"/>
      <c r="F507" s="361"/>
      <c r="G507" s="361"/>
    </row>
    <row r="508" spans="2:7" s="349" customFormat="1" ht="20.100000000000001" customHeight="1">
      <c r="B508" s="361"/>
      <c r="C508" s="361"/>
      <c r="D508" s="361"/>
      <c r="E508" s="361"/>
      <c r="F508" s="361"/>
      <c r="G508" s="361"/>
    </row>
    <row r="509" spans="2:7" s="349" customFormat="1" ht="20.100000000000001" customHeight="1">
      <c r="B509" s="361"/>
      <c r="C509" s="361"/>
      <c r="D509" s="361"/>
      <c r="E509" s="361"/>
      <c r="F509" s="361"/>
      <c r="G509" s="361"/>
    </row>
    <row r="510" spans="2:7" s="349" customFormat="1" ht="20.100000000000001" customHeight="1">
      <c r="B510" s="361"/>
      <c r="C510" s="361"/>
      <c r="D510" s="361"/>
      <c r="E510" s="361"/>
      <c r="F510" s="361"/>
      <c r="G510" s="361"/>
    </row>
    <row r="511" spans="2:7" s="349" customFormat="1" ht="20.100000000000001" customHeight="1">
      <c r="B511" s="361"/>
      <c r="C511" s="361"/>
      <c r="D511" s="361"/>
      <c r="E511" s="361"/>
      <c r="F511" s="361"/>
      <c r="G511" s="361"/>
    </row>
    <row r="512" spans="2:7" s="349" customFormat="1" ht="20.100000000000001" customHeight="1">
      <c r="B512" s="361"/>
      <c r="C512" s="361"/>
      <c r="D512" s="361"/>
      <c r="E512" s="361"/>
      <c r="F512" s="361"/>
      <c r="G512" s="361"/>
    </row>
    <row r="513" spans="2:7" s="349" customFormat="1" ht="20.100000000000001" customHeight="1">
      <c r="B513" s="361"/>
      <c r="C513" s="361"/>
      <c r="D513" s="361"/>
      <c r="E513" s="361"/>
      <c r="F513" s="361"/>
      <c r="G513" s="361"/>
    </row>
    <row r="514" spans="2:7" s="349" customFormat="1" ht="20.100000000000001" customHeight="1">
      <c r="B514" s="361"/>
      <c r="C514" s="361"/>
      <c r="D514" s="361"/>
      <c r="E514" s="361"/>
      <c r="F514" s="361"/>
      <c r="G514" s="361"/>
    </row>
    <row r="515" spans="2:7" s="349" customFormat="1" ht="20.100000000000001" customHeight="1">
      <c r="B515" s="361"/>
      <c r="C515" s="361"/>
      <c r="D515" s="361"/>
      <c r="E515" s="361"/>
      <c r="F515" s="361"/>
      <c r="G515" s="361"/>
    </row>
    <row r="516" spans="2:7" s="349" customFormat="1" ht="20.100000000000001" customHeight="1">
      <c r="B516" s="361"/>
      <c r="C516" s="361"/>
      <c r="D516" s="361"/>
      <c r="E516" s="361"/>
      <c r="F516" s="361"/>
      <c r="G516" s="361"/>
    </row>
    <row r="517" spans="2:7" s="349" customFormat="1" ht="20.100000000000001" customHeight="1">
      <c r="B517" s="361"/>
      <c r="C517" s="361"/>
      <c r="D517" s="361"/>
      <c r="E517" s="361"/>
      <c r="F517" s="361"/>
      <c r="G517" s="361"/>
    </row>
    <row r="518" spans="2:7" s="349" customFormat="1" ht="20.100000000000001" customHeight="1">
      <c r="B518" s="361"/>
      <c r="C518" s="361"/>
      <c r="D518" s="361"/>
      <c r="E518" s="361"/>
      <c r="F518" s="361"/>
      <c r="G518" s="361"/>
    </row>
    <row r="519" spans="2:7" s="349" customFormat="1" ht="20.100000000000001" customHeight="1">
      <c r="B519" s="361"/>
      <c r="C519" s="361"/>
      <c r="D519" s="361"/>
      <c r="E519" s="361"/>
      <c r="F519" s="361"/>
      <c r="G519" s="361"/>
    </row>
    <row r="520" spans="2:7" s="349" customFormat="1" ht="20.100000000000001" customHeight="1">
      <c r="B520" s="361"/>
      <c r="C520" s="361"/>
      <c r="D520" s="361"/>
      <c r="E520" s="361"/>
      <c r="F520" s="361"/>
      <c r="G520" s="361"/>
    </row>
    <row r="521" spans="2:7" s="349" customFormat="1" ht="20.100000000000001" customHeight="1">
      <c r="B521" s="361"/>
      <c r="C521" s="361"/>
      <c r="D521" s="361"/>
      <c r="E521" s="361"/>
      <c r="F521" s="361"/>
      <c r="G521" s="361"/>
    </row>
    <row r="522" spans="2:7" s="349" customFormat="1" ht="20.100000000000001" customHeight="1">
      <c r="B522" s="361"/>
      <c r="C522" s="361"/>
      <c r="D522" s="361"/>
      <c r="E522" s="361"/>
      <c r="F522" s="361"/>
      <c r="G522" s="361"/>
    </row>
    <row r="523" spans="2:7" s="349" customFormat="1" ht="20.100000000000001" customHeight="1">
      <c r="B523" s="361"/>
      <c r="C523" s="361"/>
      <c r="D523" s="361"/>
      <c r="E523" s="361"/>
      <c r="F523" s="361"/>
      <c r="G523" s="361"/>
    </row>
    <row r="524" spans="2:7" s="349" customFormat="1" ht="20.100000000000001" customHeight="1">
      <c r="B524" s="361"/>
      <c r="C524" s="361"/>
      <c r="D524" s="361"/>
      <c r="E524" s="361"/>
      <c r="F524" s="361"/>
      <c r="G524" s="361"/>
    </row>
    <row r="525" spans="2:7" s="349" customFormat="1" ht="20.100000000000001" customHeight="1">
      <c r="B525" s="361"/>
      <c r="C525" s="361"/>
      <c r="D525" s="361"/>
      <c r="E525" s="361"/>
      <c r="F525" s="361"/>
      <c r="G525" s="361"/>
    </row>
    <row r="526" spans="2:7" s="349" customFormat="1" ht="20.100000000000001" customHeight="1">
      <c r="B526" s="361"/>
      <c r="C526" s="361"/>
      <c r="D526" s="361"/>
      <c r="E526" s="361"/>
      <c r="F526" s="361"/>
      <c r="G526" s="361"/>
    </row>
    <row r="527" spans="2:7" s="349" customFormat="1" ht="20.100000000000001" customHeight="1">
      <c r="B527" s="361"/>
      <c r="C527" s="361"/>
      <c r="D527" s="361"/>
      <c r="E527" s="361"/>
      <c r="F527" s="361"/>
      <c r="G527" s="361"/>
    </row>
    <row r="528" spans="2:7" s="349" customFormat="1" ht="20.100000000000001" customHeight="1">
      <c r="B528" s="361"/>
      <c r="C528" s="361"/>
      <c r="D528" s="361"/>
      <c r="E528" s="361"/>
      <c r="F528" s="361"/>
      <c r="G528" s="361"/>
    </row>
    <row r="529" spans="2:7" s="349" customFormat="1" ht="20.100000000000001" customHeight="1">
      <c r="B529" s="361"/>
      <c r="C529" s="361"/>
      <c r="D529" s="361"/>
      <c r="E529" s="361"/>
      <c r="F529" s="361"/>
      <c r="G529" s="361"/>
    </row>
    <row r="530" spans="2:7" s="349" customFormat="1" ht="20.100000000000001" customHeight="1">
      <c r="B530" s="361"/>
      <c r="C530" s="361"/>
      <c r="D530" s="361"/>
      <c r="E530" s="361"/>
      <c r="F530" s="361"/>
      <c r="G530" s="361"/>
    </row>
    <row r="531" spans="2:7" s="349" customFormat="1" ht="20.100000000000001" customHeight="1">
      <c r="B531" s="361"/>
      <c r="C531" s="361"/>
      <c r="D531" s="361"/>
      <c r="E531" s="361"/>
      <c r="F531" s="361"/>
      <c r="G531" s="361"/>
    </row>
    <row r="532" spans="2:7" s="349" customFormat="1" ht="20.100000000000001" customHeight="1">
      <c r="B532" s="361"/>
      <c r="C532" s="361"/>
      <c r="D532" s="361"/>
      <c r="E532" s="361"/>
      <c r="F532" s="361"/>
      <c r="G532" s="361"/>
    </row>
    <row r="533" spans="2:7" s="349" customFormat="1" ht="20.100000000000001" customHeight="1">
      <c r="B533" s="361"/>
      <c r="C533" s="361"/>
      <c r="D533" s="361"/>
      <c r="E533" s="361"/>
      <c r="F533" s="361"/>
      <c r="G533" s="361"/>
    </row>
    <row r="534" spans="2:7" s="349" customFormat="1" ht="20.100000000000001" customHeight="1">
      <c r="B534" s="361"/>
      <c r="C534" s="361"/>
      <c r="D534" s="361"/>
      <c r="E534" s="361"/>
      <c r="F534" s="361"/>
      <c r="G534" s="361"/>
    </row>
    <row r="535" spans="2:7" s="349" customFormat="1" ht="20.100000000000001" customHeight="1">
      <c r="B535" s="361"/>
      <c r="C535" s="361"/>
      <c r="D535" s="361"/>
      <c r="E535" s="361"/>
      <c r="F535" s="361"/>
      <c r="G535" s="361"/>
    </row>
    <row r="536" spans="2:7" s="349" customFormat="1" ht="20.100000000000001" customHeight="1">
      <c r="B536" s="361"/>
      <c r="C536" s="361"/>
      <c r="D536" s="361"/>
      <c r="E536" s="361"/>
      <c r="F536" s="361"/>
      <c r="G536" s="361"/>
    </row>
    <row r="537" spans="2:7" s="349" customFormat="1" ht="20.100000000000001" customHeight="1">
      <c r="B537" s="361"/>
      <c r="C537" s="361"/>
      <c r="D537" s="361"/>
      <c r="E537" s="361"/>
      <c r="F537" s="361"/>
      <c r="G537" s="361"/>
    </row>
    <row r="538" spans="2:7" s="349" customFormat="1" ht="20.100000000000001" customHeight="1">
      <c r="B538" s="361"/>
      <c r="C538" s="361"/>
      <c r="D538" s="361"/>
      <c r="E538" s="361"/>
      <c r="F538" s="361"/>
      <c r="G538" s="361"/>
    </row>
    <row r="539" spans="2:7" s="349" customFormat="1" ht="20.100000000000001" customHeight="1">
      <c r="B539" s="361"/>
      <c r="C539" s="361"/>
      <c r="D539" s="361"/>
      <c r="E539" s="361"/>
      <c r="F539" s="361"/>
      <c r="G539" s="361"/>
    </row>
    <row r="540" spans="2:7" s="349" customFormat="1" ht="20.100000000000001" customHeight="1">
      <c r="B540" s="361"/>
      <c r="C540" s="361"/>
      <c r="D540" s="361"/>
      <c r="E540" s="361"/>
      <c r="F540" s="361"/>
      <c r="G540" s="361"/>
    </row>
    <row r="541" spans="2:7" ht="20.100000000000001" customHeight="1"/>
    <row r="542" spans="2:7" ht="9.9499999999999993" customHeight="1"/>
  </sheetData>
  <mergeCells count="18">
    <mergeCell ref="A9:G9"/>
    <mergeCell ref="A4:G4"/>
    <mergeCell ref="A5:G5"/>
    <mergeCell ref="A6:G6"/>
    <mergeCell ref="A7:G7"/>
    <mergeCell ref="A8:G8"/>
    <mergeCell ref="C11:G11"/>
    <mergeCell ref="A13:G13"/>
    <mergeCell ref="A14:G14"/>
    <mergeCell ref="A15:B16"/>
    <mergeCell ref="C15:C17"/>
    <mergeCell ref="D15:D17"/>
    <mergeCell ref="A126:B126"/>
    <mergeCell ref="E15:E17"/>
    <mergeCell ref="F15:F17"/>
    <mergeCell ref="G15:G17"/>
    <mergeCell ref="A17:A18"/>
    <mergeCell ref="B17:B18"/>
  </mergeCells>
  <conditionalFormatting sqref="A17:B17 C18:G18 B20:G125">
    <cfRule type="cellIs" dxfId="0" priority="6" operator="equal">
      <formula>0</formula>
    </cfRule>
  </conditionalFormatting>
  <pageMargins left="0.511811024" right="0.511811024" top="0.78740157499999996" bottom="0.78740157499999996" header="0.31496062000000002" footer="0.31496062000000002"/>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39997558519241921"/>
  </sheetPr>
  <dimension ref="A1:F18"/>
  <sheetViews>
    <sheetView workbookViewId="0">
      <selection activeCell="D20" sqref="D20"/>
    </sheetView>
  </sheetViews>
  <sheetFormatPr defaultRowHeight="12.75"/>
  <cols>
    <col min="2" max="2" width="72" customWidth="1"/>
    <col min="4" max="4" width="9.140625" customWidth="1"/>
    <col min="258" max="258" width="72" customWidth="1"/>
    <col min="260" max="260" width="9.140625" customWidth="1"/>
    <col min="514" max="514" width="72" customWidth="1"/>
    <col min="516" max="516" width="9.140625" customWidth="1"/>
    <col min="770" max="770" width="72" customWidth="1"/>
    <col min="772" max="772" width="9.140625" customWidth="1"/>
    <col min="1026" max="1026" width="72" customWidth="1"/>
    <col min="1028" max="1028" width="9.140625" customWidth="1"/>
    <col min="1282" max="1282" width="72" customWidth="1"/>
    <col min="1284" max="1284" width="9.140625" customWidth="1"/>
    <col min="1538" max="1538" width="72" customWidth="1"/>
    <col min="1540" max="1540" width="9.140625" customWidth="1"/>
    <col min="1794" max="1794" width="72" customWidth="1"/>
    <col min="1796" max="1796" width="9.140625" customWidth="1"/>
    <col min="2050" max="2050" width="72" customWidth="1"/>
    <col min="2052" max="2052" width="9.140625" customWidth="1"/>
    <col min="2306" max="2306" width="72" customWidth="1"/>
    <col min="2308" max="2308" width="9.140625" customWidth="1"/>
    <col min="2562" max="2562" width="72" customWidth="1"/>
    <col min="2564" max="2564" width="9.140625" customWidth="1"/>
    <col min="2818" max="2818" width="72" customWidth="1"/>
    <col min="2820" max="2820" width="9.140625" customWidth="1"/>
    <col min="3074" max="3074" width="72" customWidth="1"/>
    <col min="3076" max="3076" width="9.140625" customWidth="1"/>
    <col min="3330" max="3330" width="72" customWidth="1"/>
    <col min="3332" max="3332" width="9.140625" customWidth="1"/>
    <col min="3586" max="3586" width="72" customWidth="1"/>
    <col min="3588" max="3588" width="9.140625" customWidth="1"/>
    <col min="3842" max="3842" width="72" customWidth="1"/>
    <col min="3844" max="3844" width="9.140625" customWidth="1"/>
    <col min="4098" max="4098" width="72" customWidth="1"/>
    <col min="4100" max="4100" width="9.140625" customWidth="1"/>
    <col min="4354" max="4354" width="72" customWidth="1"/>
    <col min="4356" max="4356" width="9.140625" customWidth="1"/>
    <col min="4610" max="4610" width="72" customWidth="1"/>
    <col min="4612" max="4612" width="9.140625" customWidth="1"/>
    <col min="4866" max="4866" width="72" customWidth="1"/>
    <col min="4868" max="4868" width="9.140625" customWidth="1"/>
    <col min="5122" max="5122" width="72" customWidth="1"/>
    <col min="5124" max="5124" width="9.140625" customWidth="1"/>
    <col min="5378" max="5378" width="72" customWidth="1"/>
    <col min="5380" max="5380" width="9.140625" customWidth="1"/>
    <col min="5634" max="5634" width="72" customWidth="1"/>
    <col min="5636" max="5636" width="9.140625" customWidth="1"/>
    <col min="5890" max="5890" width="72" customWidth="1"/>
    <col min="5892" max="5892" width="9.140625" customWidth="1"/>
    <col min="6146" max="6146" width="72" customWidth="1"/>
    <col min="6148" max="6148" width="9.140625" customWidth="1"/>
    <col min="6402" max="6402" width="72" customWidth="1"/>
    <col min="6404" max="6404" width="9.140625" customWidth="1"/>
    <col min="6658" max="6658" width="72" customWidth="1"/>
    <col min="6660" max="6660" width="9.140625" customWidth="1"/>
    <col min="6914" max="6914" width="72" customWidth="1"/>
    <col min="6916" max="6916" width="9.140625" customWidth="1"/>
    <col min="7170" max="7170" width="72" customWidth="1"/>
    <col min="7172" max="7172" width="9.140625" customWidth="1"/>
    <col min="7426" max="7426" width="72" customWidth="1"/>
    <col min="7428" max="7428" width="9.140625" customWidth="1"/>
    <col min="7682" max="7682" width="72" customWidth="1"/>
    <col min="7684" max="7684" width="9.140625" customWidth="1"/>
    <col min="7938" max="7938" width="72" customWidth="1"/>
    <col min="7940" max="7940" width="9.140625" customWidth="1"/>
    <col min="8194" max="8194" width="72" customWidth="1"/>
    <col min="8196" max="8196" width="9.140625" customWidth="1"/>
    <col min="8450" max="8450" width="72" customWidth="1"/>
    <col min="8452" max="8452" width="9.140625" customWidth="1"/>
    <col min="8706" max="8706" width="72" customWidth="1"/>
    <col min="8708" max="8708" width="9.140625" customWidth="1"/>
    <col min="8962" max="8962" width="72" customWidth="1"/>
    <col min="8964" max="8964" width="9.140625" customWidth="1"/>
    <col min="9218" max="9218" width="72" customWidth="1"/>
    <col min="9220" max="9220" width="9.140625" customWidth="1"/>
    <col min="9474" max="9474" width="72" customWidth="1"/>
    <col min="9476" max="9476" width="9.140625" customWidth="1"/>
    <col min="9730" max="9730" width="72" customWidth="1"/>
    <col min="9732" max="9732" width="9.140625" customWidth="1"/>
    <col min="9986" max="9986" width="72" customWidth="1"/>
    <col min="9988" max="9988" width="9.140625" customWidth="1"/>
    <col min="10242" max="10242" width="72" customWidth="1"/>
    <col min="10244" max="10244" width="9.140625" customWidth="1"/>
    <col min="10498" max="10498" width="72" customWidth="1"/>
    <col min="10500" max="10500" width="9.140625" customWidth="1"/>
    <col min="10754" max="10754" width="72" customWidth="1"/>
    <col min="10756" max="10756" width="9.140625" customWidth="1"/>
    <col min="11010" max="11010" width="72" customWidth="1"/>
    <col min="11012" max="11012" width="9.140625" customWidth="1"/>
    <col min="11266" max="11266" width="72" customWidth="1"/>
    <col min="11268" max="11268" width="9.140625" customWidth="1"/>
    <col min="11522" max="11522" width="72" customWidth="1"/>
    <col min="11524" max="11524" width="9.140625" customWidth="1"/>
    <col min="11778" max="11778" width="72" customWidth="1"/>
    <col min="11780" max="11780" width="9.140625" customWidth="1"/>
    <col min="12034" max="12034" width="72" customWidth="1"/>
    <col min="12036" max="12036" width="9.140625" customWidth="1"/>
    <col min="12290" max="12290" width="72" customWidth="1"/>
    <col min="12292" max="12292" width="9.140625" customWidth="1"/>
    <col min="12546" max="12546" width="72" customWidth="1"/>
    <col min="12548" max="12548" width="9.140625" customWidth="1"/>
    <col min="12802" max="12802" width="72" customWidth="1"/>
    <col min="12804" max="12804" width="9.140625" customWidth="1"/>
    <col min="13058" max="13058" width="72" customWidth="1"/>
    <col min="13060" max="13060" width="9.140625" customWidth="1"/>
    <col min="13314" max="13314" width="72" customWidth="1"/>
    <col min="13316" max="13316" width="9.140625" customWidth="1"/>
    <col min="13570" max="13570" width="72" customWidth="1"/>
    <col min="13572" max="13572" width="9.140625" customWidth="1"/>
    <col min="13826" max="13826" width="72" customWidth="1"/>
    <col min="13828" max="13828" width="9.140625" customWidth="1"/>
    <col min="14082" max="14082" width="72" customWidth="1"/>
    <col min="14084" max="14084" width="9.140625" customWidth="1"/>
    <col min="14338" max="14338" width="72" customWidth="1"/>
    <col min="14340" max="14340" width="9.140625" customWidth="1"/>
    <col min="14594" max="14594" width="72" customWidth="1"/>
    <col min="14596" max="14596" width="9.140625" customWidth="1"/>
    <col min="14850" max="14850" width="72" customWidth="1"/>
    <col min="14852" max="14852" width="9.140625" customWidth="1"/>
    <col min="15106" max="15106" width="72" customWidth="1"/>
    <col min="15108" max="15108" width="9.140625" customWidth="1"/>
    <col min="15362" max="15362" width="72" customWidth="1"/>
    <col min="15364" max="15364" width="9.140625" customWidth="1"/>
    <col min="15618" max="15618" width="72" customWidth="1"/>
    <col min="15620" max="15620" width="9.140625" customWidth="1"/>
    <col min="15874" max="15874" width="72" customWidth="1"/>
    <col min="15876" max="15876" width="9.140625" customWidth="1"/>
    <col min="16130" max="16130" width="72" customWidth="1"/>
    <col min="16132" max="16132" width="9.140625" customWidth="1"/>
  </cols>
  <sheetData>
    <row r="1" spans="1:6" ht="15">
      <c r="A1" s="1168" t="s">
        <v>2715</v>
      </c>
      <c r="B1" s="1757" t="s">
        <v>2684</v>
      </c>
      <c r="C1" s="1757"/>
      <c r="D1" s="1757"/>
      <c r="E1" s="1757"/>
      <c r="F1" s="1757"/>
    </row>
    <row r="2" spans="1:6" ht="15">
      <c r="B2" s="1757" t="s">
        <v>2685</v>
      </c>
      <c r="C2" s="1757"/>
      <c r="D2" s="1757"/>
      <c r="E2" s="1757"/>
      <c r="F2" s="1757"/>
    </row>
    <row r="3" spans="1:6" ht="15">
      <c r="B3" s="1757" t="s">
        <v>2686</v>
      </c>
      <c r="C3" s="1757"/>
      <c r="D3" s="1757"/>
      <c r="E3" s="1757"/>
      <c r="F3" s="1757"/>
    </row>
    <row r="4" spans="1:6" ht="15">
      <c r="B4" s="1161" t="s">
        <v>2687</v>
      </c>
    </row>
    <row r="5" spans="1:6">
      <c r="B5" t="s">
        <v>2688</v>
      </c>
      <c r="C5" s="1162" t="s">
        <v>2689</v>
      </c>
      <c r="D5">
        <v>1.2</v>
      </c>
    </row>
    <row r="6" spans="1:6">
      <c r="B6" t="s">
        <v>2690</v>
      </c>
      <c r="C6" s="1162" t="s">
        <v>2691</v>
      </c>
      <c r="D6">
        <v>1.5</v>
      </c>
    </row>
    <row r="7" spans="1:6">
      <c r="B7" t="s">
        <v>2692</v>
      </c>
      <c r="C7" s="1162" t="s">
        <v>2693</v>
      </c>
      <c r="D7">
        <v>200</v>
      </c>
      <c r="E7" t="s">
        <v>2694</v>
      </c>
    </row>
    <row r="8" spans="1:6">
      <c r="B8" t="s">
        <v>2695</v>
      </c>
      <c r="C8" s="1162" t="s">
        <v>111</v>
      </c>
      <c r="D8">
        <v>130</v>
      </c>
    </row>
    <row r="9" spans="1:6">
      <c r="B9" t="s">
        <v>2696</v>
      </c>
      <c r="C9" s="1162" t="s">
        <v>113</v>
      </c>
      <c r="D9">
        <v>140</v>
      </c>
    </row>
    <row r="10" spans="1:6">
      <c r="B10" t="s">
        <v>2697</v>
      </c>
      <c r="C10" s="1162" t="s">
        <v>636</v>
      </c>
      <c r="D10" s="1163">
        <v>1</v>
      </c>
    </row>
    <row r="11" spans="1:6">
      <c r="B11" t="s">
        <v>2698</v>
      </c>
      <c r="C11" s="1162" t="s">
        <v>2699</v>
      </c>
      <c r="D11">
        <v>16</v>
      </c>
      <c r="E11" t="s">
        <v>2700</v>
      </c>
    </row>
    <row r="12" spans="1:6">
      <c r="B12" t="s">
        <v>2701</v>
      </c>
      <c r="C12" s="1164" t="s">
        <v>2702</v>
      </c>
      <c r="D12" s="1163">
        <v>3</v>
      </c>
      <c r="E12" t="s">
        <v>208</v>
      </c>
    </row>
    <row r="13" spans="1:6">
      <c r="B13" t="s">
        <v>2703</v>
      </c>
      <c r="C13" s="1165" t="s">
        <v>2704</v>
      </c>
      <c r="D13" s="1166">
        <v>100</v>
      </c>
      <c r="E13" t="s">
        <v>208</v>
      </c>
    </row>
    <row r="14" spans="1:6">
      <c r="B14" t="s">
        <v>2705</v>
      </c>
      <c r="C14" s="1162" t="s">
        <v>2706</v>
      </c>
      <c r="D14" s="1167">
        <v>3210</v>
      </c>
      <c r="E14" t="s">
        <v>2707</v>
      </c>
    </row>
    <row r="15" spans="1:6">
      <c r="B15" t="s">
        <v>2708</v>
      </c>
      <c r="C15" s="1162" t="s">
        <v>2709</v>
      </c>
      <c r="D15" s="1167">
        <v>3</v>
      </c>
      <c r="F15" s="1167"/>
    </row>
    <row r="16" spans="1:6">
      <c r="B16" t="s">
        <v>2710</v>
      </c>
      <c r="C16" s="1162"/>
      <c r="D16">
        <v>2024</v>
      </c>
      <c r="F16" s="1167"/>
    </row>
    <row r="17" spans="2:5">
      <c r="B17" t="s">
        <v>2711</v>
      </c>
      <c r="C17" s="1162"/>
      <c r="D17">
        <v>15</v>
      </c>
      <c r="E17" t="s">
        <v>2712</v>
      </c>
    </row>
    <row r="18" spans="2:5">
      <c r="B18" t="s">
        <v>2713</v>
      </c>
      <c r="C18" s="1162" t="s">
        <v>2714</v>
      </c>
      <c r="D18">
        <v>80</v>
      </c>
    </row>
  </sheetData>
  <mergeCells count="3">
    <mergeCell ref="B1:F1"/>
    <mergeCell ref="B2:F2"/>
    <mergeCell ref="B3:F3"/>
  </mergeCells>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39997558519241921"/>
  </sheetPr>
  <dimension ref="A1:I349"/>
  <sheetViews>
    <sheetView workbookViewId="0">
      <selection activeCell="H372" sqref="H372"/>
    </sheetView>
  </sheetViews>
  <sheetFormatPr defaultColWidth="9.140625" defaultRowHeight="12.75"/>
  <cols>
    <col min="1" max="1" width="9.85546875" customWidth="1"/>
    <col min="2" max="2" width="13.140625" customWidth="1"/>
    <col min="3" max="3" width="15.140625" customWidth="1"/>
    <col min="4" max="4" width="14.85546875" customWidth="1"/>
    <col min="5" max="5" width="15.140625" customWidth="1"/>
    <col min="6" max="6" width="10.140625" customWidth="1"/>
    <col min="7" max="7" width="10.5703125" customWidth="1"/>
    <col min="257" max="257" width="9.85546875" customWidth="1"/>
    <col min="258" max="258" width="13.140625" customWidth="1"/>
    <col min="259" max="259" width="15.140625" customWidth="1"/>
    <col min="260" max="260" width="14.85546875" customWidth="1"/>
    <col min="261" max="261" width="15.140625" customWidth="1"/>
    <col min="262" max="262" width="10.140625" customWidth="1"/>
    <col min="263" max="263" width="10.5703125" customWidth="1"/>
    <col min="513" max="513" width="9.85546875" customWidth="1"/>
    <col min="514" max="514" width="13.140625" customWidth="1"/>
    <col min="515" max="515" width="15.140625" customWidth="1"/>
    <col min="516" max="516" width="14.85546875" customWidth="1"/>
    <col min="517" max="517" width="15.140625" customWidth="1"/>
    <col min="518" max="518" width="10.140625" customWidth="1"/>
    <col min="519" max="519" width="10.5703125" customWidth="1"/>
    <col min="769" max="769" width="9.85546875" customWidth="1"/>
    <col min="770" max="770" width="13.140625" customWidth="1"/>
    <col min="771" max="771" width="15.140625" customWidth="1"/>
    <col min="772" max="772" width="14.85546875" customWidth="1"/>
    <col min="773" max="773" width="15.140625" customWidth="1"/>
    <col min="774" max="774" width="10.140625" customWidth="1"/>
    <col min="775" max="775" width="10.5703125" customWidth="1"/>
    <col min="1025" max="1025" width="9.85546875" customWidth="1"/>
    <col min="1026" max="1026" width="13.140625" customWidth="1"/>
    <col min="1027" max="1027" width="15.140625" customWidth="1"/>
    <col min="1028" max="1028" width="14.85546875" customWidth="1"/>
    <col min="1029" max="1029" width="15.140625" customWidth="1"/>
    <col min="1030" max="1030" width="10.140625" customWidth="1"/>
    <col min="1031" max="1031" width="10.5703125" customWidth="1"/>
    <col min="1281" max="1281" width="9.85546875" customWidth="1"/>
    <col min="1282" max="1282" width="13.140625" customWidth="1"/>
    <col min="1283" max="1283" width="15.140625" customWidth="1"/>
    <col min="1284" max="1284" width="14.85546875" customWidth="1"/>
    <col min="1285" max="1285" width="15.140625" customWidth="1"/>
    <col min="1286" max="1286" width="10.140625" customWidth="1"/>
    <col min="1287" max="1287" width="10.5703125" customWidth="1"/>
    <col min="1537" max="1537" width="9.85546875" customWidth="1"/>
    <col min="1538" max="1538" width="13.140625" customWidth="1"/>
    <col min="1539" max="1539" width="15.140625" customWidth="1"/>
    <col min="1540" max="1540" width="14.85546875" customWidth="1"/>
    <col min="1541" max="1541" width="15.140625" customWidth="1"/>
    <col min="1542" max="1542" width="10.140625" customWidth="1"/>
    <col min="1543" max="1543" width="10.5703125" customWidth="1"/>
    <col min="1793" max="1793" width="9.85546875" customWidth="1"/>
    <col min="1794" max="1794" width="13.140625" customWidth="1"/>
    <col min="1795" max="1795" width="15.140625" customWidth="1"/>
    <col min="1796" max="1796" width="14.85546875" customWidth="1"/>
    <col min="1797" max="1797" width="15.140625" customWidth="1"/>
    <col min="1798" max="1798" width="10.140625" customWidth="1"/>
    <col min="1799" max="1799" width="10.5703125" customWidth="1"/>
    <col min="2049" max="2049" width="9.85546875" customWidth="1"/>
    <col min="2050" max="2050" width="13.140625" customWidth="1"/>
    <col min="2051" max="2051" width="15.140625" customWidth="1"/>
    <col min="2052" max="2052" width="14.85546875" customWidth="1"/>
    <col min="2053" max="2053" width="15.140625" customWidth="1"/>
    <col min="2054" max="2054" width="10.140625" customWidth="1"/>
    <col min="2055" max="2055" width="10.5703125" customWidth="1"/>
    <col min="2305" max="2305" width="9.85546875" customWidth="1"/>
    <col min="2306" max="2306" width="13.140625" customWidth="1"/>
    <col min="2307" max="2307" width="15.140625" customWidth="1"/>
    <col min="2308" max="2308" width="14.85546875" customWidth="1"/>
    <col min="2309" max="2309" width="15.140625" customWidth="1"/>
    <col min="2310" max="2310" width="10.140625" customWidth="1"/>
    <col min="2311" max="2311" width="10.5703125" customWidth="1"/>
    <col min="2561" max="2561" width="9.85546875" customWidth="1"/>
    <col min="2562" max="2562" width="13.140625" customWidth="1"/>
    <col min="2563" max="2563" width="15.140625" customWidth="1"/>
    <col min="2564" max="2564" width="14.85546875" customWidth="1"/>
    <col min="2565" max="2565" width="15.140625" customWidth="1"/>
    <col min="2566" max="2566" width="10.140625" customWidth="1"/>
    <col min="2567" max="2567" width="10.5703125" customWidth="1"/>
    <col min="2817" max="2817" width="9.85546875" customWidth="1"/>
    <col min="2818" max="2818" width="13.140625" customWidth="1"/>
    <col min="2819" max="2819" width="15.140625" customWidth="1"/>
    <col min="2820" max="2820" width="14.85546875" customWidth="1"/>
    <col min="2821" max="2821" width="15.140625" customWidth="1"/>
    <col min="2822" max="2822" width="10.140625" customWidth="1"/>
    <col min="2823" max="2823" width="10.5703125" customWidth="1"/>
    <col min="3073" max="3073" width="9.85546875" customWidth="1"/>
    <col min="3074" max="3074" width="13.140625" customWidth="1"/>
    <col min="3075" max="3075" width="15.140625" customWidth="1"/>
    <col min="3076" max="3076" width="14.85546875" customWidth="1"/>
    <col min="3077" max="3077" width="15.140625" customWidth="1"/>
    <col min="3078" max="3078" width="10.140625" customWidth="1"/>
    <col min="3079" max="3079" width="10.5703125" customWidth="1"/>
    <col min="3329" max="3329" width="9.85546875" customWidth="1"/>
    <col min="3330" max="3330" width="13.140625" customWidth="1"/>
    <col min="3331" max="3331" width="15.140625" customWidth="1"/>
    <col min="3332" max="3332" width="14.85546875" customWidth="1"/>
    <col min="3333" max="3333" width="15.140625" customWidth="1"/>
    <col min="3334" max="3334" width="10.140625" customWidth="1"/>
    <col min="3335" max="3335" width="10.5703125" customWidth="1"/>
    <col min="3585" max="3585" width="9.85546875" customWidth="1"/>
    <col min="3586" max="3586" width="13.140625" customWidth="1"/>
    <col min="3587" max="3587" width="15.140625" customWidth="1"/>
    <col min="3588" max="3588" width="14.85546875" customWidth="1"/>
    <col min="3589" max="3589" width="15.140625" customWidth="1"/>
    <col min="3590" max="3590" width="10.140625" customWidth="1"/>
    <col min="3591" max="3591" width="10.5703125" customWidth="1"/>
    <col min="3841" max="3841" width="9.85546875" customWidth="1"/>
    <col min="3842" max="3842" width="13.140625" customWidth="1"/>
    <col min="3843" max="3843" width="15.140625" customWidth="1"/>
    <col min="3844" max="3844" width="14.85546875" customWidth="1"/>
    <col min="3845" max="3845" width="15.140625" customWidth="1"/>
    <col min="3846" max="3846" width="10.140625" customWidth="1"/>
    <col min="3847" max="3847" width="10.5703125" customWidth="1"/>
    <col min="4097" max="4097" width="9.85546875" customWidth="1"/>
    <col min="4098" max="4098" width="13.140625" customWidth="1"/>
    <col min="4099" max="4099" width="15.140625" customWidth="1"/>
    <col min="4100" max="4100" width="14.85546875" customWidth="1"/>
    <col min="4101" max="4101" width="15.140625" customWidth="1"/>
    <col min="4102" max="4102" width="10.140625" customWidth="1"/>
    <col min="4103" max="4103" width="10.5703125" customWidth="1"/>
    <col min="4353" max="4353" width="9.85546875" customWidth="1"/>
    <col min="4354" max="4354" width="13.140625" customWidth="1"/>
    <col min="4355" max="4355" width="15.140625" customWidth="1"/>
    <col min="4356" max="4356" width="14.85546875" customWidth="1"/>
    <col min="4357" max="4357" width="15.140625" customWidth="1"/>
    <col min="4358" max="4358" width="10.140625" customWidth="1"/>
    <col min="4359" max="4359" width="10.5703125" customWidth="1"/>
    <col min="4609" max="4609" width="9.85546875" customWidth="1"/>
    <col min="4610" max="4610" width="13.140625" customWidth="1"/>
    <col min="4611" max="4611" width="15.140625" customWidth="1"/>
    <col min="4612" max="4612" width="14.85546875" customWidth="1"/>
    <col min="4613" max="4613" width="15.140625" customWidth="1"/>
    <col min="4614" max="4614" width="10.140625" customWidth="1"/>
    <col min="4615" max="4615" width="10.5703125" customWidth="1"/>
    <col min="4865" max="4865" width="9.85546875" customWidth="1"/>
    <col min="4866" max="4866" width="13.140625" customWidth="1"/>
    <col min="4867" max="4867" width="15.140625" customWidth="1"/>
    <col min="4868" max="4868" width="14.85546875" customWidth="1"/>
    <col min="4869" max="4869" width="15.140625" customWidth="1"/>
    <col min="4870" max="4870" width="10.140625" customWidth="1"/>
    <col min="4871" max="4871" width="10.5703125" customWidth="1"/>
    <col min="5121" max="5121" width="9.85546875" customWidth="1"/>
    <col min="5122" max="5122" width="13.140625" customWidth="1"/>
    <col min="5123" max="5123" width="15.140625" customWidth="1"/>
    <col min="5124" max="5124" width="14.85546875" customWidth="1"/>
    <col min="5125" max="5125" width="15.140625" customWidth="1"/>
    <col min="5126" max="5126" width="10.140625" customWidth="1"/>
    <col min="5127" max="5127" width="10.5703125" customWidth="1"/>
    <col min="5377" max="5377" width="9.85546875" customWidth="1"/>
    <col min="5378" max="5378" width="13.140625" customWidth="1"/>
    <col min="5379" max="5379" width="15.140625" customWidth="1"/>
    <col min="5380" max="5380" width="14.85546875" customWidth="1"/>
    <col min="5381" max="5381" width="15.140625" customWidth="1"/>
    <col min="5382" max="5382" width="10.140625" customWidth="1"/>
    <col min="5383" max="5383" width="10.5703125" customWidth="1"/>
    <col min="5633" max="5633" width="9.85546875" customWidth="1"/>
    <col min="5634" max="5634" width="13.140625" customWidth="1"/>
    <col min="5635" max="5635" width="15.140625" customWidth="1"/>
    <col min="5636" max="5636" width="14.85546875" customWidth="1"/>
    <col min="5637" max="5637" width="15.140625" customWidth="1"/>
    <col min="5638" max="5638" width="10.140625" customWidth="1"/>
    <col min="5639" max="5639" width="10.5703125" customWidth="1"/>
    <col min="5889" max="5889" width="9.85546875" customWidth="1"/>
    <col min="5890" max="5890" width="13.140625" customWidth="1"/>
    <col min="5891" max="5891" width="15.140625" customWidth="1"/>
    <col min="5892" max="5892" width="14.85546875" customWidth="1"/>
    <col min="5893" max="5893" width="15.140625" customWidth="1"/>
    <col min="5894" max="5894" width="10.140625" customWidth="1"/>
    <col min="5895" max="5895" width="10.5703125" customWidth="1"/>
    <col min="6145" max="6145" width="9.85546875" customWidth="1"/>
    <col min="6146" max="6146" width="13.140625" customWidth="1"/>
    <col min="6147" max="6147" width="15.140625" customWidth="1"/>
    <col min="6148" max="6148" width="14.85546875" customWidth="1"/>
    <col min="6149" max="6149" width="15.140625" customWidth="1"/>
    <col min="6150" max="6150" width="10.140625" customWidth="1"/>
    <col min="6151" max="6151" width="10.5703125" customWidth="1"/>
    <col min="6401" max="6401" width="9.85546875" customWidth="1"/>
    <col min="6402" max="6402" width="13.140625" customWidth="1"/>
    <col min="6403" max="6403" width="15.140625" customWidth="1"/>
    <col min="6404" max="6404" width="14.85546875" customWidth="1"/>
    <col min="6405" max="6405" width="15.140625" customWidth="1"/>
    <col min="6406" max="6406" width="10.140625" customWidth="1"/>
    <col min="6407" max="6407" width="10.5703125" customWidth="1"/>
    <col min="6657" max="6657" width="9.85546875" customWidth="1"/>
    <col min="6658" max="6658" width="13.140625" customWidth="1"/>
    <col min="6659" max="6659" width="15.140625" customWidth="1"/>
    <col min="6660" max="6660" width="14.85546875" customWidth="1"/>
    <col min="6661" max="6661" width="15.140625" customWidth="1"/>
    <col min="6662" max="6662" width="10.140625" customWidth="1"/>
    <col min="6663" max="6663" width="10.5703125" customWidth="1"/>
    <col min="6913" max="6913" width="9.85546875" customWidth="1"/>
    <col min="6914" max="6914" width="13.140625" customWidth="1"/>
    <col min="6915" max="6915" width="15.140625" customWidth="1"/>
    <col min="6916" max="6916" width="14.85546875" customWidth="1"/>
    <col min="6917" max="6917" width="15.140625" customWidth="1"/>
    <col min="6918" max="6918" width="10.140625" customWidth="1"/>
    <col min="6919" max="6919" width="10.5703125" customWidth="1"/>
    <col min="7169" max="7169" width="9.85546875" customWidth="1"/>
    <col min="7170" max="7170" width="13.140625" customWidth="1"/>
    <col min="7171" max="7171" width="15.140625" customWidth="1"/>
    <col min="7172" max="7172" width="14.85546875" customWidth="1"/>
    <col min="7173" max="7173" width="15.140625" customWidth="1"/>
    <col min="7174" max="7174" width="10.140625" customWidth="1"/>
    <col min="7175" max="7175" width="10.5703125" customWidth="1"/>
    <col min="7425" max="7425" width="9.85546875" customWidth="1"/>
    <col min="7426" max="7426" width="13.140625" customWidth="1"/>
    <col min="7427" max="7427" width="15.140625" customWidth="1"/>
    <col min="7428" max="7428" width="14.85546875" customWidth="1"/>
    <col min="7429" max="7429" width="15.140625" customWidth="1"/>
    <col min="7430" max="7430" width="10.140625" customWidth="1"/>
    <col min="7431" max="7431" width="10.5703125" customWidth="1"/>
    <col min="7681" max="7681" width="9.85546875" customWidth="1"/>
    <col min="7682" max="7682" width="13.140625" customWidth="1"/>
    <col min="7683" max="7683" width="15.140625" customWidth="1"/>
    <col min="7684" max="7684" width="14.85546875" customWidth="1"/>
    <col min="7685" max="7685" width="15.140625" customWidth="1"/>
    <col min="7686" max="7686" width="10.140625" customWidth="1"/>
    <col min="7687" max="7687" width="10.5703125" customWidth="1"/>
    <col min="7937" max="7937" width="9.85546875" customWidth="1"/>
    <col min="7938" max="7938" width="13.140625" customWidth="1"/>
    <col min="7939" max="7939" width="15.140625" customWidth="1"/>
    <col min="7940" max="7940" width="14.85546875" customWidth="1"/>
    <col min="7941" max="7941" width="15.140625" customWidth="1"/>
    <col min="7942" max="7942" width="10.140625" customWidth="1"/>
    <col min="7943" max="7943" width="10.5703125" customWidth="1"/>
    <col min="8193" max="8193" width="9.85546875" customWidth="1"/>
    <col min="8194" max="8194" width="13.140625" customWidth="1"/>
    <col min="8195" max="8195" width="15.140625" customWidth="1"/>
    <col min="8196" max="8196" width="14.85546875" customWidth="1"/>
    <col min="8197" max="8197" width="15.140625" customWidth="1"/>
    <col min="8198" max="8198" width="10.140625" customWidth="1"/>
    <col min="8199" max="8199" width="10.5703125" customWidth="1"/>
    <col min="8449" max="8449" width="9.85546875" customWidth="1"/>
    <col min="8450" max="8450" width="13.140625" customWidth="1"/>
    <col min="8451" max="8451" width="15.140625" customWidth="1"/>
    <col min="8452" max="8452" width="14.85546875" customWidth="1"/>
    <col min="8453" max="8453" width="15.140625" customWidth="1"/>
    <col min="8454" max="8454" width="10.140625" customWidth="1"/>
    <col min="8455" max="8455" width="10.5703125" customWidth="1"/>
    <col min="8705" max="8705" width="9.85546875" customWidth="1"/>
    <col min="8706" max="8706" width="13.140625" customWidth="1"/>
    <col min="8707" max="8707" width="15.140625" customWidth="1"/>
    <col min="8708" max="8708" width="14.85546875" customWidth="1"/>
    <col min="8709" max="8709" width="15.140625" customWidth="1"/>
    <col min="8710" max="8710" width="10.140625" customWidth="1"/>
    <col min="8711" max="8711" width="10.5703125" customWidth="1"/>
    <col min="8961" max="8961" width="9.85546875" customWidth="1"/>
    <col min="8962" max="8962" width="13.140625" customWidth="1"/>
    <col min="8963" max="8963" width="15.140625" customWidth="1"/>
    <col min="8964" max="8964" width="14.85546875" customWidth="1"/>
    <col min="8965" max="8965" width="15.140625" customWidth="1"/>
    <col min="8966" max="8966" width="10.140625" customWidth="1"/>
    <col min="8967" max="8967" width="10.5703125" customWidth="1"/>
    <col min="9217" max="9217" width="9.85546875" customWidth="1"/>
    <col min="9218" max="9218" width="13.140625" customWidth="1"/>
    <col min="9219" max="9219" width="15.140625" customWidth="1"/>
    <col min="9220" max="9220" width="14.85546875" customWidth="1"/>
    <col min="9221" max="9221" width="15.140625" customWidth="1"/>
    <col min="9222" max="9222" width="10.140625" customWidth="1"/>
    <col min="9223" max="9223" width="10.5703125" customWidth="1"/>
    <col min="9473" max="9473" width="9.85546875" customWidth="1"/>
    <col min="9474" max="9474" width="13.140625" customWidth="1"/>
    <col min="9475" max="9475" width="15.140625" customWidth="1"/>
    <col min="9476" max="9476" width="14.85546875" customWidth="1"/>
    <col min="9477" max="9477" width="15.140625" customWidth="1"/>
    <col min="9478" max="9478" width="10.140625" customWidth="1"/>
    <col min="9479" max="9479" width="10.5703125" customWidth="1"/>
    <col min="9729" max="9729" width="9.85546875" customWidth="1"/>
    <col min="9730" max="9730" width="13.140625" customWidth="1"/>
    <col min="9731" max="9731" width="15.140625" customWidth="1"/>
    <col min="9732" max="9732" width="14.85546875" customWidth="1"/>
    <col min="9733" max="9733" width="15.140625" customWidth="1"/>
    <col min="9734" max="9734" width="10.140625" customWidth="1"/>
    <col min="9735" max="9735" width="10.5703125" customWidth="1"/>
    <col min="9985" max="9985" width="9.85546875" customWidth="1"/>
    <col min="9986" max="9986" width="13.140625" customWidth="1"/>
    <col min="9987" max="9987" width="15.140625" customWidth="1"/>
    <col min="9988" max="9988" width="14.85546875" customWidth="1"/>
    <col min="9989" max="9989" width="15.140625" customWidth="1"/>
    <col min="9990" max="9990" width="10.140625" customWidth="1"/>
    <col min="9991" max="9991" width="10.5703125" customWidth="1"/>
    <col min="10241" max="10241" width="9.85546875" customWidth="1"/>
    <col min="10242" max="10242" width="13.140625" customWidth="1"/>
    <col min="10243" max="10243" width="15.140625" customWidth="1"/>
    <col min="10244" max="10244" width="14.85546875" customWidth="1"/>
    <col min="10245" max="10245" width="15.140625" customWidth="1"/>
    <col min="10246" max="10246" width="10.140625" customWidth="1"/>
    <col min="10247" max="10247" width="10.5703125" customWidth="1"/>
    <col min="10497" max="10497" width="9.85546875" customWidth="1"/>
    <col min="10498" max="10498" width="13.140625" customWidth="1"/>
    <col min="10499" max="10499" width="15.140625" customWidth="1"/>
    <col min="10500" max="10500" width="14.85546875" customWidth="1"/>
    <col min="10501" max="10501" width="15.140625" customWidth="1"/>
    <col min="10502" max="10502" width="10.140625" customWidth="1"/>
    <col min="10503" max="10503" width="10.5703125" customWidth="1"/>
    <col min="10753" max="10753" width="9.85546875" customWidth="1"/>
    <col min="10754" max="10754" width="13.140625" customWidth="1"/>
    <col min="10755" max="10755" width="15.140625" customWidth="1"/>
    <col min="10756" max="10756" width="14.85546875" customWidth="1"/>
    <col min="10757" max="10757" width="15.140625" customWidth="1"/>
    <col min="10758" max="10758" width="10.140625" customWidth="1"/>
    <col min="10759" max="10759" width="10.5703125" customWidth="1"/>
    <col min="11009" max="11009" width="9.85546875" customWidth="1"/>
    <col min="11010" max="11010" width="13.140625" customWidth="1"/>
    <col min="11011" max="11011" width="15.140625" customWidth="1"/>
    <col min="11012" max="11012" width="14.85546875" customWidth="1"/>
    <col min="11013" max="11013" width="15.140625" customWidth="1"/>
    <col min="11014" max="11014" width="10.140625" customWidth="1"/>
    <col min="11015" max="11015" width="10.5703125" customWidth="1"/>
    <col min="11265" max="11265" width="9.85546875" customWidth="1"/>
    <col min="11266" max="11266" width="13.140625" customWidth="1"/>
    <col min="11267" max="11267" width="15.140625" customWidth="1"/>
    <col min="11268" max="11268" width="14.85546875" customWidth="1"/>
    <col min="11269" max="11269" width="15.140625" customWidth="1"/>
    <col min="11270" max="11270" width="10.140625" customWidth="1"/>
    <col min="11271" max="11271" width="10.5703125" customWidth="1"/>
    <col min="11521" max="11521" width="9.85546875" customWidth="1"/>
    <col min="11522" max="11522" width="13.140625" customWidth="1"/>
    <col min="11523" max="11523" width="15.140625" customWidth="1"/>
    <col min="11524" max="11524" width="14.85546875" customWidth="1"/>
    <col min="11525" max="11525" width="15.140625" customWidth="1"/>
    <col min="11526" max="11526" width="10.140625" customWidth="1"/>
    <col min="11527" max="11527" width="10.5703125" customWidth="1"/>
    <col min="11777" max="11777" width="9.85546875" customWidth="1"/>
    <col min="11778" max="11778" width="13.140625" customWidth="1"/>
    <col min="11779" max="11779" width="15.140625" customWidth="1"/>
    <col min="11780" max="11780" width="14.85546875" customWidth="1"/>
    <col min="11781" max="11781" width="15.140625" customWidth="1"/>
    <col min="11782" max="11782" width="10.140625" customWidth="1"/>
    <col min="11783" max="11783" width="10.5703125" customWidth="1"/>
    <col min="12033" max="12033" width="9.85546875" customWidth="1"/>
    <col min="12034" max="12034" width="13.140625" customWidth="1"/>
    <col min="12035" max="12035" width="15.140625" customWidth="1"/>
    <col min="12036" max="12036" width="14.85546875" customWidth="1"/>
    <col min="12037" max="12037" width="15.140625" customWidth="1"/>
    <col min="12038" max="12038" width="10.140625" customWidth="1"/>
    <col min="12039" max="12039" width="10.5703125" customWidth="1"/>
    <col min="12289" max="12289" width="9.85546875" customWidth="1"/>
    <col min="12290" max="12290" width="13.140625" customWidth="1"/>
    <col min="12291" max="12291" width="15.140625" customWidth="1"/>
    <col min="12292" max="12292" width="14.85546875" customWidth="1"/>
    <col min="12293" max="12293" width="15.140625" customWidth="1"/>
    <col min="12294" max="12294" width="10.140625" customWidth="1"/>
    <col min="12295" max="12295" width="10.5703125" customWidth="1"/>
    <col min="12545" max="12545" width="9.85546875" customWidth="1"/>
    <col min="12546" max="12546" width="13.140625" customWidth="1"/>
    <col min="12547" max="12547" width="15.140625" customWidth="1"/>
    <col min="12548" max="12548" width="14.85546875" customWidth="1"/>
    <col min="12549" max="12549" width="15.140625" customWidth="1"/>
    <col min="12550" max="12550" width="10.140625" customWidth="1"/>
    <col min="12551" max="12551" width="10.5703125" customWidth="1"/>
    <col min="12801" max="12801" width="9.85546875" customWidth="1"/>
    <col min="12802" max="12802" width="13.140625" customWidth="1"/>
    <col min="12803" max="12803" width="15.140625" customWidth="1"/>
    <col min="12804" max="12804" width="14.85546875" customWidth="1"/>
    <col min="12805" max="12805" width="15.140625" customWidth="1"/>
    <col min="12806" max="12806" width="10.140625" customWidth="1"/>
    <col min="12807" max="12807" width="10.5703125" customWidth="1"/>
    <col min="13057" max="13057" width="9.85546875" customWidth="1"/>
    <col min="13058" max="13058" width="13.140625" customWidth="1"/>
    <col min="13059" max="13059" width="15.140625" customWidth="1"/>
    <col min="13060" max="13060" width="14.85546875" customWidth="1"/>
    <col min="13061" max="13061" width="15.140625" customWidth="1"/>
    <col min="13062" max="13062" width="10.140625" customWidth="1"/>
    <col min="13063" max="13063" width="10.5703125" customWidth="1"/>
    <col min="13313" max="13313" width="9.85546875" customWidth="1"/>
    <col min="13314" max="13314" width="13.140625" customWidth="1"/>
    <col min="13315" max="13315" width="15.140625" customWidth="1"/>
    <col min="13316" max="13316" width="14.85546875" customWidth="1"/>
    <col min="13317" max="13317" width="15.140625" customWidth="1"/>
    <col min="13318" max="13318" width="10.140625" customWidth="1"/>
    <col min="13319" max="13319" width="10.5703125" customWidth="1"/>
    <col min="13569" max="13569" width="9.85546875" customWidth="1"/>
    <col min="13570" max="13570" width="13.140625" customWidth="1"/>
    <col min="13571" max="13571" width="15.140625" customWidth="1"/>
    <col min="13572" max="13572" width="14.85546875" customWidth="1"/>
    <col min="13573" max="13573" width="15.140625" customWidth="1"/>
    <col min="13574" max="13574" width="10.140625" customWidth="1"/>
    <col min="13575" max="13575" width="10.5703125" customWidth="1"/>
    <col min="13825" max="13825" width="9.85546875" customWidth="1"/>
    <col min="13826" max="13826" width="13.140625" customWidth="1"/>
    <col min="13827" max="13827" width="15.140625" customWidth="1"/>
    <col min="13828" max="13828" width="14.85546875" customWidth="1"/>
    <col min="13829" max="13829" width="15.140625" customWidth="1"/>
    <col min="13830" max="13830" width="10.140625" customWidth="1"/>
    <col min="13831" max="13831" width="10.5703125" customWidth="1"/>
    <col min="14081" max="14081" width="9.85546875" customWidth="1"/>
    <col min="14082" max="14082" width="13.140625" customWidth="1"/>
    <col min="14083" max="14083" width="15.140625" customWidth="1"/>
    <col min="14084" max="14084" width="14.85546875" customWidth="1"/>
    <col min="14085" max="14085" width="15.140625" customWidth="1"/>
    <col min="14086" max="14086" width="10.140625" customWidth="1"/>
    <col min="14087" max="14087" width="10.5703125" customWidth="1"/>
    <col min="14337" max="14337" width="9.85546875" customWidth="1"/>
    <col min="14338" max="14338" width="13.140625" customWidth="1"/>
    <col min="14339" max="14339" width="15.140625" customWidth="1"/>
    <col min="14340" max="14340" width="14.85546875" customWidth="1"/>
    <col min="14341" max="14341" width="15.140625" customWidth="1"/>
    <col min="14342" max="14342" width="10.140625" customWidth="1"/>
    <col min="14343" max="14343" width="10.5703125" customWidth="1"/>
    <col min="14593" max="14593" width="9.85546875" customWidth="1"/>
    <col min="14594" max="14594" width="13.140625" customWidth="1"/>
    <col min="14595" max="14595" width="15.140625" customWidth="1"/>
    <col min="14596" max="14596" width="14.85546875" customWidth="1"/>
    <col min="14597" max="14597" width="15.140625" customWidth="1"/>
    <col min="14598" max="14598" width="10.140625" customWidth="1"/>
    <col min="14599" max="14599" width="10.5703125" customWidth="1"/>
    <col min="14849" max="14849" width="9.85546875" customWidth="1"/>
    <col min="14850" max="14850" width="13.140625" customWidth="1"/>
    <col min="14851" max="14851" width="15.140625" customWidth="1"/>
    <col min="14852" max="14852" width="14.85546875" customWidth="1"/>
    <col min="14853" max="14853" width="15.140625" customWidth="1"/>
    <col min="14854" max="14854" width="10.140625" customWidth="1"/>
    <col min="14855" max="14855" width="10.5703125" customWidth="1"/>
    <col min="15105" max="15105" width="9.85546875" customWidth="1"/>
    <col min="15106" max="15106" width="13.140625" customWidth="1"/>
    <col min="15107" max="15107" width="15.140625" customWidth="1"/>
    <col min="15108" max="15108" width="14.85546875" customWidth="1"/>
    <col min="15109" max="15109" width="15.140625" customWidth="1"/>
    <col min="15110" max="15110" width="10.140625" customWidth="1"/>
    <col min="15111" max="15111" width="10.5703125" customWidth="1"/>
    <col min="15361" max="15361" width="9.85546875" customWidth="1"/>
    <col min="15362" max="15362" width="13.140625" customWidth="1"/>
    <col min="15363" max="15363" width="15.140625" customWidth="1"/>
    <col min="15364" max="15364" width="14.85546875" customWidth="1"/>
    <col min="15365" max="15365" width="15.140625" customWidth="1"/>
    <col min="15366" max="15366" width="10.140625" customWidth="1"/>
    <col min="15367" max="15367" width="10.5703125" customWidth="1"/>
    <col min="15617" max="15617" width="9.85546875" customWidth="1"/>
    <col min="15618" max="15618" width="13.140625" customWidth="1"/>
    <col min="15619" max="15619" width="15.140625" customWidth="1"/>
    <col min="15620" max="15620" width="14.85546875" customWidth="1"/>
    <col min="15621" max="15621" width="15.140625" customWidth="1"/>
    <col min="15622" max="15622" width="10.140625" customWidth="1"/>
    <col min="15623" max="15623" width="10.5703125" customWidth="1"/>
    <col min="15873" max="15873" width="9.85546875" customWidth="1"/>
    <col min="15874" max="15874" width="13.140625" customWidth="1"/>
    <col min="15875" max="15875" width="15.140625" customWidth="1"/>
    <col min="15876" max="15876" width="14.85546875" customWidth="1"/>
    <col min="15877" max="15877" width="15.140625" customWidth="1"/>
    <col min="15878" max="15878" width="10.140625" customWidth="1"/>
    <col min="15879" max="15879" width="10.5703125" customWidth="1"/>
    <col min="16129" max="16129" width="9.85546875" customWidth="1"/>
    <col min="16130" max="16130" width="13.140625" customWidth="1"/>
    <col min="16131" max="16131" width="15.140625" customWidth="1"/>
    <col min="16132" max="16132" width="14.85546875" customWidth="1"/>
    <col min="16133" max="16133" width="15.140625" customWidth="1"/>
    <col min="16134" max="16134" width="10.140625" customWidth="1"/>
    <col min="16135" max="16135" width="10.5703125" customWidth="1"/>
  </cols>
  <sheetData>
    <row r="1" spans="1:9" ht="18">
      <c r="A1" s="1759" t="s">
        <v>2684</v>
      </c>
      <c r="B1" s="1759"/>
      <c r="C1" s="1759"/>
      <c r="D1" s="1759"/>
      <c r="E1" s="1759"/>
      <c r="F1" s="1759"/>
      <c r="G1" s="1759"/>
      <c r="H1" s="1759"/>
      <c r="I1" s="1759"/>
    </row>
    <row r="2" spans="1:9" ht="18">
      <c r="A2" s="1760" t="s">
        <v>2685</v>
      </c>
      <c r="B2" s="1760"/>
      <c r="C2" s="1760"/>
      <c r="D2" s="1760"/>
      <c r="E2" s="1760"/>
      <c r="F2" s="1760"/>
      <c r="G2" s="1760"/>
      <c r="H2" s="1760"/>
      <c r="I2" s="1760"/>
    </row>
    <row r="3" spans="1:9" ht="15.75">
      <c r="A3" s="1761" t="s">
        <v>2716</v>
      </c>
      <c r="B3" s="1761"/>
      <c r="C3" s="1761"/>
      <c r="D3" s="1761"/>
      <c r="E3" s="1761"/>
      <c r="F3" s="1761"/>
      <c r="G3" s="1761"/>
      <c r="H3" s="1761"/>
      <c r="I3" s="1761"/>
    </row>
    <row r="4" spans="1:9" ht="15.75">
      <c r="A4" s="1762" t="s">
        <v>2717</v>
      </c>
      <c r="B4" s="1762"/>
      <c r="C4" s="1762"/>
      <c r="D4" s="1762"/>
      <c r="E4" s="1762"/>
      <c r="F4" s="1762"/>
      <c r="G4" s="1762"/>
      <c r="H4" s="1762"/>
      <c r="I4" s="1762"/>
    </row>
    <row r="5" spans="1:9">
      <c r="A5" s="1169"/>
      <c r="B5" s="1170"/>
      <c r="C5" s="1170"/>
      <c r="D5" s="1170"/>
      <c r="E5" s="1170"/>
      <c r="F5" s="1170"/>
      <c r="G5" s="1170"/>
    </row>
    <row r="6" spans="1:9" ht="15">
      <c r="A6" s="1171" t="s">
        <v>2718</v>
      </c>
      <c r="B6" s="1171"/>
      <c r="C6" s="1171"/>
      <c r="D6" s="1171"/>
      <c r="E6" s="1171"/>
      <c r="F6" s="1171"/>
      <c r="G6" s="1171"/>
      <c r="H6" s="1171"/>
      <c r="I6" s="1171"/>
    </row>
    <row r="7" spans="1:9" ht="15">
      <c r="A7" s="1171" t="s">
        <v>2719</v>
      </c>
      <c r="B7" s="1171"/>
      <c r="C7" s="1171"/>
      <c r="D7" s="1171"/>
      <c r="E7" s="1171"/>
      <c r="F7" s="1171"/>
      <c r="G7" s="1171"/>
      <c r="H7" s="1171"/>
      <c r="I7" s="1171"/>
    </row>
    <row r="8" spans="1:9" ht="15">
      <c r="A8" s="1171" t="s">
        <v>2720</v>
      </c>
      <c r="B8" s="1171"/>
      <c r="C8" s="1171"/>
      <c r="D8" s="1171"/>
      <c r="E8" s="1171"/>
      <c r="F8" s="1171"/>
      <c r="G8" s="1171"/>
      <c r="H8" s="1171"/>
      <c r="I8" s="1171"/>
    </row>
    <row r="9" spans="1:9" ht="15">
      <c r="A9" s="1171"/>
      <c r="B9" s="1172" t="s">
        <v>2721</v>
      </c>
      <c r="C9" s="1172" t="s">
        <v>2722</v>
      </c>
      <c r="D9" s="1171"/>
      <c r="E9" s="1171"/>
      <c r="F9" s="1171"/>
      <c r="G9" s="1171"/>
      <c r="H9" s="1171"/>
      <c r="I9" s="1171"/>
    </row>
    <row r="10" spans="1:9" ht="15">
      <c r="A10" s="1171"/>
      <c r="B10" s="1173">
        <v>2024</v>
      </c>
      <c r="C10" s="1174">
        <f>'[63]dados de projeto'!D14</f>
        <v>3210</v>
      </c>
      <c r="D10" s="1171"/>
      <c r="E10" s="1171"/>
      <c r="F10" s="1171"/>
      <c r="G10" s="1171"/>
      <c r="H10" s="1171"/>
      <c r="I10" s="1171"/>
    </row>
    <row r="11" spans="1:9" ht="15">
      <c r="A11" s="1171"/>
      <c r="B11" s="1173">
        <v>2025</v>
      </c>
      <c r="C11" s="1174">
        <f>C10*('[63]dados de projeto'!$D$12/100+1)</f>
        <v>3306</v>
      </c>
      <c r="D11" s="1171"/>
      <c r="E11" s="1171"/>
      <c r="F11" s="1171"/>
      <c r="G11" s="1171"/>
      <c r="H11" s="1171"/>
      <c r="I11" s="1171"/>
    </row>
    <row r="12" spans="1:9" ht="15">
      <c r="A12" s="1171"/>
      <c r="B12" s="1173">
        <f t="shared" ref="B12:B25" si="0">B11+1</f>
        <v>2026</v>
      </c>
      <c r="C12" s="1174">
        <f>C11*('[63]dados de projeto'!$D$12/100+1)</f>
        <v>3405</v>
      </c>
      <c r="D12" s="1171"/>
      <c r="E12" s="1171"/>
      <c r="F12" s="1171"/>
      <c r="G12" s="1171"/>
      <c r="H12" s="1171"/>
      <c r="I12" s="1171"/>
    </row>
    <row r="13" spans="1:9" ht="15">
      <c r="A13" s="1171"/>
      <c r="B13" s="1173">
        <f t="shared" si="0"/>
        <v>2027</v>
      </c>
      <c r="C13" s="1174">
        <f>C12*('[63]dados de projeto'!$D$12/100+1)</f>
        <v>3507</v>
      </c>
      <c r="D13" s="1171"/>
      <c r="E13" s="1171"/>
      <c r="F13" s="1171"/>
      <c r="G13" s="1171"/>
      <c r="H13" s="1171"/>
      <c r="I13" s="1171"/>
    </row>
    <row r="14" spans="1:9" ht="15">
      <c r="A14" s="1171"/>
      <c r="B14" s="1173">
        <f t="shared" si="0"/>
        <v>2028</v>
      </c>
      <c r="C14" s="1174">
        <f>C13*('[63]dados de projeto'!$D$12/100+1)</f>
        <v>3612</v>
      </c>
      <c r="D14" s="1171"/>
      <c r="E14" s="1171"/>
      <c r="F14" s="1171"/>
      <c r="G14" s="1171"/>
      <c r="H14" s="1171"/>
      <c r="I14" s="1171"/>
    </row>
    <row r="15" spans="1:9" ht="15">
      <c r="A15" s="1171"/>
      <c r="B15" s="1173">
        <f t="shared" si="0"/>
        <v>2029</v>
      </c>
      <c r="C15" s="1174">
        <f>C14*('[63]dados de projeto'!$D$12/100+1)</f>
        <v>3720</v>
      </c>
      <c r="D15" s="1171"/>
      <c r="E15" s="1171"/>
      <c r="F15" s="1171"/>
      <c r="G15" s="1171"/>
      <c r="H15" s="1171"/>
      <c r="I15" s="1171"/>
    </row>
    <row r="16" spans="1:9" ht="15">
      <c r="A16" s="1171"/>
      <c r="B16" s="1173">
        <f t="shared" si="0"/>
        <v>2030</v>
      </c>
      <c r="C16" s="1174">
        <f>C15*('[63]dados de projeto'!$D$12/100+1)</f>
        <v>3832</v>
      </c>
      <c r="D16" s="1171"/>
      <c r="E16" s="1171"/>
      <c r="F16" s="1171"/>
      <c r="G16" s="1171"/>
      <c r="H16" s="1171"/>
      <c r="I16" s="1171"/>
    </row>
    <row r="17" spans="1:9" ht="15">
      <c r="A17" s="1171"/>
      <c r="B17" s="1173">
        <f t="shared" si="0"/>
        <v>2031</v>
      </c>
      <c r="C17" s="1174">
        <f>C16*('[63]dados de projeto'!$D$12/100+1)</f>
        <v>3947</v>
      </c>
      <c r="D17" s="1171"/>
      <c r="E17" s="1171"/>
      <c r="F17" s="1171"/>
      <c r="G17" s="1171"/>
      <c r="H17" s="1171"/>
      <c r="I17" s="1171"/>
    </row>
    <row r="18" spans="1:9" ht="15">
      <c r="A18" s="1171"/>
      <c r="B18" s="1173">
        <f t="shared" si="0"/>
        <v>2032</v>
      </c>
      <c r="C18" s="1174">
        <f>C17*('[63]dados de projeto'!$D$12/100+1)</f>
        <v>4065</v>
      </c>
      <c r="D18" s="1171"/>
      <c r="E18" s="1171"/>
      <c r="F18" s="1171"/>
      <c r="G18" s="1171"/>
      <c r="H18" s="1171"/>
      <c r="I18" s="1171"/>
    </row>
    <row r="19" spans="1:9" ht="15">
      <c r="A19" s="1171"/>
      <c r="B19" s="1173">
        <f t="shared" si="0"/>
        <v>2033</v>
      </c>
      <c r="C19" s="1174">
        <f>C18*('[63]dados de projeto'!$D$12/100+1)</f>
        <v>4187</v>
      </c>
      <c r="D19" s="1171"/>
      <c r="E19" s="1171"/>
      <c r="F19" s="1171"/>
      <c r="G19" s="1171"/>
      <c r="H19" s="1171"/>
      <c r="I19" s="1171"/>
    </row>
    <row r="20" spans="1:9" ht="15">
      <c r="A20" s="1171"/>
      <c r="B20" s="1173">
        <f t="shared" si="0"/>
        <v>2034</v>
      </c>
      <c r="C20" s="1174">
        <f>C19*('[63]dados de projeto'!$D$12/100+1)</f>
        <v>4313</v>
      </c>
      <c r="D20" s="1171"/>
      <c r="E20" s="1171"/>
      <c r="F20" s="1171"/>
      <c r="G20" s="1171"/>
      <c r="H20" s="1171"/>
      <c r="I20" s="1171"/>
    </row>
    <row r="21" spans="1:9" ht="15">
      <c r="A21" s="1171"/>
      <c r="B21" s="1173">
        <f t="shared" si="0"/>
        <v>2035</v>
      </c>
      <c r="C21" s="1174">
        <f>C20*('[63]dados de projeto'!$D$12/100+1)</f>
        <v>4442</v>
      </c>
      <c r="D21" s="1171"/>
      <c r="E21" s="1171"/>
      <c r="F21" s="1171"/>
      <c r="G21" s="1175"/>
      <c r="H21" s="1171"/>
      <c r="I21" s="1171"/>
    </row>
    <row r="22" spans="1:9" ht="15">
      <c r="A22" s="1171"/>
      <c r="B22" s="1173">
        <f t="shared" si="0"/>
        <v>2036</v>
      </c>
      <c r="C22" s="1174">
        <f>C21*('[63]dados de projeto'!$D$12/100+1)</f>
        <v>4575</v>
      </c>
      <c r="D22" s="1171"/>
      <c r="E22" s="1171"/>
      <c r="F22" s="1171"/>
      <c r="G22" s="1171"/>
      <c r="H22" s="1171"/>
      <c r="I22" s="1171"/>
    </row>
    <row r="23" spans="1:9" ht="15">
      <c r="A23" s="1171"/>
      <c r="B23" s="1173">
        <f t="shared" si="0"/>
        <v>2037</v>
      </c>
      <c r="C23" s="1174">
        <f>C22*('[63]dados de projeto'!$D$12/100+1)</f>
        <v>4712</v>
      </c>
      <c r="D23" s="1171"/>
      <c r="E23" s="1171"/>
      <c r="F23" s="1171"/>
      <c r="G23" s="1171"/>
      <c r="H23" s="1171"/>
      <c r="I23" s="1171"/>
    </row>
    <row r="24" spans="1:9" ht="15">
      <c r="A24" s="1171"/>
      <c r="B24" s="1173">
        <f t="shared" si="0"/>
        <v>2038</v>
      </c>
      <c r="C24" s="1174">
        <f>C23*('[63]dados de projeto'!$D$12/100+1)</f>
        <v>4853</v>
      </c>
      <c r="D24" s="1171"/>
      <c r="E24" s="1171"/>
      <c r="F24" s="1171"/>
      <c r="G24" s="1171"/>
      <c r="H24" s="1171"/>
      <c r="I24" s="1171"/>
    </row>
    <row r="25" spans="1:9" ht="15">
      <c r="A25" s="1171"/>
      <c r="B25" s="1176">
        <f t="shared" si="0"/>
        <v>2039</v>
      </c>
      <c r="C25" s="1177">
        <f>C24*('[63]dados de projeto'!$D$12/100+1)</f>
        <v>4999</v>
      </c>
      <c r="D25" s="1171" t="s">
        <v>2723</v>
      </c>
      <c r="E25" s="1171"/>
      <c r="F25" s="1171"/>
      <c r="G25" s="1171"/>
      <c r="H25" s="1171"/>
      <c r="I25" s="1171"/>
    </row>
    <row r="26" spans="1:9" ht="15">
      <c r="A26" s="1171"/>
      <c r="B26" s="1171"/>
      <c r="C26" s="1171"/>
      <c r="D26" s="1171"/>
      <c r="E26" s="1171"/>
      <c r="F26" s="1171"/>
      <c r="G26" s="1171"/>
      <c r="H26" s="1171"/>
      <c r="I26" s="1171"/>
    </row>
    <row r="27" spans="1:9" ht="15">
      <c r="A27" s="1171" t="s">
        <v>2724</v>
      </c>
      <c r="B27" s="1171"/>
      <c r="C27" s="1171"/>
      <c r="D27" s="1171"/>
      <c r="E27" s="1171"/>
      <c r="F27" s="1171"/>
      <c r="G27" s="1171"/>
      <c r="H27" s="1171"/>
      <c r="I27" s="1171"/>
    </row>
    <row r="28" spans="1:9" ht="15">
      <c r="A28" s="1171"/>
      <c r="B28" s="1171"/>
      <c r="C28" s="1171"/>
      <c r="D28" s="1171"/>
      <c r="E28" s="1171"/>
      <c r="F28" s="1171"/>
      <c r="G28" s="1171"/>
      <c r="H28" s="1171"/>
      <c r="I28" s="1171"/>
    </row>
    <row r="29" spans="1:9" ht="36.75">
      <c r="A29" s="1171"/>
      <c r="B29" s="1178" t="s">
        <v>2721</v>
      </c>
      <c r="C29" s="1178" t="s">
        <v>2725</v>
      </c>
      <c r="D29" s="1179" t="s">
        <v>2726</v>
      </c>
      <c r="E29" s="1179" t="s">
        <v>2727</v>
      </c>
      <c r="F29" s="1179" t="s">
        <v>2728</v>
      </c>
      <c r="G29" s="1179" t="s">
        <v>2729</v>
      </c>
      <c r="H29" s="1171"/>
      <c r="I29" s="1171"/>
    </row>
    <row r="30" spans="1:9" ht="15">
      <c r="A30" s="1171"/>
      <c r="B30" s="1180">
        <f t="shared" ref="B30:C45" si="1">B10</f>
        <v>2024</v>
      </c>
      <c r="C30" s="1181">
        <f t="shared" si="1"/>
        <v>3210</v>
      </c>
      <c r="D30" s="1182">
        <f>C30*('[63]dados de projeto'!$D$7)/86400</f>
        <v>7.43</v>
      </c>
      <c r="E30" s="1182">
        <f>D30*'[63]dados de projeto'!$D$5</f>
        <v>8.92</v>
      </c>
      <c r="F30" s="1182">
        <f>E30*'[63]dados de projeto'!$D$6</f>
        <v>13.38</v>
      </c>
      <c r="G30" s="1182">
        <f>(('[63]dados de projeto'!$D$5*'[63]dados de projeto'!$D$7*[63]dimensionamento!C30)/1000)/'[63]dados de projeto'!$D$15</f>
        <v>256.8</v>
      </c>
      <c r="H30" s="1171"/>
      <c r="I30" s="1171"/>
    </row>
    <row r="31" spans="1:9" ht="15">
      <c r="A31" s="1171"/>
      <c r="B31" s="1180">
        <f t="shared" si="1"/>
        <v>2025</v>
      </c>
      <c r="C31" s="1181">
        <f t="shared" si="1"/>
        <v>3306</v>
      </c>
      <c r="D31" s="1182">
        <f>C31*('[63]dados de projeto'!$D$7)/86400</f>
        <v>7.65</v>
      </c>
      <c r="E31" s="1182">
        <f>D31*'[63]dados de projeto'!$D$5</f>
        <v>9.18</v>
      </c>
      <c r="F31" s="1182">
        <f>E31*'[63]dados de projeto'!$D$6</f>
        <v>13.77</v>
      </c>
      <c r="G31" s="1182">
        <f>(('[63]dados de projeto'!$D$5*'[63]dados de projeto'!$D$7*[63]dimensionamento!C31)/1000)/'[63]dados de projeto'!$D$15</f>
        <v>264.5</v>
      </c>
      <c r="H31" s="1171"/>
      <c r="I31" s="1171"/>
    </row>
    <row r="32" spans="1:9" ht="15">
      <c r="A32" s="1171"/>
      <c r="B32" s="1180">
        <f t="shared" si="1"/>
        <v>2026</v>
      </c>
      <c r="C32" s="1181">
        <f t="shared" si="1"/>
        <v>3405</v>
      </c>
      <c r="D32" s="1182">
        <f>C32*('[63]dados de projeto'!$D$7)/86400</f>
        <v>7.88</v>
      </c>
      <c r="E32" s="1182">
        <f>D32*'[63]dados de projeto'!$D$5</f>
        <v>9.4600000000000009</v>
      </c>
      <c r="F32" s="1182">
        <f>E32*'[63]dados de projeto'!$D$6</f>
        <v>14.19</v>
      </c>
      <c r="G32" s="1182">
        <f>(('[63]dados de projeto'!$D$5*'[63]dados de projeto'!$D$7*[63]dimensionamento!C32)/1000)/'[63]dados de projeto'!$D$15</f>
        <v>272.44</v>
      </c>
      <c r="H32" s="1171"/>
      <c r="I32" s="1171"/>
    </row>
    <row r="33" spans="1:9" ht="15">
      <c r="A33" s="1171"/>
      <c r="B33" s="1180">
        <f t="shared" si="1"/>
        <v>2027</v>
      </c>
      <c r="C33" s="1181">
        <f t="shared" si="1"/>
        <v>3507</v>
      </c>
      <c r="D33" s="1182">
        <f>C33*('[63]dados de projeto'!$D$7)/86400</f>
        <v>8.1199999999999992</v>
      </c>
      <c r="E33" s="1182">
        <f>D33*'[63]dados de projeto'!$D$5</f>
        <v>9.74</v>
      </c>
      <c r="F33" s="1182">
        <f>E33*'[63]dados de projeto'!$D$6</f>
        <v>14.61</v>
      </c>
      <c r="G33" s="1182">
        <f>(('[63]dados de projeto'!$D$5*'[63]dados de projeto'!$D$7*[63]dimensionamento!C33)/1000)/'[63]dados de projeto'!$D$15</f>
        <v>280.61</v>
      </c>
      <c r="H33" s="1171"/>
      <c r="I33" s="1171"/>
    </row>
    <row r="34" spans="1:9" ht="15">
      <c r="A34" s="1171"/>
      <c r="B34" s="1180">
        <f t="shared" si="1"/>
        <v>2028</v>
      </c>
      <c r="C34" s="1181">
        <f t="shared" si="1"/>
        <v>3612</v>
      </c>
      <c r="D34" s="1182">
        <f>C34*('[63]dados de projeto'!$D$7)/86400</f>
        <v>8.36</v>
      </c>
      <c r="E34" s="1182">
        <f>D34*'[63]dados de projeto'!$D$5</f>
        <v>10.029999999999999</v>
      </c>
      <c r="F34" s="1182">
        <f>E34*'[63]dados de projeto'!$D$6</f>
        <v>15.05</v>
      </c>
      <c r="G34" s="1182">
        <f>(('[63]dados de projeto'!$D$5*'[63]dados de projeto'!$D$7*[63]dimensionamento!C34)/1000)/'[63]dados de projeto'!$D$15</f>
        <v>289.02999999999997</v>
      </c>
      <c r="H34" s="1171"/>
      <c r="I34" s="1171"/>
    </row>
    <row r="35" spans="1:9" ht="15">
      <c r="A35" s="1171"/>
      <c r="B35" s="1180">
        <f t="shared" si="1"/>
        <v>2029</v>
      </c>
      <c r="C35" s="1181">
        <f t="shared" si="1"/>
        <v>3720</v>
      </c>
      <c r="D35" s="1182">
        <f>C35*('[63]dados de projeto'!$D$7)/86400</f>
        <v>8.61</v>
      </c>
      <c r="E35" s="1182">
        <f>D35*'[63]dados de projeto'!$D$5</f>
        <v>10.33</v>
      </c>
      <c r="F35" s="1182">
        <f>E35*'[63]dados de projeto'!$D$6</f>
        <v>15.5</v>
      </c>
      <c r="G35" s="1182">
        <f>(('[63]dados de projeto'!$D$5*'[63]dados de projeto'!$D$7*[63]dimensionamento!C35)/1000)/'[63]dados de projeto'!$D$15</f>
        <v>297.7</v>
      </c>
      <c r="H35" s="1171"/>
      <c r="I35" s="1171"/>
    </row>
    <row r="36" spans="1:9" ht="15">
      <c r="A36" s="1171"/>
      <c r="B36" s="1180">
        <f t="shared" si="1"/>
        <v>2030</v>
      </c>
      <c r="C36" s="1181">
        <f t="shared" si="1"/>
        <v>3832</v>
      </c>
      <c r="D36" s="1182">
        <f>C36*('[63]dados de projeto'!$D$7)/86400</f>
        <v>8.8699999999999992</v>
      </c>
      <c r="E36" s="1182">
        <f>D36*'[63]dados de projeto'!$D$5</f>
        <v>10.64</v>
      </c>
      <c r="F36" s="1182">
        <f>E36*'[63]dados de projeto'!$D$6</f>
        <v>15.96</v>
      </c>
      <c r="G36" s="1182">
        <f>(('[63]dados de projeto'!$D$5*'[63]dados de projeto'!$D$7*[63]dimensionamento!C36)/1000)/'[63]dados de projeto'!$D$15</f>
        <v>306.63</v>
      </c>
      <c r="H36" s="1171"/>
      <c r="I36" s="1171"/>
    </row>
    <row r="37" spans="1:9" ht="15">
      <c r="A37" s="1171"/>
      <c r="B37" s="1180">
        <f t="shared" si="1"/>
        <v>2031</v>
      </c>
      <c r="C37" s="1181">
        <f t="shared" si="1"/>
        <v>3947</v>
      </c>
      <c r="D37" s="1182">
        <f>C37*('[63]dados de projeto'!$D$7)/86400</f>
        <v>9.14</v>
      </c>
      <c r="E37" s="1182">
        <f>D37*'[63]dados de projeto'!$D$5</f>
        <v>10.97</v>
      </c>
      <c r="F37" s="1182">
        <f>E37*'[63]dados de projeto'!$D$6</f>
        <v>16.46</v>
      </c>
      <c r="G37" s="1182">
        <f>(('[63]dados de projeto'!$D$5*'[63]dados de projeto'!$D$7*[63]dimensionamento!C37)/1000)/'[63]dados de projeto'!$D$15</f>
        <v>315.83</v>
      </c>
      <c r="H37" s="1171"/>
      <c r="I37" s="1171"/>
    </row>
    <row r="38" spans="1:9" ht="15">
      <c r="A38" s="1171"/>
      <c r="B38" s="1180">
        <f t="shared" si="1"/>
        <v>2032</v>
      </c>
      <c r="C38" s="1181">
        <f t="shared" si="1"/>
        <v>4065</v>
      </c>
      <c r="D38" s="1182">
        <f>C38*('[63]dados de projeto'!$D$7)/86400</f>
        <v>9.41</v>
      </c>
      <c r="E38" s="1182">
        <f>D38*'[63]dados de projeto'!$D$5</f>
        <v>11.29</v>
      </c>
      <c r="F38" s="1182">
        <f>E38*'[63]dados de projeto'!$D$6</f>
        <v>16.940000000000001</v>
      </c>
      <c r="G38" s="1182">
        <f>(('[63]dados de projeto'!$D$5*'[63]dados de projeto'!$D$7*[63]dimensionamento!C38)/1000)/'[63]dados de projeto'!$D$15</f>
        <v>325.31</v>
      </c>
      <c r="H38" s="1171"/>
      <c r="I38" s="1171"/>
    </row>
    <row r="39" spans="1:9" ht="15">
      <c r="A39" s="1171"/>
      <c r="B39" s="1180">
        <f t="shared" si="1"/>
        <v>2033</v>
      </c>
      <c r="C39" s="1181">
        <f t="shared" si="1"/>
        <v>4187</v>
      </c>
      <c r="D39" s="1182">
        <f>C39*('[63]dados de projeto'!$D$7)/86400</f>
        <v>9.69</v>
      </c>
      <c r="E39" s="1182">
        <f>D39*'[63]dados de projeto'!$D$5</f>
        <v>11.63</v>
      </c>
      <c r="F39" s="1182">
        <f>E39*'[63]dados de projeto'!$D$6</f>
        <v>17.45</v>
      </c>
      <c r="G39" s="1182">
        <f>(('[63]dados de projeto'!$D$5*'[63]dados de projeto'!$D$7*[63]dimensionamento!C39)/1000)/'[63]dados de projeto'!$D$15</f>
        <v>335.07</v>
      </c>
      <c r="H39" s="1171"/>
      <c r="I39" s="1171"/>
    </row>
    <row r="40" spans="1:9" ht="15">
      <c r="A40" s="1171"/>
      <c r="B40" s="1180">
        <f t="shared" si="1"/>
        <v>2034</v>
      </c>
      <c r="C40" s="1181">
        <f t="shared" si="1"/>
        <v>4313</v>
      </c>
      <c r="D40" s="1182">
        <f>C40*('[63]dados de projeto'!$D$7)/86400</f>
        <v>9.98</v>
      </c>
      <c r="E40" s="1182">
        <f>D40*'[63]dados de projeto'!$D$5</f>
        <v>11.98</v>
      </c>
      <c r="F40" s="1182">
        <f>E40*'[63]dados de projeto'!$D$6</f>
        <v>17.97</v>
      </c>
      <c r="G40" s="1182">
        <f>(('[63]dados de projeto'!$D$5*'[63]dados de projeto'!$D$7*[63]dimensionamento!C40)/1000)/'[63]dados de projeto'!$D$15</f>
        <v>345.12</v>
      </c>
      <c r="H40" s="1171"/>
      <c r="I40" s="1171"/>
    </row>
    <row r="41" spans="1:9" ht="15">
      <c r="A41" s="1171"/>
      <c r="B41" s="1180">
        <f t="shared" si="1"/>
        <v>2035</v>
      </c>
      <c r="C41" s="1181">
        <f t="shared" si="1"/>
        <v>4442</v>
      </c>
      <c r="D41" s="1182">
        <f>C41*('[63]dados de projeto'!$D$7)/86400</f>
        <v>10.28</v>
      </c>
      <c r="E41" s="1182">
        <f>D41*'[63]dados de projeto'!$D$5</f>
        <v>12.34</v>
      </c>
      <c r="F41" s="1182">
        <f>E41*'[63]dados de projeto'!$D$6</f>
        <v>18.510000000000002</v>
      </c>
      <c r="G41" s="1182">
        <f>(('[63]dados de projeto'!$D$5*'[63]dados de projeto'!$D$7*[63]dimensionamento!C41)/1000)/'[63]dados de projeto'!$D$15</f>
        <v>355.47</v>
      </c>
      <c r="H41" s="1171"/>
      <c r="I41" s="1171"/>
    </row>
    <row r="42" spans="1:9" ht="15">
      <c r="A42" s="1171"/>
      <c r="B42" s="1180">
        <f t="shared" si="1"/>
        <v>2036</v>
      </c>
      <c r="C42" s="1181">
        <f t="shared" si="1"/>
        <v>4575</v>
      </c>
      <c r="D42" s="1182">
        <f>C42*('[63]dados de projeto'!$D$7)/86400</f>
        <v>10.59</v>
      </c>
      <c r="E42" s="1182">
        <f>D42*'[63]dados de projeto'!$D$5</f>
        <v>12.71</v>
      </c>
      <c r="F42" s="1182">
        <f>E42*'[63]dados de projeto'!$D$6</f>
        <v>19.07</v>
      </c>
      <c r="G42" s="1182">
        <f>(('[63]dados de projeto'!$D$5*'[63]dados de projeto'!$D$7*[63]dimensionamento!C42)/1000)/'[63]dados de projeto'!$D$15</f>
        <v>366.14</v>
      </c>
      <c r="H42" s="1171"/>
      <c r="I42" s="1171"/>
    </row>
    <row r="43" spans="1:9" ht="15">
      <c r="A43" s="1171"/>
      <c r="B43" s="1180">
        <f t="shared" si="1"/>
        <v>2037</v>
      </c>
      <c r="C43" s="1181">
        <f t="shared" si="1"/>
        <v>4712</v>
      </c>
      <c r="D43" s="1182">
        <f>C43*('[63]dados de projeto'!$D$7)/86400</f>
        <v>10.91</v>
      </c>
      <c r="E43" s="1182">
        <f>D43*'[63]dados de projeto'!$D$5</f>
        <v>13.09</v>
      </c>
      <c r="F43" s="1182">
        <f>E43*'[63]dados de projeto'!$D$6</f>
        <v>19.64</v>
      </c>
      <c r="G43" s="1182">
        <f>(('[63]dados de projeto'!$D$5*'[63]dados de projeto'!$D$7*[63]dimensionamento!C43)/1000)/'[63]dados de projeto'!$D$15</f>
        <v>377.12</v>
      </c>
      <c r="H43" s="1171"/>
      <c r="I43" s="1171"/>
    </row>
    <row r="44" spans="1:9" ht="15">
      <c r="A44" s="1171"/>
      <c r="B44" s="1180">
        <f t="shared" si="1"/>
        <v>2038</v>
      </c>
      <c r="C44" s="1181">
        <f t="shared" si="1"/>
        <v>4853</v>
      </c>
      <c r="D44" s="1182">
        <f>C44*('[63]dados de projeto'!$D$7)/86400</f>
        <v>11.23</v>
      </c>
      <c r="E44" s="1182">
        <f>D44*'[63]dados de projeto'!$D$5</f>
        <v>13.48</v>
      </c>
      <c r="F44" s="1182">
        <f>E44*'[63]dados de projeto'!$D$6</f>
        <v>20.22</v>
      </c>
      <c r="G44" s="1182">
        <f>(('[63]dados de projeto'!$D$5*'[63]dados de projeto'!$D$7*[63]dimensionamento!C44)/1000)/'[63]dados de projeto'!$D$15</f>
        <v>388.43</v>
      </c>
      <c r="H44" s="1171"/>
      <c r="I44" s="1171"/>
    </row>
    <row r="45" spans="1:9" ht="15">
      <c r="A45" s="1171"/>
      <c r="B45" s="1183">
        <f t="shared" si="1"/>
        <v>2039</v>
      </c>
      <c r="C45" s="1184">
        <f t="shared" si="1"/>
        <v>4999</v>
      </c>
      <c r="D45" s="1185">
        <f>C45*('[63]dados de projeto'!$D$7)/86400</f>
        <v>11.57</v>
      </c>
      <c r="E45" s="1185">
        <f>D45*'[63]dados de projeto'!$D$5</f>
        <v>13.88</v>
      </c>
      <c r="F45" s="1185">
        <f>E45*'[63]dados de projeto'!$D$6</f>
        <v>20.82</v>
      </c>
      <c r="G45" s="1185">
        <f>(('[63]dados de projeto'!$D$5*'[63]dados de projeto'!$D$7*[63]dimensionamento!C45)/1000)/'[63]dados de projeto'!$D$15</f>
        <v>400.09</v>
      </c>
      <c r="H45" s="1171"/>
      <c r="I45" s="1171"/>
    </row>
    <row r="46" spans="1:9" ht="15">
      <c r="A46" s="1171"/>
      <c r="B46" s="1186"/>
      <c r="C46" s="1187"/>
      <c r="D46" s="1188"/>
      <c r="E46" s="1188"/>
      <c r="F46" s="1188"/>
      <c r="G46" s="1188"/>
      <c r="H46" s="1171"/>
      <c r="I46" s="1171"/>
    </row>
    <row r="47" spans="1:9" ht="15">
      <c r="A47" s="1171" t="s">
        <v>2730</v>
      </c>
      <c r="B47" s="1171"/>
      <c r="C47" s="1171"/>
      <c r="D47" s="1171"/>
      <c r="E47" s="1171"/>
      <c r="F47" s="1171"/>
      <c r="G47" s="1171"/>
      <c r="H47" s="1171"/>
      <c r="I47" s="1171"/>
    </row>
    <row r="48" spans="1:9" ht="15">
      <c r="A48" s="1189"/>
      <c r="B48" s="1190" t="s">
        <v>2731</v>
      </c>
      <c r="C48" s="1191" t="s">
        <v>2732</v>
      </c>
      <c r="D48" s="1192"/>
      <c r="E48" s="1192"/>
      <c r="F48" s="1192"/>
      <c r="G48" s="1192"/>
      <c r="H48" s="1171"/>
      <c r="I48" s="1171"/>
    </row>
    <row r="49" spans="1:9" ht="15">
      <c r="A49" s="1189"/>
      <c r="B49" s="1190" t="s">
        <v>2731</v>
      </c>
      <c r="C49" s="1193">
        <f>'[63]dados de projeto'!$D$7*[63]dimensionamento!$C$45</f>
        <v>1000215.08</v>
      </c>
      <c r="D49" s="1192" t="s">
        <v>2733</v>
      </c>
      <c r="E49" s="1192"/>
      <c r="F49" s="1193">
        <f>C49/1000</f>
        <v>1000.22</v>
      </c>
      <c r="G49" s="1192" t="s">
        <v>2734</v>
      </c>
      <c r="H49" s="1171"/>
      <c r="I49" s="1171"/>
    </row>
    <row r="50" spans="1:9" ht="15">
      <c r="A50" s="1171" t="s">
        <v>2735</v>
      </c>
      <c r="B50" s="1171"/>
      <c r="C50" s="1171"/>
      <c r="D50" s="1171"/>
      <c r="E50" s="1194">
        <f>'[63]dados de projeto'!D11</f>
        <v>16</v>
      </c>
      <c r="F50" s="1171" t="s">
        <v>2736</v>
      </c>
      <c r="G50" s="1171"/>
      <c r="H50" s="1171"/>
      <c r="I50" s="1171"/>
    </row>
    <row r="51" spans="1:9" ht="15">
      <c r="A51" s="1171"/>
      <c r="B51" s="1190" t="s">
        <v>2737</v>
      </c>
      <c r="C51" s="1195" t="s">
        <v>2738</v>
      </c>
      <c r="D51" s="1192"/>
      <c r="E51" s="1191"/>
      <c r="F51" s="1192"/>
      <c r="G51" s="1171"/>
      <c r="H51" s="1171"/>
      <c r="I51" s="1171"/>
    </row>
    <row r="52" spans="1:9" ht="15">
      <c r="A52" s="1171"/>
      <c r="B52" s="1192"/>
      <c r="C52" s="1191" t="s">
        <v>2699</v>
      </c>
      <c r="D52" s="1192"/>
      <c r="E52" s="1191"/>
      <c r="F52" s="1192"/>
      <c r="G52" s="1171"/>
      <c r="H52" s="1171"/>
      <c r="I52" s="1171"/>
    </row>
    <row r="53" spans="1:9" ht="15">
      <c r="A53" s="1171"/>
      <c r="B53" s="1190" t="s">
        <v>2737</v>
      </c>
      <c r="C53" s="1193">
        <f>'[63]dados de projeto'!$D$5*'[63]dados de projeto'!$D$7*[63]dimensionamento!C45/$E$50</f>
        <v>75016.13</v>
      </c>
      <c r="D53" s="1192" t="s">
        <v>2739</v>
      </c>
      <c r="E53" s="1196">
        <f>C53/1000</f>
        <v>75.02</v>
      </c>
      <c r="F53" s="1171" t="s">
        <v>2740</v>
      </c>
      <c r="G53" s="1197" t="s">
        <v>2741</v>
      </c>
      <c r="H53" s="1198">
        <v>75</v>
      </c>
      <c r="I53" s="1199" t="s">
        <v>2740</v>
      </c>
    </row>
    <row r="54" spans="1:9" ht="15">
      <c r="A54" s="1171" t="s">
        <v>2742</v>
      </c>
      <c r="B54" s="1171"/>
      <c r="C54" s="1171"/>
      <c r="D54" s="1171"/>
      <c r="E54" s="1171"/>
      <c r="F54" s="1175"/>
      <c r="G54" s="1171"/>
      <c r="H54" s="1171"/>
      <c r="I54" s="1171"/>
    </row>
    <row r="55" spans="1:9" ht="15">
      <c r="A55" s="1171"/>
      <c r="B55" s="1190" t="s">
        <v>2743</v>
      </c>
      <c r="C55" s="1195" t="s">
        <v>2744</v>
      </c>
      <c r="D55" s="1192"/>
      <c r="E55" s="1192"/>
      <c r="F55" s="1192"/>
      <c r="G55" s="1171"/>
      <c r="H55" s="1171"/>
      <c r="I55" s="1171"/>
    </row>
    <row r="56" spans="1:9" ht="15">
      <c r="A56" s="1171"/>
      <c r="B56" s="1192"/>
      <c r="C56" s="1191">
        <v>86400</v>
      </c>
      <c r="D56" s="1192"/>
      <c r="E56" s="1192"/>
      <c r="F56" s="1192"/>
      <c r="G56" s="1171"/>
      <c r="H56" s="1171"/>
      <c r="I56" s="1171"/>
    </row>
    <row r="57" spans="1:9" ht="15">
      <c r="A57" s="1171"/>
      <c r="B57" s="1189" t="s">
        <v>2745</v>
      </c>
      <c r="C57" s="1175">
        <f>'[63]dados de projeto'!$D$5*'[63]dados de projeto'!$D$6*'[63]dados de projeto'!$D$7*[63]dimensionamento!C45/86400</f>
        <v>20.84</v>
      </c>
      <c r="D57" s="1171" t="s">
        <v>2746</v>
      </c>
      <c r="E57" s="1197" t="s">
        <v>2741</v>
      </c>
      <c r="F57" s="1200">
        <v>21</v>
      </c>
      <c r="G57" s="1198" t="s">
        <v>2746</v>
      </c>
      <c r="H57" s="1171"/>
      <c r="I57" s="1171"/>
    </row>
    <row r="58" spans="1:9" ht="15">
      <c r="A58" s="1171" t="s">
        <v>2747</v>
      </c>
      <c r="B58" s="1171"/>
      <c r="C58" s="1171"/>
      <c r="D58" s="1171"/>
      <c r="E58" s="1171"/>
      <c r="F58" s="1171"/>
      <c r="G58" s="1171"/>
      <c r="H58" s="1171"/>
      <c r="I58" s="1171"/>
    </row>
    <row r="59" spans="1:9" ht="15">
      <c r="A59" s="1171"/>
      <c r="B59" s="1198" t="s">
        <v>2748</v>
      </c>
      <c r="C59" s="1171"/>
      <c r="D59" s="1171"/>
      <c r="E59" s="1201" t="s">
        <v>2749</v>
      </c>
      <c r="F59" s="1171"/>
      <c r="G59" s="1171"/>
      <c r="H59" s="1171"/>
      <c r="I59" s="1171"/>
    </row>
    <row r="60" spans="1:9" ht="15">
      <c r="A60" s="1171" t="s">
        <v>2750</v>
      </c>
      <c r="B60" s="1171"/>
      <c r="C60" s="1171"/>
      <c r="D60" s="1171"/>
      <c r="E60" s="1175">
        <v>15.25</v>
      </c>
      <c r="F60" s="1171" t="s">
        <v>3</v>
      </c>
      <c r="G60" s="1171" t="s">
        <v>2751</v>
      </c>
      <c r="H60" s="1171"/>
      <c r="I60" s="1171"/>
    </row>
    <row r="61" spans="1:9" ht="15" hidden="1">
      <c r="A61" s="1171" t="s">
        <v>2752</v>
      </c>
      <c r="B61" s="1171"/>
      <c r="C61" s="1171"/>
      <c r="D61" s="1171"/>
      <c r="E61" s="1175">
        <v>0</v>
      </c>
      <c r="F61" s="1171" t="s">
        <v>3</v>
      </c>
      <c r="G61" s="1171" t="s">
        <v>2753</v>
      </c>
      <c r="H61" s="1171"/>
      <c r="I61" s="1171"/>
    </row>
    <row r="62" spans="1:9" ht="15">
      <c r="A62" s="1171" t="s">
        <v>2754</v>
      </c>
      <c r="B62" s="1171"/>
      <c r="C62" s="1171"/>
      <c r="D62" s="1171"/>
      <c r="E62" s="1175">
        <f>E60-60</f>
        <v>-44.75</v>
      </c>
      <c r="F62" s="1171" t="s">
        <v>3</v>
      </c>
      <c r="G62" s="1171" t="s">
        <v>2755</v>
      </c>
      <c r="H62" s="1171"/>
      <c r="I62" s="1171"/>
    </row>
    <row r="63" spans="1:9" ht="15">
      <c r="A63" s="1171" t="s">
        <v>2756</v>
      </c>
      <c r="B63" s="1171"/>
      <c r="C63" s="1171"/>
      <c r="D63" s="1171"/>
      <c r="E63" s="1175">
        <f>E60-70</f>
        <v>-54.75</v>
      </c>
      <c r="F63" s="1171" t="s">
        <v>3</v>
      </c>
      <c r="G63" s="1171" t="s">
        <v>2757</v>
      </c>
      <c r="H63" s="1175"/>
      <c r="I63" s="1171"/>
    </row>
    <row r="64" spans="1:9" ht="15">
      <c r="A64" s="1171" t="s">
        <v>2758</v>
      </c>
      <c r="B64" s="1171"/>
      <c r="C64" s="1171"/>
      <c r="D64" s="1171"/>
      <c r="E64" s="1175">
        <v>15.25</v>
      </c>
      <c r="F64" s="1171" t="s">
        <v>3</v>
      </c>
      <c r="G64" s="1171" t="s">
        <v>2759</v>
      </c>
      <c r="H64" s="1171"/>
      <c r="I64" s="1171"/>
    </row>
    <row r="65" spans="1:9" ht="15">
      <c r="A65" s="1171" t="s">
        <v>2760</v>
      </c>
      <c r="B65" s="1171"/>
      <c r="C65" s="1171"/>
      <c r="D65" s="1171"/>
      <c r="E65" s="1175">
        <f>15.25+0.15+9.1</f>
        <v>24.5</v>
      </c>
      <c r="F65" s="1171" t="s">
        <v>3</v>
      </c>
      <c r="G65" s="1171" t="s">
        <v>2761</v>
      </c>
      <c r="H65" s="1175"/>
      <c r="I65" s="1171"/>
    </row>
    <row r="66" spans="1:9" ht="15">
      <c r="A66" s="1171" t="s">
        <v>2762</v>
      </c>
      <c r="B66" s="1171"/>
      <c r="C66" s="1171"/>
      <c r="D66" s="1171"/>
      <c r="E66" s="1175">
        <f>E65-E64</f>
        <v>9.25</v>
      </c>
      <c r="F66" s="1171" t="s">
        <v>3</v>
      </c>
      <c r="G66" s="1171" t="s">
        <v>2763</v>
      </c>
      <c r="H66" s="1171"/>
      <c r="I66" s="1171"/>
    </row>
    <row r="67" spans="1:9" ht="15">
      <c r="A67" s="1171" t="s">
        <v>2764</v>
      </c>
      <c r="B67" s="1171"/>
      <c r="C67" s="1171"/>
      <c r="D67" s="1171"/>
      <c r="E67" s="1171"/>
      <c r="F67" s="1171"/>
      <c r="G67" s="1171"/>
      <c r="H67" s="1171"/>
      <c r="I67" s="1171"/>
    </row>
    <row r="68" spans="1:9" ht="30.75" customHeight="1">
      <c r="A68" s="1202"/>
      <c r="B68" s="1203" t="s">
        <v>2765</v>
      </c>
      <c r="C68" s="1204" t="s">
        <v>2766</v>
      </c>
      <c r="D68" s="1204"/>
      <c r="E68" s="1204"/>
      <c r="F68" s="1204"/>
      <c r="G68" s="1204"/>
      <c r="H68" s="1202"/>
      <c r="I68" s="1202"/>
    </row>
    <row r="69" spans="1:9" ht="15">
      <c r="A69" s="1171"/>
      <c r="B69" s="1190" t="s">
        <v>2765</v>
      </c>
      <c r="C69" s="1205">
        <f>'[63]dados de projeto'!$D$10*(SQRT((($E$53/2)/3600)))</f>
        <v>0.10199999999999999</v>
      </c>
      <c r="D69" s="1192" t="s">
        <v>3</v>
      </c>
      <c r="E69" s="1198" t="s">
        <v>2767</v>
      </c>
      <c r="F69" s="1198">
        <v>100</v>
      </c>
      <c r="G69" s="1198" t="s">
        <v>2768</v>
      </c>
      <c r="H69" s="1206"/>
      <c r="I69" s="1171"/>
    </row>
    <row r="70" spans="1:9" ht="15">
      <c r="A70" s="1171" t="s">
        <v>2769</v>
      </c>
      <c r="B70" s="1171"/>
      <c r="C70" s="1171"/>
      <c r="D70" s="1171"/>
      <c r="E70" s="1171"/>
      <c r="F70" s="1171"/>
      <c r="G70" s="1171"/>
      <c r="H70" s="1171"/>
      <c r="I70" s="1171"/>
    </row>
    <row r="71" spans="1:9" ht="15">
      <c r="A71" s="1171"/>
      <c r="B71" s="1171"/>
      <c r="C71" s="1171"/>
      <c r="D71" s="1171"/>
      <c r="E71" s="1171"/>
      <c r="F71" s="1171"/>
      <c r="G71" s="1171"/>
      <c r="H71" s="1171"/>
      <c r="I71" s="1171"/>
    </row>
    <row r="72" spans="1:9" ht="15">
      <c r="A72" s="1171"/>
      <c r="B72" s="1190" t="s">
        <v>2770</v>
      </c>
      <c r="C72" s="1195" t="s">
        <v>2771</v>
      </c>
      <c r="D72" s="1192"/>
      <c r="E72" s="1171"/>
      <c r="F72" s="1171"/>
      <c r="G72" s="1171"/>
      <c r="H72" s="1171"/>
      <c r="I72" s="1171"/>
    </row>
    <row r="73" spans="1:9" ht="15">
      <c r="A73" s="1171"/>
      <c r="B73" s="1192"/>
      <c r="C73" s="1191" t="s">
        <v>2772</v>
      </c>
      <c r="D73" s="1192"/>
      <c r="E73" s="1171"/>
      <c r="F73" s="1171"/>
      <c r="G73" s="1171"/>
      <c r="H73" s="1171"/>
      <c r="I73" s="1171"/>
    </row>
    <row r="74" spans="1:9" ht="15">
      <c r="A74" s="1171"/>
      <c r="B74" s="1190" t="s">
        <v>2770</v>
      </c>
      <c r="C74" s="1207">
        <f>((($E$53/2)/3600)*4)/((F69/1000)^2*PI())</f>
        <v>1.33</v>
      </c>
      <c r="D74" s="1192" t="s">
        <v>2773</v>
      </c>
      <c r="E74" s="1171"/>
      <c r="F74" s="1171"/>
      <c r="G74" s="1171"/>
      <c r="H74" s="1171"/>
      <c r="I74" s="1171"/>
    </row>
    <row r="75" spans="1:9" ht="15">
      <c r="A75" s="1189"/>
      <c r="B75" s="1171" t="s">
        <v>2774</v>
      </c>
      <c r="C75" s="1175"/>
      <c r="D75" s="1171"/>
      <c r="E75" s="1175">
        <f>E60-E63</f>
        <v>70</v>
      </c>
      <c r="F75" s="1171" t="s">
        <v>3</v>
      </c>
      <c r="G75" s="1171"/>
      <c r="H75" s="1171"/>
      <c r="I75" s="1171"/>
    </row>
    <row r="76" spans="1:9" ht="15">
      <c r="A76" s="1171" t="s">
        <v>2775</v>
      </c>
      <c r="B76" s="1171"/>
      <c r="C76" s="1171"/>
      <c r="D76" s="1171"/>
      <c r="E76" s="1208" t="s">
        <v>2776</v>
      </c>
      <c r="F76" s="1171"/>
      <c r="G76" s="1171"/>
      <c r="H76" s="1171"/>
      <c r="I76" s="1171"/>
    </row>
    <row r="77" spans="1:9" ht="15">
      <c r="A77" s="1171"/>
      <c r="B77" s="1171"/>
      <c r="C77" s="1171"/>
      <c r="D77" s="1171"/>
      <c r="E77" s="1171"/>
      <c r="F77" s="1171"/>
      <c r="G77" s="1171"/>
      <c r="H77" s="1171"/>
      <c r="I77" s="1171"/>
    </row>
    <row r="78" spans="1:9" ht="15">
      <c r="A78" s="1209" t="s">
        <v>2777</v>
      </c>
      <c r="B78" s="1210" t="s">
        <v>2778</v>
      </c>
      <c r="C78" s="1211" t="s">
        <v>2779</v>
      </c>
      <c r="D78" s="1212" t="s">
        <v>2780</v>
      </c>
      <c r="E78" s="1213"/>
      <c r="F78" s="1213"/>
      <c r="G78" s="1171"/>
      <c r="H78" s="1171"/>
      <c r="I78" s="1171"/>
    </row>
    <row r="79" spans="1:9" ht="15">
      <c r="A79" s="1213"/>
      <c r="B79" s="1210"/>
      <c r="C79" s="1210" t="s">
        <v>2781</v>
      </c>
      <c r="D79" s="1209"/>
      <c r="E79" s="1213"/>
      <c r="F79" s="1213"/>
      <c r="G79" s="1171"/>
      <c r="H79" s="1171"/>
      <c r="I79" s="1171"/>
    </row>
    <row r="80" spans="1:9" ht="15">
      <c r="A80" s="1214" t="s">
        <v>2782</v>
      </c>
      <c r="B80" s="1215">
        <f>10.643*((($E$53/2)/3600)^1.85)*E75/('[63]dados de projeto'!$D$9^1.85*(F69/1000)^4.87)</f>
        <v>1.27</v>
      </c>
      <c r="C80" s="1216" t="s">
        <v>2783</v>
      </c>
      <c r="D80" s="1213"/>
      <c r="E80" s="1213"/>
      <c r="F80" s="1213"/>
      <c r="G80" s="1171"/>
      <c r="H80" s="1171"/>
      <c r="I80" s="1171"/>
    </row>
    <row r="81" spans="1:9" ht="15">
      <c r="A81" s="1171" t="s">
        <v>2784</v>
      </c>
      <c r="B81" s="1171"/>
      <c r="C81" s="1171"/>
      <c r="D81" s="1171"/>
      <c r="E81" s="1171"/>
      <c r="F81" s="1208" t="s">
        <v>2785</v>
      </c>
      <c r="G81" s="1171"/>
      <c r="H81" s="1171"/>
      <c r="I81" s="1171"/>
    </row>
    <row r="82" spans="1:9" ht="15">
      <c r="A82" s="1171"/>
      <c r="B82" s="1171" t="s">
        <v>2786</v>
      </c>
      <c r="C82" s="1171"/>
      <c r="D82" s="1171"/>
      <c r="E82" s="1171"/>
      <c r="F82" s="1171">
        <f>F69</f>
        <v>100</v>
      </c>
      <c r="G82" s="1171" t="s">
        <v>2768</v>
      </c>
      <c r="H82" s="1171"/>
      <c r="I82" s="1171"/>
    </row>
    <row r="83" spans="1:9" ht="15">
      <c r="A83" s="1171"/>
      <c r="B83" s="1171" t="s">
        <v>2787</v>
      </c>
      <c r="C83" s="1171"/>
      <c r="D83" s="1171"/>
      <c r="E83" s="1171"/>
      <c r="F83" s="1175">
        <v>3</v>
      </c>
      <c r="G83" s="1171" t="s">
        <v>3</v>
      </c>
      <c r="H83" s="1171"/>
      <c r="I83" s="1171"/>
    </row>
    <row r="84" spans="1:9" ht="15">
      <c r="A84" s="1171" t="s">
        <v>2788</v>
      </c>
      <c r="B84" s="1171"/>
      <c r="C84" s="1171"/>
      <c r="D84" s="1171"/>
      <c r="E84" s="1171"/>
      <c r="F84" s="1171"/>
      <c r="G84" s="1171"/>
      <c r="H84" s="1171"/>
      <c r="I84" s="1171"/>
    </row>
    <row r="85" spans="1:9" ht="15">
      <c r="A85" s="1171"/>
      <c r="B85" s="1190" t="s">
        <v>2789</v>
      </c>
      <c r="C85" s="1195" t="s">
        <v>2771</v>
      </c>
      <c r="D85" s="1192"/>
      <c r="E85" s="1171"/>
      <c r="F85" s="1171"/>
      <c r="G85" s="1171"/>
      <c r="H85" s="1171"/>
      <c r="I85" s="1171"/>
    </row>
    <row r="86" spans="1:9" ht="15">
      <c r="A86" s="1171"/>
      <c r="B86" s="1192"/>
      <c r="C86" s="1191" t="s">
        <v>2790</v>
      </c>
      <c r="D86" s="1192"/>
      <c r="E86" s="1171"/>
      <c r="F86" s="1171"/>
      <c r="G86" s="1171"/>
      <c r="H86" s="1171"/>
      <c r="I86" s="1171"/>
    </row>
    <row r="87" spans="1:9" ht="15">
      <c r="A87" s="1171"/>
      <c r="B87" s="1190" t="s">
        <v>2789</v>
      </c>
      <c r="C87" s="1207">
        <f>((($E$53/2)/3600)*4)/((F82/1000)^2*PI())</f>
        <v>1.33</v>
      </c>
      <c r="D87" s="1192" t="s">
        <v>2773</v>
      </c>
      <c r="E87" s="1171"/>
      <c r="F87" s="1171"/>
      <c r="G87" s="1171"/>
      <c r="H87" s="1171"/>
      <c r="I87" s="1171"/>
    </row>
    <row r="88" spans="1:9" ht="15">
      <c r="A88" s="1171" t="s">
        <v>2791</v>
      </c>
      <c r="B88" s="1171"/>
      <c r="C88" s="1171"/>
      <c r="D88" s="1171"/>
      <c r="E88" s="1171"/>
      <c r="F88" s="1171"/>
      <c r="G88" s="1171"/>
      <c r="H88" s="1171"/>
      <c r="I88" s="1171"/>
    </row>
    <row r="89" spans="1:9" ht="15">
      <c r="A89" s="1217"/>
      <c r="B89" s="1218" t="s">
        <v>2792</v>
      </c>
      <c r="C89" s="1218"/>
      <c r="D89" s="1218"/>
      <c r="E89" s="1173" t="s">
        <v>2793</v>
      </c>
      <c r="F89" s="1173" t="s">
        <v>2794</v>
      </c>
      <c r="G89" s="1173" t="s">
        <v>2795</v>
      </c>
      <c r="H89" s="1173" t="s">
        <v>2796</v>
      </c>
      <c r="I89" s="1171"/>
    </row>
    <row r="90" spans="1:9" ht="15">
      <c r="A90" s="1217" t="s">
        <v>2797</v>
      </c>
      <c r="B90" s="1218"/>
      <c r="C90" s="1218"/>
      <c r="D90" s="1218"/>
      <c r="E90" s="1173" t="s">
        <v>2798</v>
      </c>
      <c r="F90" s="1173">
        <v>1</v>
      </c>
      <c r="G90" s="1173">
        <v>12</v>
      </c>
      <c r="H90" s="1219">
        <f t="shared" ref="H90:H97" si="2">(($F$82/1000)*F90*G90)</f>
        <v>1.2</v>
      </c>
      <c r="I90" s="1171"/>
    </row>
    <row r="91" spans="1:9" ht="15" hidden="1">
      <c r="A91" s="1171" t="s">
        <v>2797</v>
      </c>
      <c r="B91" s="1171"/>
      <c r="C91" s="1171"/>
      <c r="D91" s="1171"/>
      <c r="E91" s="1173" t="s">
        <v>2799</v>
      </c>
      <c r="F91" s="1220">
        <v>0</v>
      </c>
      <c r="G91" s="1173">
        <v>12</v>
      </c>
      <c r="H91" s="1219">
        <f t="shared" si="2"/>
        <v>0</v>
      </c>
      <c r="I91" s="1171"/>
    </row>
    <row r="92" spans="1:9" ht="15">
      <c r="A92" s="1217" t="s">
        <v>2800</v>
      </c>
      <c r="B92" s="1218"/>
      <c r="C92" s="1218"/>
      <c r="D92" s="1218"/>
      <c r="E92" s="1173">
        <f t="shared" ref="E92:E98" si="3">$F$82</f>
        <v>100</v>
      </c>
      <c r="F92" s="1173">
        <v>1</v>
      </c>
      <c r="G92" s="1173">
        <v>30</v>
      </c>
      <c r="H92" s="1219">
        <f t="shared" si="2"/>
        <v>3</v>
      </c>
      <c r="I92" s="1171"/>
    </row>
    <row r="93" spans="1:9" ht="15">
      <c r="A93" s="1217" t="s">
        <v>2801</v>
      </c>
      <c r="B93" s="1218"/>
      <c r="C93" s="1218"/>
      <c r="D93" s="1218"/>
      <c r="E93" s="1173">
        <f t="shared" si="3"/>
        <v>100</v>
      </c>
      <c r="F93" s="1173">
        <v>2</v>
      </c>
      <c r="G93" s="1173">
        <v>15</v>
      </c>
      <c r="H93" s="1219">
        <f t="shared" si="2"/>
        <v>3</v>
      </c>
      <c r="I93" s="1171"/>
    </row>
    <row r="94" spans="1:9" ht="15">
      <c r="A94" s="1217" t="s">
        <v>2802</v>
      </c>
      <c r="B94" s="1218"/>
      <c r="C94" s="1218"/>
      <c r="D94" s="1218"/>
      <c r="E94" s="1173">
        <f t="shared" si="3"/>
        <v>100</v>
      </c>
      <c r="F94" s="1173">
        <v>2</v>
      </c>
      <c r="G94" s="1173">
        <v>20</v>
      </c>
      <c r="H94" s="1219">
        <f t="shared" si="2"/>
        <v>4</v>
      </c>
      <c r="I94" s="1171"/>
    </row>
    <row r="95" spans="1:9" ht="15">
      <c r="A95" s="1217" t="s">
        <v>2803</v>
      </c>
      <c r="B95" s="1218"/>
      <c r="C95" s="1218"/>
      <c r="D95" s="1218"/>
      <c r="E95" s="1173">
        <f t="shared" si="3"/>
        <v>100</v>
      </c>
      <c r="F95" s="1173">
        <v>1</v>
      </c>
      <c r="G95" s="1173">
        <v>8</v>
      </c>
      <c r="H95" s="1219">
        <f t="shared" si="2"/>
        <v>0.8</v>
      </c>
      <c r="I95" s="1171"/>
    </row>
    <row r="96" spans="1:9" ht="15">
      <c r="A96" s="1217" t="s">
        <v>2804</v>
      </c>
      <c r="B96" s="1218"/>
      <c r="C96" s="1218"/>
      <c r="D96" s="1218"/>
      <c r="E96" s="1173">
        <f t="shared" si="3"/>
        <v>100</v>
      </c>
      <c r="F96" s="1173">
        <v>1</v>
      </c>
      <c r="G96" s="1173">
        <v>100</v>
      </c>
      <c r="H96" s="1219">
        <f t="shared" si="2"/>
        <v>10</v>
      </c>
      <c r="I96" s="1171"/>
    </row>
    <row r="97" spans="1:9" ht="15" hidden="1">
      <c r="A97" s="1171" t="s">
        <v>2805</v>
      </c>
      <c r="B97" s="1171"/>
      <c r="C97" s="1171"/>
      <c r="D97" s="1171"/>
      <c r="E97" s="1173">
        <f t="shared" si="3"/>
        <v>100</v>
      </c>
      <c r="F97" s="1173">
        <v>0</v>
      </c>
      <c r="G97" s="1173">
        <v>250</v>
      </c>
      <c r="H97" s="1219">
        <f t="shared" si="2"/>
        <v>0</v>
      </c>
      <c r="I97" s="1171"/>
    </row>
    <row r="98" spans="1:9" ht="15">
      <c r="A98" s="1217" t="s">
        <v>2806</v>
      </c>
      <c r="B98" s="1218"/>
      <c r="C98" s="1218"/>
      <c r="D98" s="1218"/>
      <c r="E98" s="1173">
        <f t="shared" si="3"/>
        <v>100</v>
      </c>
      <c r="F98" s="1221"/>
      <c r="G98" s="1221"/>
      <c r="H98" s="1219">
        <v>3</v>
      </c>
      <c r="I98" s="1171"/>
    </row>
    <row r="99" spans="1:9" ht="15">
      <c r="A99" s="1171"/>
      <c r="B99" s="1171"/>
      <c r="C99" s="1171"/>
      <c r="D99" s="1171"/>
      <c r="E99" s="1171"/>
      <c r="F99" s="1222" t="s">
        <v>21</v>
      </c>
      <c r="G99" s="1221"/>
      <c r="H99" s="1219">
        <f>SUM(H90:H98)</f>
        <v>25</v>
      </c>
      <c r="I99" s="1171"/>
    </row>
    <row r="100" spans="1:9" ht="15">
      <c r="A100" s="1209" t="s">
        <v>2807</v>
      </c>
      <c r="B100" s="1210" t="s">
        <v>2778</v>
      </c>
      <c r="C100" s="1211" t="s">
        <v>2779</v>
      </c>
      <c r="D100" s="1212" t="s">
        <v>2808</v>
      </c>
      <c r="E100" s="1171"/>
      <c r="F100" s="1171"/>
      <c r="G100" s="1171"/>
      <c r="H100" s="1171"/>
      <c r="I100" s="1171"/>
    </row>
    <row r="101" spans="1:9" ht="15">
      <c r="A101" s="1213"/>
      <c r="B101" s="1210"/>
      <c r="C101" s="1210" t="s">
        <v>2809</v>
      </c>
      <c r="D101" s="1209"/>
      <c r="E101" s="1171"/>
      <c r="F101" s="1171"/>
      <c r="G101" s="1171"/>
      <c r="H101" s="1171"/>
      <c r="I101" s="1171"/>
    </row>
    <row r="102" spans="1:9" ht="15">
      <c r="A102" s="1214" t="s">
        <v>2810</v>
      </c>
      <c r="B102" s="1215">
        <f>10.643*((($E$53/2)/3600)^1.85)*H99/('[63]dados de projeto'!$D$8^1.85*(F82/1000)^4.87)</f>
        <v>0.52</v>
      </c>
      <c r="C102" s="1216" t="s">
        <v>2783</v>
      </c>
      <c r="D102" s="1192"/>
      <c r="E102" s="1171"/>
      <c r="F102" s="1171"/>
      <c r="G102" s="1171"/>
      <c r="H102" s="1171"/>
      <c r="I102" s="1171"/>
    </row>
    <row r="103" spans="1:9" ht="15">
      <c r="A103" s="1171" t="s">
        <v>2811</v>
      </c>
      <c r="B103" s="1171"/>
      <c r="C103" s="1171"/>
      <c r="D103" s="1171"/>
      <c r="E103" s="1171"/>
      <c r="F103" s="1171"/>
      <c r="G103" s="1208" t="s">
        <v>2812</v>
      </c>
      <c r="H103" s="1171"/>
      <c r="I103" s="1171"/>
    </row>
    <row r="104" spans="1:9" ht="15">
      <c r="A104" s="1171"/>
      <c r="B104" s="1171" t="s">
        <v>2813</v>
      </c>
      <c r="C104" s="1171"/>
      <c r="D104" s="1171"/>
      <c r="E104" s="1171"/>
      <c r="F104" s="1171">
        <f>F82</f>
        <v>100</v>
      </c>
      <c r="G104" s="1171" t="s">
        <v>2768</v>
      </c>
      <c r="H104" s="1171"/>
      <c r="I104" s="1171"/>
    </row>
    <row r="105" spans="1:9" ht="15">
      <c r="A105" s="1171"/>
      <c r="B105" s="1171" t="s">
        <v>2814</v>
      </c>
      <c r="C105" s="1171"/>
      <c r="D105" s="1171"/>
      <c r="E105" s="1171"/>
      <c r="F105" s="1175">
        <v>24</v>
      </c>
      <c r="G105" s="1171" t="s">
        <v>3</v>
      </c>
      <c r="H105" s="1171"/>
      <c r="I105" s="1171"/>
    </row>
    <row r="106" spans="1:9" ht="15">
      <c r="A106" s="1171" t="s">
        <v>2815</v>
      </c>
      <c r="B106" s="1171"/>
      <c r="C106" s="1171"/>
      <c r="D106" s="1171"/>
      <c r="E106" s="1171"/>
      <c r="F106" s="1171"/>
      <c r="G106" s="1171"/>
      <c r="H106" s="1171"/>
      <c r="I106" s="1171"/>
    </row>
    <row r="107" spans="1:9" ht="15">
      <c r="A107" s="1171"/>
      <c r="B107" s="1171"/>
      <c r="C107" s="1171"/>
      <c r="D107" s="1171"/>
      <c r="E107" s="1171"/>
      <c r="F107" s="1171"/>
      <c r="G107" s="1171"/>
      <c r="H107" s="1171"/>
      <c r="I107" s="1171"/>
    </row>
    <row r="108" spans="1:9" ht="15">
      <c r="A108" s="1171"/>
      <c r="B108" s="1190" t="s">
        <v>2816</v>
      </c>
      <c r="C108" s="1195" t="s">
        <v>2771</v>
      </c>
      <c r="D108" s="1192"/>
      <c r="E108" s="1171"/>
      <c r="F108" s="1171"/>
      <c r="G108" s="1171"/>
      <c r="H108" s="1171"/>
      <c r="I108" s="1171"/>
    </row>
    <row r="109" spans="1:9" ht="15">
      <c r="A109" s="1171"/>
      <c r="B109" s="1192"/>
      <c r="C109" s="1191" t="s">
        <v>2817</v>
      </c>
      <c r="D109" s="1192"/>
      <c r="E109" s="1171"/>
      <c r="F109" s="1171"/>
      <c r="G109" s="1171"/>
      <c r="H109" s="1171"/>
      <c r="I109" s="1171"/>
    </row>
    <row r="110" spans="1:9" ht="15">
      <c r="A110" s="1171"/>
      <c r="B110" s="1190" t="s">
        <v>2816</v>
      </c>
      <c r="C110" s="1207">
        <f>((($E$53/2)/3600)*4)/((F104/1000)^2*PI())</f>
        <v>1.33</v>
      </c>
      <c r="D110" s="1192" t="s">
        <v>2773</v>
      </c>
      <c r="E110" s="1171"/>
      <c r="F110" s="1171"/>
      <c r="G110" s="1171"/>
      <c r="H110" s="1171"/>
      <c r="I110" s="1171"/>
    </row>
    <row r="111" spans="1:9" ht="15">
      <c r="A111" s="1171"/>
      <c r="B111" s="1171"/>
      <c r="C111" s="1171"/>
      <c r="D111" s="1171"/>
      <c r="E111" s="1171"/>
      <c r="F111" s="1171"/>
      <c r="G111" s="1171"/>
      <c r="H111" s="1171"/>
      <c r="I111" s="1171"/>
    </row>
    <row r="112" spans="1:9" ht="15">
      <c r="A112" s="1171" t="s">
        <v>2818</v>
      </c>
      <c r="B112" s="1171"/>
      <c r="C112" s="1171"/>
      <c r="D112" s="1171"/>
      <c r="E112" s="1171"/>
      <c r="F112" s="1171"/>
      <c r="G112" s="1171"/>
      <c r="H112" s="1171"/>
      <c r="I112" s="1171"/>
    </row>
    <row r="113" spans="1:9" ht="15">
      <c r="A113" s="1217"/>
      <c r="B113" s="1218" t="s">
        <v>2792</v>
      </c>
      <c r="C113" s="1218"/>
      <c r="D113" s="1218"/>
      <c r="E113" s="1173" t="s">
        <v>2793</v>
      </c>
      <c r="F113" s="1173" t="s">
        <v>2794</v>
      </c>
      <c r="G113" s="1173" t="s">
        <v>2795</v>
      </c>
      <c r="H113" s="1173" t="s">
        <v>2819</v>
      </c>
      <c r="I113" s="1171"/>
    </row>
    <row r="114" spans="1:9" ht="15">
      <c r="A114" s="1217" t="s">
        <v>2797</v>
      </c>
      <c r="B114" s="1218"/>
      <c r="C114" s="1218"/>
      <c r="D114" s="1218"/>
      <c r="E114" s="1173" t="s">
        <v>2820</v>
      </c>
      <c r="F114" s="1173">
        <v>0</v>
      </c>
      <c r="G114" s="1173">
        <v>12</v>
      </c>
      <c r="H114" s="1223">
        <f>(($F$104/1000)*F114*G114)</f>
        <v>0</v>
      </c>
      <c r="I114" s="1171"/>
    </row>
    <row r="115" spans="1:9" ht="15">
      <c r="A115" s="1171" t="s">
        <v>2801</v>
      </c>
      <c r="B115" s="1171"/>
      <c r="C115" s="1171"/>
      <c r="D115" s="1171"/>
      <c r="E115" s="1173">
        <f>$F$104</f>
        <v>100</v>
      </c>
      <c r="F115" s="1173">
        <v>0</v>
      </c>
      <c r="G115" s="1173">
        <v>15</v>
      </c>
      <c r="H115" s="1223">
        <f>(($F$104/1000)*F115*G115)</f>
        <v>0</v>
      </c>
      <c r="I115" s="1171"/>
    </row>
    <row r="116" spans="1:9" ht="15">
      <c r="A116" s="1171" t="s">
        <v>2800</v>
      </c>
      <c r="B116" s="1171"/>
      <c r="C116" s="1171"/>
      <c r="D116" s="1171"/>
      <c r="E116" s="1173">
        <f>$F$104</f>
        <v>100</v>
      </c>
      <c r="F116" s="1173">
        <v>2</v>
      </c>
      <c r="G116" s="1173">
        <v>30</v>
      </c>
      <c r="H116" s="1223">
        <f>(($F$104/1000)*F116*G116)</f>
        <v>6</v>
      </c>
      <c r="I116" s="1171"/>
    </row>
    <row r="117" spans="1:9" ht="15">
      <c r="A117" s="1217" t="s">
        <v>2806</v>
      </c>
      <c r="B117" s="1218"/>
      <c r="C117" s="1218"/>
      <c r="D117" s="1218"/>
      <c r="E117" s="1173">
        <f>$F$104</f>
        <v>100</v>
      </c>
      <c r="F117" s="1221"/>
      <c r="G117" s="1221"/>
      <c r="H117" s="1223">
        <f>F105</f>
        <v>24</v>
      </c>
      <c r="I117" s="1171"/>
    </row>
    <row r="118" spans="1:9" ht="15">
      <c r="A118" s="1171"/>
      <c r="B118" s="1171"/>
      <c r="C118" s="1171"/>
      <c r="D118" s="1171"/>
      <c r="E118" s="1171"/>
      <c r="F118" s="1222" t="s">
        <v>21</v>
      </c>
      <c r="G118" s="1221"/>
      <c r="H118" s="1223">
        <f>SUM(H114:H117)</f>
        <v>30</v>
      </c>
      <c r="I118" s="1171"/>
    </row>
    <row r="119" spans="1:9" ht="15">
      <c r="A119" s="1209" t="s">
        <v>2821</v>
      </c>
      <c r="B119" s="1210" t="s">
        <v>2778</v>
      </c>
      <c r="C119" s="1211" t="s">
        <v>2779</v>
      </c>
      <c r="D119" s="1212" t="s">
        <v>2822</v>
      </c>
      <c r="E119" s="1213"/>
      <c r="F119" s="1213"/>
      <c r="G119" s="1171"/>
      <c r="H119" s="1171"/>
      <c r="I119" s="1171"/>
    </row>
    <row r="120" spans="1:9" ht="15">
      <c r="A120" s="1213"/>
      <c r="B120" s="1210"/>
      <c r="C120" s="1210" t="s">
        <v>2823</v>
      </c>
      <c r="D120" s="1209"/>
      <c r="E120" s="1213"/>
      <c r="F120" s="1213"/>
      <c r="G120" s="1171"/>
      <c r="H120" s="1171"/>
      <c r="I120" s="1171"/>
    </row>
    <row r="121" spans="1:9" ht="15">
      <c r="A121" s="1214" t="s">
        <v>2824</v>
      </c>
      <c r="B121" s="1215">
        <f>10.643*((($E$53/2)/3600)^1.85)*H118/('[63]dados de projeto'!$D$8^1.85*(F104/1000)^4.87)</f>
        <v>0.63</v>
      </c>
      <c r="C121" s="1216" t="s">
        <v>2783</v>
      </c>
      <c r="D121" s="1213"/>
      <c r="E121" s="1213"/>
      <c r="F121" s="1213"/>
      <c r="G121" s="1171"/>
      <c r="H121" s="1171"/>
      <c r="I121" s="1171"/>
    </row>
    <row r="122" spans="1:9" ht="15">
      <c r="A122" s="1224"/>
      <c r="B122" s="1224"/>
      <c r="C122" s="1224"/>
      <c r="D122" s="1224"/>
      <c r="E122" s="1224"/>
      <c r="F122" s="1225"/>
      <c r="G122" s="1224"/>
      <c r="H122" s="1224"/>
      <c r="I122" s="1171"/>
    </row>
    <row r="123" spans="1:9" ht="0.75" customHeight="1">
      <c r="A123" s="1224"/>
      <c r="B123" s="1224"/>
      <c r="C123" s="1224"/>
      <c r="D123" s="1224"/>
      <c r="E123" s="1224"/>
      <c r="F123" s="1224"/>
      <c r="G123" s="1224"/>
      <c r="H123" s="1224"/>
      <c r="I123" s="1171"/>
    </row>
    <row r="124" spans="1:9" ht="15" hidden="1">
      <c r="A124" s="1224"/>
      <c r="B124" s="1224"/>
      <c r="C124" s="1224"/>
      <c r="D124" s="1224"/>
      <c r="E124" s="1224"/>
      <c r="F124" s="1226"/>
      <c r="G124" s="1224"/>
      <c r="H124" s="1224"/>
      <c r="I124" s="1171"/>
    </row>
    <row r="125" spans="1:9" ht="15" hidden="1">
      <c r="A125" s="1224"/>
      <c r="B125" s="1224"/>
      <c r="C125" s="1224"/>
      <c r="D125" s="1224"/>
      <c r="E125" s="1224"/>
      <c r="F125" s="1224"/>
      <c r="G125" s="1224"/>
      <c r="H125" s="1224"/>
      <c r="I125" s="1171"/>
    </row>
    <row r="126" spans="1:9" ht="15" hidden="1">
      <c r="A126" s="1224"/>
      <c r="B126" s="1227"/>
      <c r="C126" s="1228"/>
      <c r="D126" s="1229"/>
      <c r="E126" s="1224"/>
      <c r="F126" s="1224"/>
      <c r="G126" s="1224"/>
      <c r="H126" s="1224"/>
      <c r="I126" s="1171"/>
    </row>
    <row r="127" spans="1:9" ht="15" hidden="1">
      <c r="A127" s="1224"/>
      <c r="B127" s="1229"/>
      <c r="C127" s="1230"/>
      <c r="D127" s="1229"/>
      <c r="E127" s="1224"/>
      <c r="F127" s="1224"/>
      <c r="G127" s="1224"/>
      <c r="H127" s="1224"/>
      <c r="I127" s="1231" t="s">
        <v>2825</v>
      </c>
    </row>
    <row r="128" spans="1:9" ht="15" hidden="1">
      <c r="A128" s="1224"/>
      <c r="B128" s="1227"/>
      <c r="C128" s="1232"/>
      <c r="D128" s="1229"/>
      <c r="E128" s="1224"/>
      <c r="F128" s="1224"/>
      <c r="G128" s="1224"/>
      <c r="H128" s="1224"/>
      <c r="I128" s="1171"/>
    </row>
    <row r="129" spans="1:9" ht="15" hidden="1">
      <c r="A129" s="1224"/>
      <c r="B129" s="1224"/>
      <c r="C129" s="1224"/>
      <c r="D129" s="1224"/>
      <c r="E129" s="1224"/>
      <c r="F129" s="1224"/>
      <c r="G129" s="1224"/>
      <c r="H129" s="1224"/>
      <c r="I129" s="1171"/>
    </row>
    <row r="130" spans="1:9" ht="15" hidden="1">
      <c r="A130" s="1233"/>
      <c r="B130" s="1234"/>
      <c r="C130" s="1234"/>
      <c r="D130" s="1235"/>
      <c r="E130" s="1236"/>
      <c r="F130" s="1236"/>
      <c r="G130" s="1236"/>
      <c r="H130" s="1236"/>
      <c r="I130" s="1171"/>
    </row>
    <row r="131" spans="1:9" ht="15" hidden="1">
      <c r="A131" s="1233"/>
      <c r="B131" s="1234"/>
      <c r="C131" s="1234"/>
      <c r="D131" s="1235"/>
      <c r="E131" s="1236"/>
      <c r="F131" s="1236"/>
      <c r="G131" s="1236"/>
      <c r="H131" s="1237"/>
      <c r="I131" s="1171"/>
    </row>
    <row r="132" spans="1:9" ht="15" hidden="1">
      <c r="A132" s="1233"/>
      <c r="B132" s="1234"/>
      <c r="C132" s="1234"/>
      <c r="D132" s="1235"/>
      <c r="E132" s="1236"/>
      <c r="F132" s="1236"/>
      <c r="G132" s="1236"/>
      <c r="H132" s="1237"/>
      <c r="I132" s="1171"/>
    </row>
    <row r="133" spans="1:9" ht="15" hidden="1">
      <c r="A133" s="1233"/>
      <c r="B133" s="1234"/>
      <c r="C133" s="1234"/>
      <c r="D133" s="1235"/>
      <c r="E133" s="1236"/>
      <c r="F133" s="1238"/>
      <c r="G133" s="1238"/>
      <c r="H133" s="1237"/>
      <c r="I133" s="1171"/>
    </row>
    <row r="134" spans="1:9" ht="15" hidden="1">
      <c r="A134" s="1224"/>
      <c r="B134" s="1224"/>
      <c r="C134" s="1224"/>
      <c r="D134" s="1224"/>
      <c r="E134" s="1224"/>
      <c r="F134" s="1239"/>
      <c r="G134" s="1238"/>
      <c r="H134" s="1237"/>
      <c r="I134" s="1171"/>
    </row>
    <row r="135" spans="1:9" ht="15" hidden="1">
      <c r="A135" s="1240"/>
      <c r="B135" s="1241"/>
      <c r="C135" s="1242"/>
      <c r="D135" s="1243"/>
      <c r="E135" s="1244"/>
      <c r="F135" s="1224"/>
      <c r="G135" s="1224"/>
      <c r="H135" s="1224"/>
      <c r="I135" s="1171"/>
    </row>
    <row r="136" spans="1:9" ht="15" hidden="1">
      <c r="A136" s="1244"/>
      <c r="B136" s="1241"/>
      <c r="C136" s="1241"/>
      <c r="D136" s="1240"/>
      <c r="E136" s="1244"/>
      <c r="F136" s="1224"/>
      <c r="G136" s="1224"/>
      <c r="H136" s="1224"/>
      <c r="I136" s="1171"/>
    </row>
    <row r="137" spans="1:9" ht="15" hidden="1">
      <c r="A137" s="1245"/>
      <c r="B137" s="1246"/>
      <c r="C137" s="1244"/>
      <c r="D137" s="1244"/>
      <c r="E137" s="1244"/>
      <c r="F137" s="1224"/>
      <c r="G137" s="1224"/>
      <c r="H137" s="1224"/>
      <c r="I137" s="1171"/>
    </row>
    <row r="138" spans="1:9" ht="15">
      <c r="A138" s="1171" t="s">
        <v>2826</v>
      </c>
      <c r="B138" s="1171"/>
      <c r="C138" s="1171"/>
      <c r="D138" s="1171"/>
      <c r="E138" s="1171"/>
      <c r="F138" s="1171"/>
      <c r="G138" s="1171"/>
      <c r="H138" s="1171"/>
      <c r="I138" s="1171"/>
    </row>
    <row r="139" spans="1:9" ht="15">
      <c r="A139" s="1190" t="s">
        <v>2827</v>
      </c>
      <c r="B139" s="1191" t="s">
        <v>2828</v>
      </c>
      <c r="C139" s="1247" t="s">
        <v>2829</v>
      </c>
      <c r="D139" s="1247" t="s">
        <v>2830</v>
      </c>
      <c r="E139" s="1247" t="s">
        <v>2831</v>
      </c>
      <c r="F139" s="1248"/>
      <c r="G139" s="1171"/>
      <c r="H139" s="1171"/>
      <c r="I139" s="1171"/>
    </row>
    <row r="140" spans="1:9" ht="15">
      <c r="A140" s="1197" t="s">
        <v>2827</v>
      </c>
      <c r="B140" s="1249">
        <f>(E65-E62)+(B80+B102+B121)</f>
        <v>71.67</v>
      </c>
      <c r="C140" s="1198" t="s">
        <v>2783</v>
      </c>
      <c r="D140" s="1192"/>
      <c r="E140" s="1192"/>
      <c r="F140" s="1192"/>
      <c r="G140" s="1171"/>
      <c r="H140" s="1171"/>
      <c r="I140" s="1171"/>
    </row>
    <row r="141" spans="1:9" ht="15">
      <c r="A141" s="1171" t="s">
        <v>2832</v>
      </c>
      <c r="B141" s="1171"/>
      <c r="C141" s="1171"/>
      <c r="D141" s="1171"/>
      <c r="E141" s="1171"/>
      <c r="F141" s="1171"/>
      <c r="G141" s="1175"/>
      <c r="H141" s="1171"/>
      <c r="I141" s="1171"/>
    </row>
    <row r="142" spans="1:9" ht="15">
      <c r="A142" s="1207" t="s">
        <v>2833</v>
      </c>
      <c r="B142" s="1192"/>
      <c r="C142" s="1192"/>
      <c r="D142" s="1207">
        <f>E53/2</f>
        <v>37.51</v>
      </c>
      <c r="E142" s="1192" t="s">
        <v>2834</v>
      </c>
      <c r="F142" s="1171"/>
      <c r="G142" s="1171"/>
      <c r="H142" s="1171"/>
      <c r="I142" s="1171"/>
    </row>
    <row r="143" spans="1:9" ht="15">
      <c r="A143" s="1207" t="s">
        <v>2835</v>
      </c>
      <c r="B143" s="1192"/>
      <c r="C143" s="1192"/>
      <c r="D143" s="1207">
        <f>B140</f>
        <v>71.67</v>
      </c>
      <c r="E143" s="1192" t="str">
        <f>C140</f>
        <v>m.c.a</v>
      </c>
      <c r="F143" s="1171"/>
      <c r="G143" s="1171"/>
      <c r="H143" s="1171"/>
      <c r="I143" s="1171"/>
    </row>
    <row r="144" spans="1:9" ht="15">
      <c r="A144" s="1175"/>
      <c r="B144" s="1171"/>
      <c r="C144" s="1171"/>
      <c r="D144" s="1175"/>
      <c r="E144" s="1171"/>
      <c r="F144" s="1171"/>
      <c r="G144" s="1171"/>
      <c r="H144" s="1171"/>
      <c r="I144" s="1171"/>
    </row>
    <row r="145" spans="1:9" ht="15">
      <c r="A145" s="1171" t="s">
        <v>2836</v>
      </c>
      <c r="B145" s="1171"/>
      <c r="C145" s="1171"/>
      <c r="D145" s="1171"/>
      <c r="E145" s="1171"/>
      <c r="F145" s="1171"/>
      <c r="G145" s="1171"/>
      <c r="H145" s="1171"/>
      <c r="I145" s="1171"/>
    </row>
    <row r="146" spans="1:9" ht="15">
      <c r="A146" s="1171"/>
      <c r="B146" s="1190" t="s">
        <v>2837</v>
      </c>
      <c r="C146" s="1195" t="s">
        <v>2838</v>
      </c>
      <c r="D146" s="1171"/>
      <c r="E146" s="1171"/>
      <c r="F146" s="1171"/>
      <c r="G146" s="1171"/>
      <c r="H146" s="1171"/>
      <c r="I146" s="1171"/>
    </row>
    <row r="147" spans="1:9" ht="15">
      <c r="A147" s="1171"/>
      <c r="B147" s="1192"/>
      <c r="C147" s="1191" t="s">
        <v>2839</v>
      </c>
      <c r="D147" s="1171"/>
      <c r="E147" s="1171"/>
      <c r="F147" s="1171"/>
      <c r="G147" s="1171"/>
      <c r="H147" s="1171"/>
      <c r="I147" s="1171"/>
    </row>
    <row r="148" spans="1:9" ht="15">
      <c r="A148" s="1171" t="s">
        <v>2840</v>
      </c>
      <c r="B148" s="1171"/>
      <c r="C148" s="1171"/>
      <c r="D148" s="1171"/>
      <c r="E148" s="1171"/>
      <c r="F148" s="1171"/>
      <c r="G148" s="1171"/>
      <c r="H148" s="1171"/>
      <c r="I148" s="1171"/>
    </row>
    <row r="149" spans="1:9" ht="15">
      <c r="A149" s="1190" t="s">
        <v>2841</v>
      </c>
      <c r="B149" s="1250">
        <v>0.6</v>
      </c>
      <c r="C149" s="1192"/>
      <c r="D149" s="1192" t="s">
        <v>2842</v>
      </c>
      <c r="E149" s="1192"/>
      <c r="F149" s="1192"/>
      <c r="G149" s="1171"/>
      <c r="H149" s="1171"/>
      <c r="I149" s="1171"/>
    </row>
    <row r="150" spans="1:9" ht="15">
      <c r="A150" s="1190" t="s">
        <v>2843</v>
      </c>
      <c r="B150" s="1251">
        <f>D142</f>
        <v>37.51</v>
      </c>
      <c r="C150" s="1199" t="s">
        <v>2834</v>
      </c>
      <c r="D150" s="1192" t="s">
        <v>2844</v>
      </c>
      <c r="E150" s="1192"/>
      <c r="F150" s="1192"/>
      <c r="G150" s="1171"/>
      <c r="H150" s="1171"/>
      <c r="I150" s="1171"/>
    </row>
    <row r="151" spans="1:9" ht="15">
      <c r="A151" s="1190" t="s">
        <v>2845</v>
      </c>
      <c r="B151" s="1251">
        <f>B140</f>
        <v>71.67</v>
      </c>
      <c r="C151" s="1199" t="s">
        <v>2783</v>
      </c>
      <c r="D151" s="1192" t="s">
        <v>2846</v>
      </c>
      <c r="E151" s="1192"/>
      <c r="F151" s="1192"/>
      <c r="G151" s="1171"/>
      <c r="H151" s="1171"/>
      <c r="I151" s="1171"/>
    </row>
    <row r="152" spans="1:9" ht="15">
      <c r="A152" s="1171"/>
      <c r="B152" s="1171"/>
      <c r="C152" s="1171"/>
      <c r="D152" s="1171"/>
      <c r="E152" s="1171"/>
      <c r="F152" s="1171"/>
      <c r="G152" s="1171"/>
      <c r="H152" s="1171"/>
      <c r="I152" s="1171"/>
    </row>
    <row r="153" spans="1:9" ht="15">
      <c r="A153" s="1171"/>
      <c r="B153" s="1190" t="s">
        <v>2847</v>
      </c>
      <c r="C153" s="1207">
        <f>($B$150/3.6)*$B$151/(75*$B$149)</f>
        <v>16.59</v>
      </c>
      <c r="D153" s="1198" t="s">
        <v>2848</v>
      </c>
      <c r="E153" s="1198"/>
      <c r="F153" s="1171"/>
      <c r="G153" s="1171"/>
      <c r="H153" s="1171"/>
      <c r="I153" s="1171"/>
    </row>
    <row r="154" spans="1:9" ht="15">
      <c r="A154" s="1171"/>
      <c r="B154" s="1171"/>
      <c r="C154" s="1171"/>
      <c r="D154" s="1171"/>
      <c r="E154" s="1171"/>
      <c r="F154" s="1171"/>
      <c r="G154" s="1171"/>
      <c r="H154" s="1171"/>
      <c r="I154" s="1171"/>
    </row>
    <row r="155" spans="1:9" ht="0.75" customHeight="1">
      <c r="A155" s="1171"/>
      <c r="B155" s="1171"/>
      <c r="C155" s="1171"/>
      <c r="D155" s="1171"/>
      <c r="E155" s="1171"/>
      <c r="F155" s="1171"/>
      <c r="G155" s="1171"/>
      <c r="H155" s="1171"/>
      <c r="I155" s="1171"/>
    </row>
    <row r="156" spans="1:9" ht="15" hidden="1">
      <c r="A156" s="1171"/>
      <c r="B156" s="1252"/>
      <c r="C156" s="1171"/>
      <c r="D156" s="1171"/>
      <c r="E156" s="1171"/>
      <c r="F156" s="1171"/>
      <c r="G156" s="1171"/>
      <c r="H156" s="1171"/>
      <c r="I156" s="1171"/>
    </row>
    <row r="157" spans="1:9" ht="15" hidden="1">
      <c r="A157" s="1171"/>
      <c r="B157" s="1224"/>
      <c r="C157" s="1171"/>
      <c r="D157" s="1171"/>
      <c r="E157" s="1171"/>
      <c r="F157" s="1171"/>
      <c r="G157" s="1171"/>
      <c r="H157" s="1171"/>
      <c r="I157" s="1171"/>
    </row>
    <row r="158" spans="1:9" ht="15" hidden="1">
      <c r="A158" s="1171"/>
      <c r="B158" s="1171"/>
      <c r="C158" s="1171"/>
      <c r="D158" s="1171"/>
      <c r="E158" s="1171"/>
      <c r="F158" s="1171"/>
      <c r="G158" s="1171"/>
      <c r="H158" s="1171"/>
      <c r="I158" s="1171"/>
    </row>
    <row r="159" spans="1:9" ht="15" hidden="1">
      <c r="A159" s="1171"/>
      <c r="B159" s="1171"/>
      <c r="C159" s="1171"/>
      <c r="D159" s="1171"/>
      <c r="E159" s="1171"/>
      <c r="F159" s="1171"/>
      <c r="G159" s="1171"/>
      <c r="H159" s="1171"/>
      <c r="I159" s="1171"/>
    </row>
    <row r="160" spans="1:9" ht="15">
      <c r="A160" s="1171"/>
      <c r="B160" s="1198" t="s">
        <v>2748</v>
      </c>
      <c r="C160" s="1171"/>
      <c r="D160" s="1171"/>
      <c r="E160" s="1201" t="s">
        <v>2849</v>
      </c>
      <c r="F160" s="1171"/>
      <c r="G160" s="1171"/>
      <c r="H160" s="1171"/>
      <c r="I160" s="1171"/>
    </row>
    <row r="161" spans="1:9" ht="15">
      <c r="A161" s="1171" t="s">
        <v>2750</v>
      </c>
      <c r="B161" s="1171"/>
      <c r="C161" s="1171"/>
      <c r="D161" s="1171"/>
      <c r="E161" s="1175">
        <v>15.25</v>
      </c>
      <c r="F161" s="1171" t="s">
        <v>3</v>
      </c>
      <c r="G161" s="1171" t="s">
        <v>2751</v>
      </c>
      <c r="H161" s="1171"/>
      <c r="I161" s="1171"/>
    </row>
    <row r="162" spans="1:9" ht="15" hidden="1">
      <c r="A162" s="1171" t="s">
        <v>2752</v>
      </c>
      <c r="B162" s="1171"/>
      <c r="C162" s="1171"/>
      <c r="D162" s="1171"/>
      <c r="E162" s="1175">
        <v>0</v>
      </c>
      <c r="F162" s="1171" t="s">
        <v>3</v>
      </c>
      <c r="G162" s="1171" t="s">
        <v>2753</v>
      </c>
      <c r="H162" s="1171"/>
      <c r="I162" s="1171"/>
    </row>
    <row r="163" spans="1:9" ht="15">
      <c r="A163" s="1171" t="s">
        <v>2754</v>
      </c>
      <c r="B163" s="1171"/>
      <c r="C163" s="1171"/>
      <c r="D163" s="1171"/>
      <c r="E163" s="1175">
        <f>E161-60</f>
        <v>-44.75</v>
      </c>
      <c r="F163" s="1171" t="s">
        <v>3</v>
      </c>
      <c r="G163" s="1171" t="s">
        <v>2755</v>
      </c>
      <c r="H163" s="1171"/>
      <c r="I163" s="1171"/>
    </row>
    <row r="164" spans="1:9" ht="15">
      <c r="A164" s="1171" t="s">
        <v>2756</v>
      </c>
      <c r="B164" s="1171"/>
      <c r="C164" s="1171"/>
      <c r="D164" s="1171"/>
      <c r="E164" s="1175">
        <f>E161-70</f>
        <v>-54.75</v>
      </c>
      <c r="F164" s="1171" t="s">
        <v>3</v>
      </c>
      <c r="G164" s="1171" t="s">
        <v>2757</v>
      </c>
      <c r="H164" s="1171"/>
      <c r="I164" s="1171"/>
    </row>
    <row r="165" spans="1:9" ht="15">
      <c r="A165" s="1171" t="s">
        <v>2758</v>
      </c>
      <c r="B165" s="1171"/>
      <c r="C165" s="1171"/>
      <c r="D165" s="1171"/>
      <c r="E165" s="1175">
        <v>15.25</v>
      </c>
      <c r="F165" s="1171" t="s">
        <v>3</v>
      </c>
      <c r="G165" s="1171" t="s">
        <v>2759</v>
      </c>
      <c r="H165" s="1171"/>
      <c r="I165" s="1171"/>
    </row>
    <row r="166" spans="1:9" ht="15">
      <c r="A166" s="1171" t="s">
        <v>2850</v>
      </c>
      <c r="B166" s="1171"/>
      <c r="C166" s="1171"/>
      <c r="D166" s="1171"/>
      <c r="E166" s="1175">
        <f>15.25+0.15+9.1</f>
        <v>24.5</v>
      </c>
      <c r="F166" s="1171" t="s">
        <v>3</v>
      </c>
      <c r="G166" s="1171" t="s">
        <v>2761</v>
      </c>
      <c r="H166" s="1175"/>
      <c r="I166" s="1171"/>
    </row>
    <row r="167" spans="1:9" ht="15">
      <c r="A167" s="1171" t="s">
        <v>2851</v>
      </c>
      <c r="B167" s="1171"/>
      <c r="C167" s="1171"/>
      <c r="D167" s="1171"/>
      <c r="E167" s="1175">
        <f>E166-E165</f>
        <v>9.25</v>
      </c>
      <c r="F167" s="1171" t="s">
        <v>3</v>
      </c>
      <c r="G167" s="1171" t="s">
        <v>2763</v>
      </c>
      <c r="H167" s="1171"/>
      <c r="I167" s="1171"/>
    </row>
    <row r="168" spans="1:9" ht="15">
      <c r="A168" s="1171" t="s">
        <v>2764</v>
      </c>
      <c r="B168" s="1171"/>
      <c r="C168" s="1171"/>
      <c r="D168" s="1171"/>
      <c r="E168" s="1171"/>
      <c r="F168" s="1171"/>
      <c r="G168" s="1171"/>
      <c r="H168" s="1171"/>
      <c r="I168" s="1171"/>
    </row>
    <row r="169" spans="1:9" ht="30.75" customHeight="1">
      <c r="A169" s="1202"/>
      <c r="B169" s="1203" t="s">
        <v>2765</v>
      </c>
      <c r="C169" s="1204" t="s">
        <v>2766</v>
      </c>
      <c r="D169" s="1204"/>
      <c r="E169" s="1204"/>
      <c r="F169" s="1204"/>
      <c r="G169" s="1204"/>
      <c r="H169" s="1202"/>
      <c r="I169" s="1202"/>
    </row>
    <row r="170" spans="1:9" ht="15">
      <c r="A170" s="1171"/>
      <c r="B170" s="1190" t="s">
        <v>2765</v>
      </c>
      <c r="C170" s="1205">
        <f>'[63]dados de projeto'!$D$10*(SQRT((($E$53/2)/3600)))</f>
        <v>0.10199999999999999</v>
      </c>
      <c r="D170" s="1192" t="s">
        <v>3</v>
      </c>
      <c r="E170" s="1198" t="s">
        <v>2767</v>
      </c>
      <c r="F170" s="1198">
        <v>100</v>
      </c>
      <c r="G170" s="1198" t="s">
        <v>2768</v>
      </c>
      <c r="H170" s="1206"/>
      <c r="I170" s="1171"/>
    </row>
    <row r="171" spans="1:9" ht="15">
      <c r="A171" s="1171" t="s">
        <v>2769</v>
      </c>
      <c r="B171" s="1171"/>
      <c r="C171" s="1171"/>
      <c r="D171" s="1171"/>
      <c r="E171" s="1171"/>
      <c r="F171" s="1171"/>
      <c r="G171" s="1171"/>
      <c r="H171" s="1171"/>
      <c r="I171" s="1171"/>
    </row>
    <row r="172" spans="1:9" ht="15">
      <c r="A172" s="1171"/>
      <c r="B172" s="1171"/>
      <c r="C172" s="1171"/>
      <c r="D172" s="1171"/>
      <c r="E172" s="1171"/>
      <c r="F172" s="1171"/>
      <c r="G172" s="1171"/>
      <c r="H172" s="1171"/>
      <c r="I172" s="1171"/>
    </row>
    <row r="173" spans="1:9" ht="15">
      <c r="A173" s="1171"/>
      <c r="B173" s="1190" t="s">
        <v>2770</v>
      </c>
      <c r="C173" s="1195" t="s">
        <v>2771</v>
      </c>
      <c r="D173" s="1192"/>
      <c r="E173" s="1171"/>
      <c r="F173" s="1171"/>
      <c r="G173" s="1171"/>
      <c r="H173" s="1171"/>
      <c r="I173" s="1171"/>
    </row>
    <row r="174" spans="1:9" ht="15">
      <c r="A174" s="1171"/>
      <c r="B174" s="1192"/>
      <c r="C174" s="1191" t="s">
        <v>2772</v>
      </c>
      <c r="D174" s="1192"/>
      <c r="E174" s="1171"/>
      <c r="F174" s="1171"/>
      <c r="G174" s="1171"/>
      <c r="H174" s="1171"/>
      <c r="I174" s="1171"/>
    </row>
    <row r="175" spans="1:9" ht="15">
      <c r="A175" s="1171"/>
      <c r="B175" s="1190" t="s">
        <v>2770</v>
      </c>
      <c r="C175" s="1207">
        <f>((($E$53/2/3600)*4)/((F170/1000)^2*PI()))</f>
        <v>1.33</v>
      </c>
      <c r="D175" s="1192" t="s">
        <v>2773</v>
      </c>
      <c r="E175" s="1171"/>
      <c r="F175" s="1171"/>
      <c r="G175" s="1171"/>
      <c r="H175" s="1171"/>
      <c r="I175" s="1171"/>
    </row>
    <row r="176" spans="1:9" ht="15">
      <c r="A176" s="1189"/>
      <c r="B176" s="1171" t="s">
        <v>2774</v>
      </c>
      <c r="C176" s="1175"/>
      <c r="D176" s="1171"/>
      <c r="E176" s="1175">
        <f>E161-E164</f>
        <v>70</v>
      </c>
      <c r="F176" s="1171" t="s">
        <v>3</v>
      </c>
      <c r="G176" s="1171"/>
      <c r="H176" s="1171"/>
      <c r="I176" s="1171"/>
    </row>
    <row r="177" spans="1:9" ht="15">
      <c r="A177" s="1171" t="s">
        <v>2775</v>
      </c>
      <c r="B177" s="1171"/>
      <c r="C177" s="1171"/>
      <c r="D177" s="1171"/>
      <c r="E177" s="1208" t="s">
        <v>2776</v>
      </c>
      <c r="F177" s="1171"/>
      <c r="G177" s="1171"/>
      <c r="H177" s="1171"/>
      <c r="I177" s="1171"/>
    </row>
    <row r="178" spans="1:9" ht="15">
      <c r="A178" s="1171"/>
      <c r="B178" s="1171"/>
      <c r="C178" s="1171"/>
      <c r="D178" s="1171"/>
      <c r="E178" s="1171"/>
      <c r="F178" s="1171"/>
      <c r="G178" s="1171"/>
      <c r="H178" s="1171"/>
      <c r="I178" s="1171"/>
    </row>
    <row r="179" spans="1:9" ht="15">
      <c r="A179" s="1209" t="s">
        <v>2777</v>
      </c>
      <c r="B179" s="1210" t="s">
        <v>2778</v>
      </c>
      <c r="C179" s="1211" t="s">
        <v>2779</v>
      </c>
      <c r="D179" s="1212" t="s">
        <v>2780</v>
      </c>
      <c r="E179" s="1213"/>
      <c r="F179" s="1213"/>
      <c r="G179" s="1171"/>
      <c r="H179" s="1171"/>
      <c r="I179" s="1171"/>
    </row>
    <row r="180" spans="1:9" ht="15">
      <c r="A180" s="1213"/>
      <c r="B180" s="1210"/>
      <c r="C180" s="1210" t="s">
        <v>2781</v>
      </c>
      <c r="D180" s="1209"/>
      <c r="E180" s="1213"/>
      <c r="F180" s="1213"/>
      <c r="G180" s="1171"/>
      <c r="H180" s="1171"/>
      <c r="I180" s="1171"/>
    </row>
    <row r="181" spans="1:9" ht="15">
      <c r="A181" s="1214" t="s">
        <v>2782</v>
      </c>
      <c r="B181" s="1215">
        <f>10.643*((($E$53/2)/3600)^1.85)*E176/('[63]dados de projeto'!$D$9^1.85*(F170/1000)^4.87)</f>
        <v>1.27</v>
      </c>
      <c r="C181" s="1216" t="s">
        <v>2783</v>
      </c>
      <c r="D181" s="1213"/>
      <c r="E181" s="1213"/>
      <c r="F181" s="1213"/>
      <c r="G181" s="1171"/>
      <c r="H181" s="1171"/>
      <c r="I181" s="1171"/>
    </row>
    <row r="182" spans="1:9" ht="15">
      <c r="A182" s="1171" t="s">
        <v>2784</v>
      </c>
      <c r="B182" s="1171"/>
      <c r="C182" s="1171"/>
      <c r="D182" s="1171"/>
      <c r="E182" s="1171"/>
      <c r="F182" s="1208" t="s">
        <v>2785</v>
      </c>
      <c r="G182" s="1171"/>
      <c r="H182" s="1171"/>
      <c r="I182" s="1171"/>
    </row>
    <row r="183" spans="1:9" ht="15">
      <c r="A183" s="1171"/>
      <c r="B183" s="1171" t="s">
        <v>2786</v>
      </c>
      <c r="C183" s="1171"/>
      <c r="D183" s="1171"/>
      <c r="E183" s="1171"/>
      <c r="F183" s="1171">
        <f>F170</f>
        <v>100</v>
      </c>
      <c r="G183" s="1171" t="s">
        <v>2768</v>
      </c>
      <c r="H183" s="1171"/>
      <c r="I183" s="1171"/>
    </row>
    <row r="184" spans="1:9" ht="15">
      <c r="A184" s="1171"/>
      <c r="B184" s="1171" t="s">
        <v>2787</v>
      </c>
      <c r="C184" s="1171"/>
      <c r="D184" s="1171"/>
      <c r="E184" s="1171"/>
      <c r="F184" s="1175">
        <v>3</v>
      </c>
      <c r="G184" s="1171" t="s">
        <v>3</v>
      </c>
      <c r="H184" s="1171"/>
      <c r="I184" s="1171"/>
    </row>
    <row r="185" spans="1:9" ht="15">
      <c r="A185" s="1171" t="s">
        <v>2788</v>
      </c>
      <c r="B185" s="1171"/>
      <c r="C185" s="1171"/>
      <c r="D185" s="1171"/>
      <c r="E185" s="1171"/>
      <c r="F185" s="1171"/>
      <c r="G185" s="1171"/>
      <c r="H185" s="1171"/>
      <c r="I185" s="1171"/>
    </row>
    <row r="186" spans="1:9" ht="15">
      <c r="A186" s="1171"/>
      <c r="B186" s="1190" t="s">
        <v>2789</v>
      </c>
      <c r="C186" s="1195" t="s">
        <v>2771</v>
      </c>
      <c r="D186" s="1192"/>
      <c r="E186" s="1171"/>
      <c r="F186" s="1171"/>
      <c r="G186" s="1171"/>
      <c r="H186" s="1171"/>
      <c r="I186" s="1171"/>
    </row>
    <row r="187" spans="1:9" ht="15">
      <c r="A187" s="1171"/>
      <c r="B187" s="1192"/>
      <c r="C187" s="1191" t="s">
        <v>2790</v>
      </c>
      <c r="D187" s="1192"/>
      <c r="E187" s="1171"/>
      <c r="F187" s="1171"/>
      <c r="G187" s="1171"/>
      <c r="H187" s="1171"/>
      <c r="I187" s="1171"/>
    </row>
    <row r="188" spans="1:9" ht="15">
      <c r="A188" s="1171"/>
      <c r="B188" s="1190" t="s">
        <v>2789</v>
      </c>
      <c r="C188" s="1207">
        <f>((($E$53/2)/3600)*4)/((F183/1000)^2*PI())</f>
        <v>1.33</v>
      </c>
      <c r="D188" s="1192" t="s">
        <v>2773</v>
      </c>
      <c r="E188" s="1171"/>
      <c r="F188" s="1171"/>
      <c r="G188" s="1171"/>
      <c r="H188" s="1171"/>
      <c r="I188" s="1171"/>
    </row>
    <row r="189" spans="1:9" ht="15">
      <c r="A189" s="1171" t="s">
        <v>2791</v>
      </c>
      <c r="B189" s="1171"/>
      <c r="C189" s="1171"/>
      <c r="D189" s="1171"/>
      <c r="E189" s="1171"/>
      <c r="F189" s="1171"/>
      <c r="G189" s="1171"/>
      <c r="H189" s="1171"/>
      <c r="I189" s="1171"/>
    </row>
    <row r="190" spans="1:9" ht="15">
      <c r="A190" s="1217"/>
      <c r="B190" s="1218" t="s">
        <v>2792</v>
      </c>
      <c r="C190" s="1218"/>
      <c r="D190" s="1218"/>
      <c r="E190" s="1173" t="s">
        <v>2793</v>
      </c>
      <c r="F190" s="1173" t="s">
        <v>2794</v>
      </c>
      <c r="G190" s="1173" t="s">
        <v>2795</v>
      </c>
      <c r="H190" s="1173" t="s">
        <v>2796</v>
      </c>
      <c r="I190" s="1171"/>
    </row>
    <row r="191" spans="1:9" ht="15">
      <c r="A191" s="1217" t="s">
        <v>2797</v>
      </c>
      <c r="B191" s="1218"/>
      <c r="C191" s="1218"/>
      <c r="D191" s="1218"/>
      <c r="E191" s="1173" t="s">
        <v>2798</v>
      </c>
      <c r="F191" s="1173">
        <v>1</v>
      </c>
      <c r="G191" s="1173">
        <v>12</v>
      </c>
      <c r="H191" s="1219">
        <f t="shared" ref="H191:H198" si="4">(($F$82/1000)*F191*G191)</f>
        <v>1.2</v>
      </c>
      <c r="I191" s="1171"/>
    </row>
    <row r="192" spans="1:9" ht="15" hidden="1">
      <c r="A192" s="1171" t="s">
        <v>2797</v>
      </c>
      <c r="B192" s="1171"/>
      <c r="C192" s="1171"/>
      <c r="D192" s="1171"/>
      <c r="E192" s="1173" t="s">
        <v>2799</v>
      </c>
      <c r="F192" s="1220">
        <v>0</v>
      </c>
      <c r="G192" s="1173">
        <v>12</v>
      </c>
      <c r="H192" s="1219">
        <f t="shared" si="4"/>
        <v>0</v>
      </c>
      <c r="I192" s="1171"/>
    </row>
    <row r="193" spans="1:9" ht="15">
      <c r="A193" s="1217" t="s">
        <v>2800</v>
      </c>
      <c r="B193" s="1218"/>
      <c r="C193" s="1218"/>
      <c r="D193" s="1218"/>
      <c r="E193" s="1173">
        <f t="shared" ref="E193:E199" si="5">$F$82</f>
        <v>100</v>
      </c>
      <c r="F193" s="1173">
        <v>1</v>
      </c>
      <c r="G193" s="1173">
        <v>30</v>
      </c>
      <c r="H193" s="1219">
        <f t="shared" si="4"/>
        <v>3</v>
      </c>
      <c r="I193" s="1171"/>
    </row>
    <row r="194" spans="1:9" ht="15">
      <c r="A194" s="1217" t="s">
        <v>2801</v>
      </c>
      <c r="B194" s="1218"/>
      <c r="C194" s="1218"/>
      <c r="D194" s="1218"/>
      <c r="E194" s="1173">
        <f t="shared" si="5"/>
        <v>100</v>
      </c>
      <c r="F194" s="1173">
        <v>2</v>
      </c>
      <c r="G194" s="1173">
        <v>15</v>
      </c>
      <c r="H194" s="1219">
        <f t="shared" si="4"/>
        <v>3</v>
      </c>
      <c r="I194" s="1171"/>
    </row>
    <row r="195" spans="1:9" ht="15">
      <c r="A195" s="1217" t="s">
        <v>2802</v>
      </c>
      <c r="B195" s="1218"/>
      <c r="C195" s="1218"/>
      <c r="D195" s="1218"/>
      <c r="E195" s="1173">
        <f t="shared" si="5"/>
        <v>100</v>
      </c>
      <c r="F195" s="1173">
        <v>2</v>
      </c>
      <c r="G195" s="1173">
        <v>20</v>
      </c>
      <c r="H195" s="1219">
        <f t="shared" si="4"/>
        <v>4</v>
      </c>
      <c r="I195" s="1171"/>
    </row>
    <row r="196" spans="1:9" ht="15">
      <c r="A196" s="1217" t="s">
        <v>2803</v>
      </c>
      <c r="B196" s="1218"/>
      <c r="C196" s="1218"/>
      <c r="D196" s="1218"/>
      <c r="E196" s="1173">
        <f t="shared" si="5"/>
        <v>100</v>
      </c>
      <c r="F196" s="1173">
        <v>1</v>
      </c>
      <c r="G196" s="1173">
        <v>8</v>
      </c>
      <c r="H196" s="1219">
        <f t="shared" si="4"/>
        <v>0.8</v>
      </c>
      <c r="I196" s="1171"/>
    </row>
    <row r="197" spans="1:9" ht="15">
      <c r="A197" s="1217" t="s">
        <v>2804</v>
      </c>
      <c r="B197" s="1218"/>
      <c r="C197" s="1218"/>
      <c r="D197" s="1218"/>
      <c r="E197" s="1173">
        <f t="shared" si="5"/>
        <v>100</v>
      </c>
      <c r="F197" s="1173">
        <v>1</v>
      </c>
      <c r="G197" s="1173">
        <v>100</v>
      </c>
      <c r="H197" s="1219">
        <f t="shared" si="4"/>
        <v>10</v>
      </c>
      <c r="I197" s="1171"/>
    </row>
    <row r="198" spans="1:9" ht="15" hidden="1">
      <c r="A198" s="1171" t="s">
        <v>2805</v>
      </c>
      <c r="B198" s="1171"/>
      <c r="C198" s="1171"/>
      <c r="D198" s="1171"/>
      <c r="E198" s="1173">
        <f t="shared" si="5"/>
        <v>100</v>
      </c>
      <c r="F198" s="1173">
        <v>0</v>
      </c>
      <c r="G198" s="1173">
        <v>250</v>
      </c>
      <c r="H198" s="1219">
        <f t="shared" si="4"/>
        <v>0</v>
      </c>
      <c r="I198" s="1171"/>
    </row>
    <row r="199" spans="1:9" ht="15">
      <c r="A199" s="1217" t="s">
        <v>2806</v>
      </c>
      <c r="B199" s="1218"/>
      <c r="C199" s="1218"/>
      <c r="D199" s="1218"/>
      <c r="E199" s="1173">
        <f t="shared" si="5"/>
        <v>100</v>
      </c>
      <c r="F199" s="1221"/>
      <c r="G199" s="1221"/>
      <c r="H199" s="1219">
        <v>3</v>
      </c>
      <c r="I199" s="1171"/>
    </row>
    <row r="200" spans="1:9" ht="15">
      <c r="A200" s="1171"/>
      <c r="B200" s="1171"/>
      <c r="C200" s="1171"/>
      <c r="D200" s="1171"/>
      <c r="E200" s="1171"/>
      <c r="F200" s="1222" t="s">
        <v>21</v>
      </c>
      <c r="G200" s="1221"/>
      <c r="H200" s="1219">
        <f>SUM(H191:H199)</f>
        <v>25</v>
      </c>
      <c r="I200" s="1171"/>
    </row>
    <row r="201" spans="1:9" ht="15">
      <c r="A201" s="1209" t="s">
        <v>2807</v>
      </c>
      <c r="B201" s="1210" t="s">
        <v>2778</v>
      </c>
      <c r="C201" s="1211" t="s">
        <v>2779</v>
      </c>
      <c r="D201" s="1212" t="s">
        <v>2808</v>
      </c>
      <c r="E201" s="1171"/>
      <c r="F201" s="1171"/>
      <c r="G201" s="1171"/>
      <c r="H201" s="1171"/>
      <c r="I201" s="1171"/>
    </row>
    <row r="202" spans="1:9" ht="15">
      <c r="A202" s="1213"/>
      <c r="B202" s="1210"/>
      <c r="C202" s="1210" t="s">
        <v>2809</v>
      </c>
      <c r="D202" s="1209"/>
      <c r="E202" s="1171"/>
      <c r="F202" s="1171"/>
      <c r="G202" s="1171"/>
      <c r="H202" s="1171"/>
      <c r="I202" s="1171"/>
    </row>
    <row r="203" spans="1:9" ht="15">
      <c r="A203" s="1214" t="s">
        <v>2810</v>
      </c>
      <c r="B203" s="1215">
        <f>10.643*((($E$53/2)/3600)^1.85)*H200/('[63]dados de projeto'!$D$8^1.85*(F183/1000)^4.87)</f>
        <v>0.52</v>
      </c>
      <c r="C203" s="1216" t="s">
        <v>2783</v>
      </c>
      <c r="D203" s="1192"/>
      <c r="E203" s="1171"/>
      <c r="F203" s="1171"/>
      <c r="G203" s="1171"/>
      <c r="H203" s="1171"/>
      <c r="I203" s="1171"/>
    </row>
    <row r="204" spans="1:9" ht="15">
      <c r="A204" s="1171" t="s">
        <v>2811</v>
      </c>
      <c r="B204" s="1171"/>
      <c r="C204" s="1171"/>
      <c r="D204" s="1171"/>
      <c r="E204" s="1171"/>
      <c r="F204" s="1171"/>
      <c r="G204" s="1208" t="s">
        <v>2812</v>
      </c>
      <c r="H204" s="1171"/>
      <c r="I204" s="1171"/>
    </row>
    <row r="205" spans="1:9" ht="15">
      <c r="A205" s="1171"/>
      <c r="B205" s="1171" t="s">
        <v>2813</v>
      </c>
      <c r="C205" s="1171"/>
      <c r="D205" s="1171"/>
      <c r="E205" s="1171"/>
      <c r="F205" s="1171">
        <f>F183</f>
        <v>100</v>
      </c>
      <c r="G205" s="1171" t="s">
        <v>2768</v>
      </c>
      <c r="H205" s="1171"/>
      <c r="I205" s="1171"/>
    </row>
    <row r="206" spans="1:9" ht="15">
      <c r="A206" s="1171"/>
      <c r="B206" s="1171" t="s">
        <v>2814</v>
      </c>
      <c r="C206" s="1171"/>
      <c r="D206" s="1171"/>
      <c r="E206" s="1171"/>
      <c r="F206" s="1175">
        <v>84</v>
      </c>
      <c r="G206" s="1171" t="s">
        <v>3</v>
      </c>
      <c r="H206" s="1171"/>
      <c r="I206" s="1171"/>
    </row>
    <row r="207" spans="1:9" ht="15">
      <c r="A207" s="1171" t="s">
        <v>2815</v>
      </c>
      <c r="B207" s="1171"/>
      <c r="C207" s="1171"/>
      <c r="D207" s="1171"/>
      <c r="E207" s="1171"/>
      <c r="F207" s="1171"/>
      <c r="G207" s="1171"/>
      <c r="H207" s="1171"/>
      <c r="I207" s="1171"/>
    </row>
    <row r="208" spans="1:9" ht="15">
      <c r="A208" s="1171"/>
      <c r="B208" s="1171"/>
      <c r="C208" s="1171"/>
      <c r="D208" s="1171"/>
      <c r="E208" s="1171"/>
      <c r="F208" s="1171"/>
      <c r="G208" s="1171"/>
      <c r="H208" s="1171"/>
      <c r="I208" s="1171"/>
    </row>
    <row r="209" spans="1:9" ht="15">
      <c r="A209" s="1171"/>
      <c r="B209" s="1190" t="s">
        <v>2816</v>
      </c>
      <c r="C209" s="1195" t="s">
        <v>2771</v>
      </c>
      <c r="D209" s="1192"/>
      <c r="E209" s="1171"/>
      <c r="F209" s="1171"/>
      <c r="G209" s="1171"/>
      <c r="H209" s="1171"/>
      <c r="I209" s="1171"/>
    </row>
    <row r="210" spans="1:9" ht="15">
      <c r="A210" s="1171"/>
      <c r="B210" s="1192"/>
      <c r="C210" s="1191" t="s">
        <v>2817</v>
      </c>
      <c r="D210" s="1192"/>
      <c r="E210" s="1171"/>
      <c r="F210" s="1171"/>
      <c r="G210" s="1171"/>
      <c r="H210" s="1171"/>
      <c r="I210" s="1171"/>
    </row>
    <row r="211" spans="1:9" ht="15">
      <c r="A211" s="1171"/>
      <c r="B211" s="1190" t="s">
        <v>2816</v>
      </c>
      <c r="C211" s="1207">
        <f>((($E$53/2)/3600)*4)/((F205/1000)^2*PI())</f>
        <v>1.33</v>
      </c>
      <c r="D211" s="1192" t="s">
        <v>2773</v>
      </c>
      <c r="E211" s="1171"/>
      <c r="F211" s="1171"/>
      <c r="G211" s="1171"/>
      <c r="H211" s="1171"/>
      <c r="I211" s="1171"/>
    </row>
    <row r="212" spans="1:9" ht="15">
      <c r="A212" s="1171"/>
      <c r="B212" s="1171"/>
      <c r="C212" s="1171"/>
      <c r="D212" s="1171"/>
      <c r="E212" s="1171"/>
      <c r="F212" s="1171"/>
      <c r="G212" s="1171"/>
      <c r="H212" s="1171"/>
      <c r="I212" s="1171"/>
    </row>
    <row r="213" spans="1:9" ht="15">
      <c r="A213" s="1171" t="s">
        <v>2818</v>
      </c>
      <c r="B213" s="1171"/>
      <c r="C213" s="1171"/>
      <c r="D213" s="1171"/>
      <c r="E213" s="1171"/>
      <c r="F213" s="1171"/>
      <c r="G213" s="1171"/>
      <c r="H213" s="1171"/>
      <c r="I213" s="1171"/>
    </row>
    <row r="214" spans="1:9" ht="15">
      <c r="A214" s="1217"/>
      <c r="B214" s="1218" t="s">
        <v>2792</v>
      </c>
      <c r="C214" s="1218"/>
      <c r="D214" s="1218"/>
      <c r="E214" s="1173" t="s">
        <v>2793</v>
      </c>
      <c r="F214" s="1173" t="s">
        <v>2794</v>
      </c>
      <c r="G214" s="1173" t="s">
        <v>2795</v>
      </c>
      <c r="H214" s="1173" t="s">
        <v>2819</v>
      </c>
      <c r="I214" s="1171"/>
    </row>
    <row r="215" spans="1:9" ht="15">
      <c r="A215" s="1217" t="s">
        <v>2797</v>
      </c>
      <c r="B215" s="1218"/>
      <c r="C215" s="1218"/>
      <c r="D215" s="1218"/>
      <c r="E215" s="1173" t="s">
        <v>2820</v>
      </c>
      <c r="F215" s="1173">
        <v>0</v>
      </c>
      <c r="G215" s="1173">
        <v>12</v>
      </c>
      <c r="H215" s="1223">
        <f>(($F$104/1000)*F215*G215)</f>
        <v>0</v>
      </c>
      <c r="I215" s="1171"/>
    </row>
    <row r="216" spans="1:9" ht="15">
      <c r="A216" s="1171" t="s">
        <v>2801</v>
      </c>
      <c r="B216" s="1171"/>
      <c r="C216" s="1171"/>
      <c r="D216" s="1171"/>
      <c r="E216" s="1173">
        <f>$F$104</f>
        <v>100</v>
      </c>
      <c r="F216" s="1173">
        <v>0</v>
      </c>
      <c r="G216" s="1173">
        <v>15</v>
      </c>
      <c r="H216" s="1223">
        <f>(($F$104/1000)*F216*G216)</f>
        <v>0</v>
      </c>
      <c r="I216" s="1171"/>
    </row>
    <row r="217" spans="1:9" ht="15">
      <c r="A217" s="1171" t="s">
        <v>2800</v>
      </c>
      <c r="B217" s="1171"/>
      <c r="C217" s="1171"/>
      <c r="D217" s="1171"/>
      <c r="E217" s="1173">
        <f>$F$104</f>
        <v>100</v>
      </c>
      <c r="F217" s="1173">
        <v>4</v>
      </c>
      <c r="G217" s="1173">
        <v>30</v>
      </c>
      <c r="H217" s="1223">
        <f>(($F$104/1000)*F217*G217)</f>
        <v>12</v>
      </c>
      <c r="I217" s="1171"/>
    </row>
    <row r="218" spans="1:9" ht="15">
      <c r="A218" s="1217" t="s">
        <v>2806</v>
      </c>
      <c r="B218" s="1218"/>
      <c r="C218" s="1218"/>
      <c r="D218" s="1218"/>
      <c r="E218" s="1173">
        <f>$F$104</f>
        <v>100</v>
      </c>
      <c r="F218" s="1221"/>
      <c r="G218" s="1221"/>
      <c r="H218" s="1223">
        <f>F206</f>
        <v>84</v>
      </c>
      <c r="I218" s="1171"/>
    </row>
    <row r="219" spans="1:9" ht="15">
      <c r="A219" s="1171"/>
      <c r="B219" s="1171"/>
      <c r="C219" s="1171"/>
      <c r="D219" s="1171"/>
      <c r="E219" s="1171"/>
      <c r="F219" s="1222" t="s">
        <v>21</v>
      </c>
      <c r="G219" s="1221"/>
      <c r="H219" s="1223">
        <f>SUM(H215:H218)</f>
        <v>96</v>
      </c>
      <c r="I219" s="1171"/>
    </row>
    <row r="220" spans="1:9" ht="15">
      <c r="A220" s="1209" t="s">
        <v>2821</v>
      </c>
      <c r="B220" s="1210" t="s">
        <v>2778</v>
      </c>
      <c r="C220" s="1211" t="s">
        <v>2779</v>
      </c>
      <c r="D220" s="1212" t="s">
        <v>2822</v>
      </c>
      <c r="E220" s="1213"/>
      <c r="F220" s="1213"/>
      <c r="G220" s="1171"/>
      <c r="H220" s="1171"/>
      <c r="I220" s="1171"/>
    </row>
    <row r="221" spans="1:9" ht="15">
      <c r="A221" s="1213"/>
      <c r="B221" s="1210"/>
      <c r="C221" s="1210" t="s">
        <v>2823</v>
      </c>
      <c r="D221" s="1209"/>
      <c r="E221" s="1213"/>
      <c r="F221" s="1213"/>
      <c r="G221" s="1171"/>
      <c r="H221" s="1171"/>
      <c r="I221" s="1171"/>
    </row>
    <row r="222" spans="1:9" ht="15">
      <c r="A222" s="1214" t="s">
        <v>2824</v>
      </c>
      <c r="B222" s="1215">
        <f>10.643*((($E$53/2)/3600)^1.85)*H219/('[63]dados de projeto'!$D$8^1.85*(F205/1000)^4.87)</f>
        <v>2</v>
      </c>
      <c r="C222" s="1216" t="s">
        <v>2783</v>
      </c>
      <c r="D222" s="1213"/>
      <c r="E222" s="1213"/>
      <c r="F222" s="1213"/>
      <c r="G222" s="1171"/>
      <c r="H222" s="1171"/>
      <c r="I222" s="1171"/>
    </row>
    <row r="223" spans="1:9" ht="15">
      <c r="A223" s="1224"/>
      <c r="B223" s="1224"/>
      <c r="C223" s="1224"/>
      <c r="D223" s="1224"/>
      <c r="E223" s="1224"/>
      <c r="F223" s="1225"/>
      <c r="G223" s="1224"/>
      <c r="H223" s="1224"/>
      <c r="I223" s="1171"/>
    </row>
    <row r="224" spans="1:9" ht="0.75" customHeight="1">
      <c r="A224" s="1224"/>
      <c r="B224" s="1224"/>
      <c r="C224" s="1224"/>
      <c r="D224" s="1224"/>
      <c r="E224" s="1224"/>
      <c r="F224" s="1224"/>
      <c r="G224" s="1224"/>
      <c r="H224" s="1224"/>
      <c r="I224" s="1171"/>
    </row>
    <row r="225" spans="1:9" ht="15" hidden="1">
      <c r="A225" s="1224"/>
      <c r="B225" s="1224"/>
      <c r="C225" s="1224"/>
      <c r="D225" s="1224"/>
      <c r="E225" s="1224"/>
      <c r="F225" s="1226"/>
      <c r="G225" s="1224"/>
      <c r="H225" s="1224"/>
      <c r="I225" s="1171"/>
    </row>
    <row r="226" spans="1:9" ht="15" hidden="1">
      <c r="A226" s="1224"/>
      <c r="B226" s="1224"/>
      <c r="C226" s="1224"/>
      <c r="D226" s="1224"/>
      <c r="E226" s="1224"/>
      <c r="F226" s="1224"/>
      <c r="G226" s="1224"/>
      <c r="H226" s="1224"/>
      <c r="I226" s="1171"/>
    </row>
    <row r="227" spans="1:9" ht="15" hidden="1">
      <c r="A227" s="1224"/>
      <c r="B227" s="1227"/>
      <c r="C227" s="1228"/>
      <c r="D227" s="1229"/>
      <c r="E227" s="1224"/>
      <c r="F227" s="1224"/>
      <c r="G227" s="1224"/>
      <c r="H227" s="1224"/>
      <c r="I227" s="1171"/>
    </row>
    <row r="228" spans="1:9" ht="15" hidden="1">
      <c r="A228" s="1224"/>
      <c r="B228" s="1229"/>
      <c r="C228" s="1230"/>
      <c r="D228" s="1229"/>
      <c r="E228" s="1224"/>
      <c r="F228" s="1224"/>
      <c r="G228" s="1224"/>
      <c r="H228" s="1224"/>
      <c r="I228" s="1231" t="s">
        <v>2825</v>
      </c>
    </row>
    <row r="229" spans="1:9" ht="15" hidden="1">
      <c r="A229" s="1224"/>
      <c r="B229" s="1227"/>
      <c r="C229" s="1232"/>
      <c r="D229" s="1229"/>
      <c r="E229" s="1224"/>
      <c r="F229" s="1224"/>
      <c r="G229" s="1224"/>
      <c r="H229" s="1224"/>
      <c r="I229" s="1171"/>
    </row>
    <row r="230" spans="1:9" ht="15" hidden="1">
      <c r="A230" s="1224"/>
      <c r="B230" s="1224"/>
      <c r="C230" s="1224"/>
      <c r="D230" s="1224"/>
      <c r="E230" s="1224"/>
      <c r="F230" s="1224"/>
      <c r="G230" s="1224"/>
      <c r="H230" s="1224"/>
      <c r="I230" s="1171"/>
    </row>
    <row r="231" spans="1:9" ht="15" hidden="1">
      <c r="A231" s="1233"/>
      <c r="B231" s="1234"/>
      <c r="C231" s="1234"/>
      <c r="D231" s="1235"/>
      <c r="E231" s="1236"/>
      <c r="F231" s="1236"/>
      <c r="G231" s="1236"/>
      <c r="H231" s="1236"/>
      <c r="I231" s="1171"/>
    </row>
    <row r="232" spans="1:9" ht="15" hidden="1">
      <c r="A232" s="1233"/>
      <c r="B232" s="1234"/>
      <c r="C232" s="1234"/>
      <c r="D232" s="1235"/>
      <c r="E232" s="1236"/>
      <c r="F232" s="1236"/>
      <c r="G232" s="1236"/>
      <c r="H232" s="1237"/>
      <c r="I232" s="1171"/>
    </row>
    <row r="233" spans="1:9" ht="15" hidden="1">
      <c r="A233" s="1233"/>
      <c r="B233" s="1234"/>
      <c r="C233" s="1234"/>
      <c r="D233" s="1235"/>
      <c r="E233" s="1236"/>
      <c r="F233" s="1236"/>
      <c r="G233" s="1236"/>
      <c r="H233" s="1237"/>
      <c r="I233" s="1171"/>
    </row>
    <row r="234" spans="1:9" ht="15" hidden="1">
      <c r="A234" s="1233"/>
      <c r="B234" s="1234"/>
      <c r="C234" s="1234"/>
      <c r="D234" s="1235"/>
      <c r="E234" s="1236"/>
      <c r="F234" s="1238"/>
      <c r="G234" s="1238"/>
      <c r="H234" s="1237"/>
      <c r="I234" s="1171"/>
    </row>
    <row r="235" spans="1:9" ht="15" hidden="1">
      <c r="A235" s="1224"/>
      <c r="B235" s="1224"/>
      <c r="C235" s="1224"/>
      <c r="D235" s="1224"/>
      <c r="E235" s="1224"/>
      <c r="F235" s="1239"/>
      <c r="G235" s="1238"/>
      <c r="H235" s="1237"/>
      <c r="I235" s="1171"/>
    </row>
    <row r="236" spans="1:9" ht="15" hidden="1">
      <c r="A236" s="1240"/>
      <c r="B236" s="1241"/>
      <c r="C236" s="1242"/>
      <c r="D236" s="1243"/>
      <c r="E236" s="1244"/>
      <c r="F236" s="1224"/>
      <c r="G236" s="1224"/>
      <c r="H236" s="1224"/>
      <c r="I236" s="1171"/>
    </row>
    <row r="237" spans="1:9" ht="15" hidden="1">
      <c r="A237" s="1244"/>
      <c r="B237" s="1241"/>
      <c r="C237" s="1241"/>
      <c r="D237" s="1240"/>
      <c r="E237" s="1244"/>
      <c r="F237" s="1224"/>
      <c r="G237" s="1224"/>
      <c r="H237" s="1224"/>
      <c r="I237" s="1171"/>
    </row>
    <row r="238" spans="1:9" ht="15" hidden="1">
      <c r="A238" s="1245"/>
      <c r="B238" s="1246"/>
      <c r="C238" s="1244"/>
      <c r="D238" s="1244"/>
      <c r="E238" s="1244"/>
      <c r="F238" s="1224"/>
      <c r="G238" s="1224"/>
      <c r="H238" s="1224"/>
      <c r="I238" s="1171"/>
    </row>
    <row r="239" spans="1:9" ht="15">
      <c r="A239" s="1171" t="s">
        <v>2826</v>
      </c>
      <c r="B239" s="1171"/>
      <c r="C239" s="1171"/>
      <c r="D239" s="1171"/>
      <c r="E239" s="1171"/>
      <c r="F239" s="1171"/>
      <c r="G239" s="1171"/>
      <c r="H239" s="1171"/>
      <c r="I239" s="1171"/>
    </row>
    <row r="240" spans="1:9" ht="15">
      <c r="A240" s="1190" t="s">
        <v>2827</v>
      </c>
      <c r="B240" s="1191" t="s">
        <v>2828</v>
      </c>
      <c r="C240" s="1247" t="s">
        <v>2829</v>
      </c>
      <c r="D240" s="1247" t="s">
        <v>2830</v>
      </c>
      <c r="E240" s="1247" t="s">
        <v>2831</v>
      </c>
      <c r="F240" s="1248"/>
      <c r="G240" s="1171"/>
      <c r="H240" s="1171"/>
      <c r="I240" s="1171"/>
    </row>
    <row r="241" spans="1:9" ht="15">
      <c r="A241" s="1197" t="s">
        <v>2827</v>
      </c>
      <c r="B241" s="1249">
        <f>(E166-E163)+(B181+B203+B222)</f>
        <v>73.040000000000006</v>
      </c>
      <c r="C241" s="1198" t="s">
        <v>2783</v>
      </c>
      <c r="D241" s="1192"/>
      <c r="E241" s="1192"/>
      <c r="F241" s="1192"/>
      <c r="G241" s="1171"/>
      <c r="H241" s="1171"/>
      <c r="I241" s="1171"/>
    </row>
    <row r="242" spans="1:9" ht="15">
      <c r="A242" s="1171" t="s">
        <v>2832</v>
      </c>
      <c r="B242" s="1171"/>
      <c r="C242" s="1171"/>
      <c r="D242" s="1171"/>
      <c r="E242" s="1171"/>
      <c r="F242" s="1171"/>
      <c r="G242" s="1175"/>
      <c r="H242" s="1171"/>
      <c r="I242" s="1171"/>
    </row>
    <row r="243" spans="1:9" ht="15">
      <c r="A243" s="1207" t="s">
        <v>2833</v>
      </c>
      <c r="B243" s="1192"/>
      <c r="C243" s="1192"/>
      <c r="D243" s="1207">
        <f>E53/2</f>
        <v>37.51</v>
      </c>
      <c r="E243" s="1192" t="s">
        <v>2834</v>
      </c>
      <c r="F243" s="1171"/>
      <c r="G243" s="1171"/>
      <c r="H243" s="1171"/>
      <c r="I243" s="1171"/>
    </row>
    <row r="244" spans="1:9" ht="15">
      <c r="A244" s="1207" t="s">
        <v>2835</v>
      </c>
      <c r="B244" s="1192"/>
      <c r="C244" s="1192"/>
      <c r="D244" s="1207">
        <f>B241</f>
        <v>73.040000000000006</v>
      </c>
      <c r="E244" s="1192" t="str">
        <f>C241</f>
        <v>m.c.a</v>
      </c>
      <c r="F244" s="1171"/>
      <c r="G244" s="1171"/>
      <c r="H244" s="1171"/>
      <c r="I244" s="1171"/>
    </row>
    <row r="245" spans="1:9" ht="15">
      <c r="A245" s="1175"/>
      <c r="B245" s="1171"/>
      <c r="C245" s="1171"/>
      <c r="D245" s="1175"/>
      <c r="E245" s="1171"/>
      <c r="F245" s="1171"/>
      <c r="G245" s="1171"/>
      <c r="H245" s="1171"/>
      <c r="I245" s="1171"/>
    </row>
    <row r="246" spans="1:9" ht="15">
      <c r="A246" s="1171" t="s">
        <v>2836</v>
      </c>
      <c r="B246" s="1171"/>
      <c r="C246" s="1171"/>
      <c r="D246" s="1171"/>
      <c r="E246" s="1171"/>
      <c r="F246" s="1171"/>
      <c r="G246" s="1171"/>
      <c r="H246" s="1171"/>
      <c r="I246" s="1171"/>
    </row>
    <row r="247" spans="1:9" ht="15">
      <c r="A247" s="1171"/>
      <c r="B247" s="1190" t="s">
        <v>2837</v>
      </c>
      <c r="C247" s="1195" t="s">
        <v>2838</v>
      </c>
      <c r="D247" s="1171"/>
      <c r="E247" s="1171"/>
      <c r="F247" s="1171"/>
      <c r="G247" s="1171"/>
      <c r="H247" s="1171"/>
      <c r="I247" s="1171"/>
    </row>
    <row r="248" spans="1:9" ht="15">
      <c r="A248" s="1171"/>
      <c r="B248" s="1192"/>
      <c r="C248" s="1191" t="s">
        <v>2839</v>
      </c>
      <c r="D248" s="1171"/>
      <c r="E248" s="1171"/>
      <c r="F248" s="1171"/>
      <c r="G248" s="1171"/>
      <c r="H248" s="1171"/>
      <c r="I248" s="1171"/>
    </row>
    <row r="249" spans="1:9" ht="15">
      <c r="A249" s="1171" t="s">
        <v>2840</v>
      </c>
      <c r="B249" s="1171"/>
      <c r="C249" s="1171"/>
      <c r="D249" s="1171"/>
      <c r="E249" s="1171"/>
      <c r="F249" s="1171"/>
      <c r="G249" s="1171"/>
      <c r="H249" s="1171"/>
      <c r="I249" s="1171"/>
    </row>
    <row r="250" spans="1:9" ht="15">
      <c r="A250" s="1190" t="s">
        <v>2841</v>
      </c>
      <c r="B250" s="1250">
        <v>0.6</v>
      </c>
      <c r="C250" s="1192"/>
      <c r="D250" s="1192" t="s">
        <v>2842</v>
      </c>
      <c r="E250" s="1192"/>
      <c r="F250" s="1192"/>
      <c r="G250" s="1171"/>
      <c r="H250" s="1171"/>
      <c r="I250" s="1171"/>
    </row>
    <row r="251" spans="1:9" ht="15">
      <c r="A251" s="1190" t="s">
        <v>2843</v>
      </c>
      <c r="B251" s="1251">
        <f>D243</f>
        <v>37.51</v>
      </c>
      <c r="C251" s="1199" t="s">
        <v>2834</v>
      </c>
      <c r="D251" s="1192" t="s">
        <v>2844</v>
      </c>
      <c r="E251" s="1192"/>
      <c r="F251" s="1192"/>
      <c r="G251" s="1171"/>
      <c r="H251" s="1171"/>
      <c r="I251" s="1171"/>
    </row>
    <row r="252" spans="1:9" ht="15">
      <c r="A252" s="1190" t="s">
        <v>2845</v>
      </c>
      <c r="B252" s="1251">
        <f>B241</f>
        <v>73.040000000000006</v>
      </c>
      <c r="C252" s="1199" t="s">
        <v>2783</v>
      </c>
      <c r="D252" s="1192" t="s">
        <v>2846</v>
      </c>
      <c r="E252" s="1192"/>
      <c r="F252" s="1192"/>
      <c r="G252" s="1171"/>
      <c r="H252" s="1171"/>
      <c r="I252" s="1171"/>
    </row>
    <row r="253" spans="1:9" ht="15">
      <c r="A253" s="1171"/>
      <c r="B253" s="1171"/>
      <c r="C253" s="1171"/>
      <c r="D253" s="1171"/>
      <c r="E253" s="1171"/>
      <c r="F253" s="1171"/>
      <c r="G253" s="1171"/>
      <c r="H253" s="1171"/>
      <c r="I253" s="1171"/>
    </row>
    <row r="254" spans="1:9" ht="15">
      <c r="A254" s="1171"/>
      <c r="B254" s="1190" t="s">
        <v>2847</v>
      </c>
      <c r="C254" s="1207">
        <f>($B$150/3.6)*$B$252/(75*$B$149)</f>
        <v>16.91</v>
      </c>
      <c r="D254" s="1198" t="s">
        <v>2848</v>
      </c>
      <c r="E254" s="1198"/>
      <c r="F254" s="1171"/>
      <c r="G254" s="1171"/>
      <c r="H254" s="1171"/>
      <c r="I254" s="1171"/>
    </row>
    <row r="255" spans="1:9" ht="15">
      <c r="A255" s="1190"/>
      <c r="B255" s="1191"/>
      <c r="C255" s="1192"/>
      <c r="D255" s="1171"/>
      <c r="E255" s="1171"/>
      <c r="F255" s="1171"/>
      <c r="G255" s="1171"/>
      <c r="H255" s="1171"/>
      <c r="I255" s="1171"/>
    </row>
    <row r="256" spans="1:9" ht="15">
      <c r="A256" s="1192"/>
      <c r="B256" s="1191"/>
      <c r="C256" s="1192"/>
      <c r="D256" s="1171"/>
      <c r="E256" s="1171"/>
      <c r="F256" s="1171"/>
      <c r="G256" s="1171"/>
      <c r="H256" s="1171"/>
      <c r="I256" s="1171"/>
    </row>
    <row r="257" spans="1:9" ht="15">
      <c r="A257" s="1190"/>
      <c r="B257" s="1207"/>
      <c r="C257" s="1192"/>
      <c r="D257" s="1171"/>
      <c r="E257" s="1171"/>
      <c r="F257" s="1171"/>
      <c r="G257" s="1171"/>
      <c r="H257" s="1171"/>
      <c r="I257" s="1171"/>
    </row>
    <row r="258" spans="1:9" ht="15">
      <c r="A258" s="1171" t="s">
        <v>2852</v>
      </c>
      <c r="B258" s="1171"/>
      <c r="C258" s="1171"/>
      <c r="D258" s="1171"/>
      <c r="E258" s="1171"/>
      <c r="F258" s="1171"/>
      <c r="G258" s="1171"/>
      <c r="H258" s="1171"/>
      <c r="I258" s="1171"/>
    </row>
    <row r="259" spans="1:9" ht="15">
      <c r="A259" s="1171" t="s">
        <v>2853</v>
      </c>
      <c r="B259" s="1171"/>
      <c r="C259" s="1171"/>
      <c r="D259" s="1171"/>
      <c r="E259" s="1171"/>
      <c r="F259" s="1171"/>
      <c r="G259" s="1171"/>
      <c r="H259" s="1171"/>
      <c r="I259" s="1171"/>
    </row>
    <row r="260" spans="1:9" ht="15">
      <c r="A260" s="1171" t="s">
        <v>2854</v>
      </c>
      <c r="B260" s="1171"/>
      <c r="C260" s="1171"/>
      <c r="D260" s="1171"/>
      <c r="E260" s="1253">
        <f>E53</f>
        <v>75</v>
      </c>
      <c r="F260" s="1171" t="s">
        <v>2855</v>
      </c>
      <c r="G260" s="1194"/>
      <c r="H260" s="1171"/>
      <c r="I260" s="1171"/>
    </row>
    <row r="261" spans="1:9" ht="15">
      <c r="A261" s="1171" t="s">
        <v>2856</v>
      </c>
      <c r="B261" s="1171"/>
      <c r="C261" s="1171"/>
      <c r="D261" s="1171"/>
      <c r="E261" s="1175">
        <f>'[63]dados de projeto'!D10</f>
        <v>1</v>
      </c>
      <c r="F261" s="1171"/>
      <c r="G261" s="1194"/>
      <c r="H261" s="1171"/>
      <c r="I261" s="1171"/>
    </row>
    <row r="262" spans="1:9" ht="30.75" customHeight="1">
      <c r="A262" s="1203" t="s">
        <v>2857</v>
      </c>
      <c r="B262" s="1204" t="s">
        <v>2766</v>
      </c>
      <c r="C262" s="1192"/>
      <c r="D262" s="1192"/>
      <c r="E262" s="1171"/>
      <c r="F262" s="1171"/>
      <c r="G262" s="1171"/>
      <c r="H262" s="1171"/>
      <c r="I262" s="1171"/>
    </row>
    <row r="263" spans="1:9" ht="15">
      <c r="A263" s="1203" t="s">
        <v>2857</v>
      </c>
      <c r="B263" s="1205">
        <f>E261*SQRT((E260/3600))</f>
        <v>0.14399999999999999</v>
      </c>
      <c r="C263" s="1192"/>
      <c r="D263" s="1192"/>
      <c r="E263" s="1171"/>
      <c r="F263" s="1171"/>
      <c r="G263" s="1171"/>
      <c r="H263" s="1171"/>
      <c r="I263" s="1171"/>
    </row>
    <row r="264" spans="1:9" ht="15">
      <c r="A264" s="1171" t="s">
        <v>2858</v>
      </c>
      <c r="B264" s="1171"/>
      <c r="C264" s="1171"/>
      <c r="D264" s="1171"/>
      <c r="E264" s="1171" t="s">
        <v>2859</v>
      </c>
      <c r="F264" s="1171">
        <v>150</v>
      </c>
      <c r="G264" s="1171" t="s">
        <v>2768</v>
      </c>
      <c r="H264" s="1171"/>
      <c r="I264" s="1171"/>
    </row>
    <row r="265" spans="1:9" ht="15">
      <c r="A265" s="1171" t="s">
        <v>2860</v>
      </c>
      <c r="B265" s="1171"/>
      <c r="C265" s="1171"/>
      <c r="D265" s="1171"/>
      <c r="E265" s="1171" t="s">
        <v>2861</v>
      </c>
      <c r="F265" s="1171">
        <v>200</v>
      </c>
      <c r="G265" s="1171" t="s">
        <v>2768</v>
      </c>
      <c r="H265" s="1171"/>
      <c r="I265" s="1171"/>
    </row>
    <row r="266" spans="1:9" ht="15">
      <c r="A266" s="1171" t="s">
        <v>2862</v>
      </c>
      <c r="B266" s="1171"/>
      <c r="C266" s="1171"/>
      <c r="D266" s="1171"/>
      <c r="E266" s="1171"/>
      <c r="F266" s="1171"/>
      <c r="G266" s="1171"/>
      <c r="H266" s="1171"/>
      <c r="I266" s="1171"/>
    </row>
    <row r="267" spans="1:9" ht="15">
      <c r="A267" s="1190" t="s">
        <v>2863</v>
      </c>
      <c r="B267" s="1195" t="s">
        <v>2771</v>
      </c>
      <c r="C267" s="1192"/>
      <c r="D267" s="1192"/>
      <c r="E267" s="1192"/>
      <c r="F267" s="1171"/>
      <c r="G267" s="1171"/>
      <c r="H267" s="1171"/>
      <c r="I267" s="1171"/>
    </row>
    <row r="268" spans="1:9" ht="15">
      <c r="A268" s="1192"/>
      <c r="B268" s="1191" t="s">
        <v>2864</v>
      </c>
      <c r="C268" s="1192"/>
      <c r="D268" s="1192"/>
      <c r="E268" s="1192"/>
      <c r="F268" s="1171"/>
      <c r="G268" s="1171"/>
      <c r="H268" s="1171"/>
      <c r="I268" s="1171"/>
    </row>
    <row r="269" spans="1:9" ht="15">
      <c r="A269" s="1190" t="s">
        <v>2863</v>
      </c>
      <c r="B269" s="1207">
        <f>((E260/3600)*4)/((F264/1000)^2*PI())</f>
        <v>1.18</v>
      </c>
      <c r="C269" s="1192" t="s">
        <v>2773</v>
      </c>
      <c r="D269" s="1192"/>
      <c r="E269" s="1192"/>
      <c r="F269" s="1171"/>
      <c r="G269" s="1171"/>
      <c r="H269" s="1171"/>
      <c r="I269" s="1171"/>
    </row>
    <row r="270" spans="1:9" ht="15">
      <c r="A270" s="1171" t="s">
        <v>2865</v>
      </c>
      <c r="B270" s="1171"/>
      <c r="C270" s="1171"/>
      <c r="D270" s="1171"/>
      <c r="E270" s="1171"/>
      <c r="F270" s="1171"/>
      <c r="G270" s="1171"/>
      <c r="H270" s="1171"/>
      <c r="I270" s="1171"/>
    </row>
    <row r="271" spans="1:9" ht="15">
      <c r="A271" s="1190" t="s">
        <v>2863</v>
      </c>
      <c r="B271" s="1195" t="s">
        <v>2771</v>
      </c>
      <c r="C271" s="1192"/>
      <c r="D271" s="1192"/>
      <c r="E271" s="1192"/>
      <c r="F271" s="1171"/>
      <c r="G271" s="1171"/>
      <c r="H271" s="1171"/>
      <c r="I271" s="1171"/>
    </row>
    <row r="272" spans="1:9" ht="15">
      <c r="A272" s="1192"/>
      <c r="B272" s="1191" t="s">
        <v>2866</v>
      </c>
      <c r="C272" s="1192"/>
      <c r="D272" s="1192"/>
      <c r="E272" s="1192"/>
      <c r="F272" s="1171"/>
      <c r="G272" s="1171"/>
      <c r="H272" s="1171"/>
      <c r="I272" s="1171"/>
    </row>
    <row r="273" spans="1:9" ht="15">
      <c r="A273" s="1190" t="s">
        <v>2863</v>
      </c>
      <c r="B273" s="1207">
        <f>((E260/3600)*4)/((F265/1000)^2*PI())</f>
        <v>0.66</v>
      </c>
      <c r="C273" s="1192" t="s">
        <v>2773</v>
      </c>
      <c r="D273" s="1192"/>
      <c r="E273" s="1192"/>
      <c r="F273" s="1171"/>
      <c r="G273" s="1171"/>
      <c r="H273" s="1171"/>
      <c r="I273" s="1171"/>
    </row>
    <row r="274" spans="1:9" ht="15">
      <c r="A274" s="1171" t="s">
        <v>2867</v>
      </c>
      <c r="B274" s="1171"/>
      <c r="C274" s="1171"/>
      <c r="D274" s="1171"/>
      <c r="E274" s="1171"/>
      <c r="F274" s="1171"/>
      <c r="G274" s="1171"/>
      <c r="H274" s="1171"/>
      <c r="I274" s="1171"/>
    </row>
    <row r="275" spans="1:9" ht="15">
      <c r="A275" s="1171" t="s">
        <v>2868</v>
      </c>
      <c r="B275" s="1171"/>
      <c r="C275" s="1171"/>
      <c r="D275" s="1171"/>
      <c r="E275" s="1171"/>
      <c r="F275" s="1171"/>
      <c r="G275" s="1171"/>
      <c r="H275" s="1171"/>
      <c r="I275" s="1171"/>
    </row>
    <row r="276" spans="1:9" ht="15">
      <c r="A276" s="1217"/>
      <c r="B276" s="1218" t="s">
        <v>2792</v>
      </c>
      <c r="C276" s="1218"/>
      <c r="D276" s="1254"/>
      <c r="E276" s="1173" t="s">
        <v>2793</v>
      </c>
      <c r="F276" s="1173" t="s">
        <v>2794</v>
      </c>
      <c r="G276" s="1173" t="s">
        <v>2795</v>
      </c>
      <c r="H276" s="1173" t="s">
        <v>2869</v>
      </c>
      <c r="I276" s="1171"/>
    </row>
    <row r="277" spans="1:9" ht="15">
      <c r="A277" s="1217" t="s">
        <v>2803</v>
      </c>
      <c r="B277" s="1218"/>
      <c r="C277" s="1218"/>
      <c r="D277" s="1254"/>
      <c r="E277" s="1173">
        <f>F265</f>
        <v>200</v>
      </c>
      <c r="F277" s="1173">
        <v>1</v>
      </c>
      <c r="G277" s="1173">
        <v>8</v>
      </c>
      <c r="H277" s="1219">
        <f>((E277/1000)*F277*G277)</f>
        <v>1.6</v>
      </c>
      <c r="I277" s="1171"/>
    </row>
    <row r="278" spans="1:9" ht="15">
      <c r="A278" s="1217" t="s">
        <v>2797</v>
      </c>
      <c r="B278" s="1218"/>
      <c r="C278" s="1218"/>
      <c r="D278" s="1254"/>
      <c r="E278" s="1173" t="s">
        <v>2870</v>
      </c>
      <c r="F278" s="1173">
        <v>1</v>
      </c>
      <c r="G278" s="1173">
        <v>12</v>
      </c>
      <c r="H278" s="1219">
        <f>((200/1000)*F278*G278)</f>
        <v>2.4</v>
      </c>
      <c r="I278" s="1171"/>
    </row>
    <row r="279" spans="1:9" ht="15">
      <c r="A279" s="1217" t="s">
        <v>2800</v>
      </c>
      <c r="B279" s="1255"/>
      <c r="C279" s="1255"/>
      <c r="D279" s="1256"/>
      <c r="E279" s="1173">
        <f>F265</f>
        <v>200</v>
      </c>
      <c r="F279" s="1173">
        <v>1</v>
      </c>
      <c r="G279" s="1173">
        <v>30</v>
      </c>
      <c r="H279" s="1219">
        <f>((E279/1000)*F279*G279)</f>
        <v>6</v>
      </c>
      <c r="I279" s="1171"/>
    </row>
    <row r="280" spans="1:9" ht="15">
      <c r="A280" s="1217" t="s">
        <v>2797</v>
      </c>
      <c r="B280" s="1255"/>
      <c r="C280" s="1255"/>
      <c r="D280" s="1256"/>
      <c r="E280" s="1173" t="s">
        <v>2871</v>
      </c>
      <c r="F280" s="1173">
        <v>1</v>
      </c>
      <c r="G280" s="1173">
        <v>12</v>
      </c>
      <c r="H280" s="1219">
        <f>(250/1000)*F280*G280</f>
        <v>3</v>
      </c>
      <c r="I280" s="1171"/>
    </row>
    <row r="281" spans="1:9" ht="15">
      <c r="A281" s="1217" t="s">
        <v>2872</v>
      </c>
      <c r="B281" s="1255"/>
      <c r="C281" s="1255"/>
      <c r="D281" s="1256"/>
      <c r="E281" s="1173">
        <f>E279</f>
        <v>200</v>
      </c>
      <c r="F281" s="1221"/>
      <c r="G281" s="1221"/>
      <c r="H281" s="1219">
        <v>2</v>
      </c>
      <c r="I281" s="1171"/>
    </row>
    <row r="282" spans="1:9" ht="15">
      <c r="A282" s="1171"/>
      <c r="B282" s="1171"/>
      <c r="C282" s="1171"/>
      <c r="D282" s="1171"/>
      <c r="E282" s="1171"/>
      <c r="F282" s="1222" t="s">
        <v>21</v>
      </c>
      <c r="G282" s="1221"/>
      <c r="H282" s="1219">
        <f>H277+H278+H279+H280+H281</f>
        <v>15</v>
      </c>
      <c r="I282" s="1171"/>
    </row>
    <row r="283" spans="1:9" ht="15">
      <c r="A283" s="1209" t="s">
        <v>2873</v>
      </c>
      <c r="B283" s="1210" t="s">
        <v>2778</v>
      </c>
      <c r="C283" s="1211" t="s">
        <v>2779</v>
      </c>
      <c r="D283" s="1212" t="s">
        <v>2822</v>
      </c>
      <c r="E283" s="1213"/>
      <c r="F283" s="1171"/>
      <c r="G283" s="1171"/>
      <c r="H283" s="1171"/>
      <c r="I283" s="1171"/>
    </row>
    <row r="284" spans="1:9" ht="15">
      <c r="A284" s="1213"/>
      <c r="B284" s="1210"/>
      <c r="C284" s="1210" t="s">
        <v>2874</v>
      </c>
      <c r="D284" s="1209"/>
      <c r="E284" s="1213"/>
      <c r="F284" s="1171"/>
      <c r="G284" s="1171"/>
      <c r="H284" s="1171"/>
      <c r="I284" s="1171"/>
    </row>
    <row r="285" spans="1:9" ht="15">
      <c r="A285" s="1214" t="s">
        <v>2873</v>
      </c>
      <c r="B285" s="1257">
        <f>10.643*((E260/3600)^1.85)*H282/(130^1.85*(F265/1000)^4.87)</f>
        <v>3.9E-2</v>
      </c>
      <c r="C285" s="1216" t="s">
        <v>3</v>
      </c>
      <c r="D285" s="1213"/>
      <c r="E285" s="1213"/>
      <c r="F285" s="1171"/>
      <c r="G285" s="1171"/>
      <c r="H285" s="1171"/>
      <c r="I285" s="1171"/>
    </row>
    <row r="286" spans="1:9" ht="15">
      <c r="A286" s="1171" t="s">
        <v>2875</v>
      </c>
      <c r="B286" s="1171"/>
      <c r="C286" s="1171"/>
      <c r="D286" s="1171"/>
      <c r="E286" s="1171"/>
      <c r="F286" s="1171"/>
      <c r="G286" s="1171"/>
      <c r="H286" s="1171"/>
      <c r="I286" s="1171"/>
    </row>
    <row r="287" spans="1:9" ht="15">
      <c r="A287" s="1171" t="s">
        <v>2876</v>
      </c>
      <c r="B287" s="1171"/>
      <c r="C287" s="1171"/>
      <c r="D287" s="1171"/>
      <c r="E287" s="1175">
        <v>15.25</v>
      </c>
      <c r="F287" s="1171" t="s">
        <v>3</v>
      </c>
      <c r="G287" s="1171" t="s">
        <v>2877</v>
      </c>
      <c r="H287" s="1171"/>
      <c r="I287" s="1171"/>
    </row>
    <row r="288" spans="1:9" ht="15">
      <c r="A288" s="1171" t="s">
        <v>2878</v>
      </c>
      <c r="B288" s="1171"/>
      <c r="C288" s="1171"/>
      <c r="D288" s="1171"/>
      <c r="E288" s="1258">
        <v>13.65</v>
      </c>
      <c r="F288" s="1171" t="s">
        <v>3</v>
      </c>
      <c r="G288" s="1171" t="s">
        <v>2879</v>
      </c>
      <c r="H288" s="1171"/>
      <c r="I288" s="1171"/>
    </row>
    <row r="289" spans="1:9" ht="15">
      <c r="A289" s="1171" t="s">
        <v>2880</v>
      </c>
      <c r="B289" s="1171"/>
      <c r="C289" s="1171"/>
      <c r="D289" s="1171"/>
      <c r="E289" s="1175">
        <v>13.95</v>
      </c>
      <c r="F289" s="1171" t="s">
        <v>3</v>
      </c>
      <c r="G289" s="1171" t="s">
        <v>2881</v>
      </c>
      <c r="H289" s="1171"/>
      <c r="I289" s="1171"/>
    </row>
    <row r="290" spans="1:9" ht="15">
      <c r="A290" s="1171" t="s">
        <v>2882</v>
      </c>
      <c r="B290" s="1171"/>
      <c r="C290" s="1171"/>
      <c r="D290" s="1171"/>
      <c r="E290" s="1175">
        <v>16.75</v>
      </c>
      <c r="F290" s="1171" t="s">
        <v>3</v>
      </c>
      <c r="G290" s="1171" t="s">
        <v>2883</v>
      </c>
      <c r="H290" s="1171"/>
      <c r="I290" s="1171"/>
    </row>
    <row r="291" spans="1:9" ht="15">
      <c r="A291" s="1171" t="s">
        <v>2884</v>
      </c>
      <c r="B291" s="1171"/>
      <c r="C291" s="1171"/>
      <c r="D291" s="1171"/>
      <c r="E291" s="1258">
        <v>35.25</v>
      </c>
      <c r="F291" s="1171" t="s">
        <v>3</v>
      </c>
      <c r="G291" s="1171" t="s">
        <v>2885</v>
      </c>
      <c r="H291" s="1171"/>
      <c r="I291" s="1171"/>
    </row>
    <row r="292" spans="1:9" ht="15">
      <c r="A292" s="1189" t="s">
        <v>2886</v>
      </c>
      <c r="B292" s="1175">
        <f>E288-E289</f>
        <v>-0.3</v>
      </c>
      <c r="C292" s="1171" t="s">
        <v>2887</v>
      </c>
      <c r="D292" s="1171"/>
      <c r="E292" s="1171"/>
      <c r="F292" s="1171"/>
      <c r="G292" s="1171"/>
      <c r="H292" s="1171"/>
      <c r="I292" s="1171"/>
    </row>
    <row r="293" spans="1:9" ht="15">
      <c r="A293" s="1190" t="s">
        <v>2888</v>
      </c>
      <c r="B293" s="1259" t="s">
        <v>2889</v>
      </c>
      <c r="C293" s="1192"/>
      <c r="D293" s="1171"/>
      <c r="E293" s="1171"/>
      <c r="F293" s="1171"/>
      <c r="G293" s="1171"/>
      <c r="H293" s="1171"/>
      <c r="I293" s="1171"/>
    </row>
    <row r="294" spans="1:9" ht="15">
      <c r="A294" s="1197" t="s">
        <v>2888</v>
      </c>
      <c r="B294" s="1249">
        <f>B292+B285</f>
        <v>-0.26</v>
      </c>
      <c r="C294" s="1198" t="s">
        <v>2783</v>
      </c>
      <c r="D294" s="1171"/>
      <c r="E294" s="1171"/>
      <c r="F294" s="1171"/>
      <c r="G294" s="1171"/>
      <c r="H294" s="1171"/>
      <c r="I294" s="1171"/>
    </row>
    <row r="295" spans="1:9" ht="15">
      <c r="A295" s="1171" t="s">
        <v>2890</v>
      </c>
      <c r="B295" s="1171"/>
      <c r="C295" s="1171"/>
      <c r="D295" s="1171"/>
      <c r="E295" s="1171"/>
      <c r="F295" s="1171"/>
      <c r="G295" s="1171"/>
      <c r="H295" s="1171"/>
      <c r="I295" s="1171"/>
    </row>
    <row r="296" spans="1:9" ht="15">
      <c r="A296" s="1171" t="s">
        <v>2891</v>
      </c>
      <c r="B296" s="1171"/>
      <c r="C296" s="1171"/>
      <c r="D296" s="1171"/>
      <c r="E296" s="1171"/>
      <c r="F296" s="1171"/>
      <c r="G296" s="1171"/>
      <c r="H296" s="1171"/>
      <c r="I296" s="1171"/>
    </row>
    <row r="297" spans="1:9" ht="15">
      <c r="A297" s="1217"/>
      <c r="B297" s="1218" t="s">
        <v>2792</v>
      </c>
      <c r="C297" s="1218"/>
      <c r="D297" s="1254"/>
      <c r="E297" s="1173" t="s">
        <v>2793</v>
      </c>
      <c r="F297" s="1173" t="s">
        <v>2794</v>
      </c>
      <c r="G297" s="1173" t="s">
        <v>2795</v>
      </c>
      <c r="H297" s="1173" t="s">
        <v>2869</v>
      </c>
      <c r="I297" s="1171"/>
    </row>
    <row r="298" spans="1:9" ht="15">
      <c r="A298" s="1217" t="s">
        <v>2797</v>
      </c>
      <c r="B298" s="1218"/>
      <c r="C298" s="1218"/>
      <c r="D298" s="1254"/>
      <c r="E298" s="1173" t="s">
        <v>2892</v>
      </c>
      <c r="F298" s="1173">
        <v>1</v>
      </c>
      <c r="G298" s="1173">
        <v>12</v>
      </c>
      <c r="H298" s="1219">
        <f>((150/1000)*F298*G298)</f>
        <v>1.8</v>
      </c>
      <c r="I298" s="1171"/>
    </row>
    <row r="299" spans="1:9" ht="15">
      <c r="A299" s="1217" t="s">
        <v>2800</v>
      </c>
      <c r="B299" s="1218"/>
      <c r="C299" s="1218"/>
      <c r="D299" s="1254"/>
      <c r="E299" s="1173">
        <f>$F$264</f>
        <v>150</v>
      </c>
      <c r="F299" s="1173">
        <v>5</v>
      </c>
      <c r="G299" s="1173">
        <v>30</v>
      </c>
      <c r="H299" s="1219">
        <f>((E299/1000)*F299*G299)</f>
        <v>22.5</v>
      </c>
      <c r="I299" s="1171"/>
    </row>
    <row r="300" spans="1:9" ht="15">
      <c r="A300" s="1217" t="s">
        <v>2803</v>
      </c>
      <c r="B300" s="1218"/>
      <c r="C300" s="1218"/>
      <c r="D300" s="1254"/>
      <c r="E300" s="1173">
        <f>$F$264</f>
        <v>150</v>
      </c>
      <c r="F300" s="1173">
        <v>2</v>
      </c>
      <c r="G300" s="1173">
        <v>8</v>
      </c>
      <c r="H300" s="1219">
        <f>((E300/1000)*F300*G300)</f>
        <v>2.4</v>
      </c>
      <c r="I300" s="1171"/>
    </row>
    <row r="301" spans="1:9" ht="15">
      <c r="A301" s="1217" t="s">
        <v>2802</v>
      </c>
      <c r="B301" s="1218"/>
      <c r="C301" s="1218"/>
      <c r="D301" s="1254"/>
      <c r="E301" s="1173">
        <f>$F$264</f>
        <v>150</v>
      </c>
      <c r="F301" s="1173">
        <v>2</v>
      </c>
      <c r="G301" s="1173">
        <v>20</v>
      </c>
      <c r="H301" s="1219">
        <f>((E301/1000)*F301*G301)</f>
        <v>6</v>
      </c>
      <c r="I301" s="1171"/>
    </row>
    <row r="302" spans="1:9" ht="15">
      <c r="A302" s="1217" t="s">
        <v>2893</v>
      </c>
      <c r="B302" s="1218"/>
      <c r="C302" s="1218"/>
      <c r="D302" s="1254"/>
      <c r="E302" s="1173">
        <f>$F$264</f>
        <v>150</v>
      </c>
      <c r="F302" s="1173">
        <v>1</v>
      </c>
      <c r="G302" s="1173">
        <v>100</v>
      </c>
      <c r="H302" s="1219">
        <f>((E302/1000)*F302*G302)</f>
        <v>15</v>
      </c>
      <c r="I302" s="1171"/>
    </row>
    <row r="303" spans="1:9" ht="15">
      <c r="A303" s="1217" t="s">
        <v>2872</v>
      </c>
      <c r="B303" s="1218"/>
      <c r="C303" s="1218"/>
      <c r="D303" s="1254"/>
      <c r="E303" s="1173">
        <f>$F$264</f>
        <v>150</v>
      </c>
      <c r="F303" s="1221"/>
      <c r="G303" s="1221"/>
      <c r="H303" s="1219">
        <v>42</v>
      </c>
      <c r="I303" s="1171"/>
    </row>
    <row r="304" spans="1:9" ht="15">
      <c r="A304" s="1171"/>
      <c r="B304" s="1171"/>
      <c r="C304" s="1171"/>
      <c r="D304" s="1171"/>
      <c r="E304" s="1171"/>
      <c r="F304" s="1222" t="s">
        <v>21</v>
      </c>
      <c r="G304" s="1221"/>
      <c r="H304" s="1219">
        <f>SUM(H298:H303)</f>
        <v>89.7</v>
      </c>
      <c r="I304" s="1171"/>
    </row>
    <row r="305" spans="1:9" ht="15">
      <c r="A305" s="1209" t="s">
        <v>2894</v>
      </c>
      <c r="B305" s="1210" t="s">
        <v>2778</v>
      </c>
      <c r="C305" s="1211" t="s">
        <v>2779</v>
      </c>
      <c r="D305" s="1212" t="s">
        <v>2822</v>
      </c>
      <c r="E305" s="1213"/>
      <c r="F305" s="1171"/>
      <c r="G305" s="1171"/>
      <c r="H305" s="1171"/>
      <c r="I305" s="1171"/>
    </row>
    <row r="306" spans="1:9" ht="15">
      <c r="A306" s="1213"/>
      <c r="B306" s="1210"/>
      <c r="C306" s="1210" t="s">
        <v>2895</v>
      </c>
      <c r="D306" s="1209"/>
      <c r="E306" s="1213"/>
      <c r="F306" s="1171"/>
      <c r="G306" s="1171"/>
      <c r="H306" s="1171"/>
      <c r="I306" s="1171"/>
    </row>
    <row r="307" spans="1:9" ht="15">
      <c r="A307" s="1214" t="s">
        <v>2894</v>
      </c>
      <c r="B307" s="1260">
        <f>10.643*((E260/3600)^1.85)*H304/(130^1.85*(F264/1000)^4.87)</f>
        <v>0.93600000000000005</v>
      </c>
      <c r="C307" s="1216" t="s">
        <v>3</v>
      </c>
      <c r="D307" s="1213"/>
      <c r="E307" s="1213"/>
      <c r="F307" s="1171"/>
      <c r="G307" s="1171"/>
      <c r="H307" s="1171"/>
      <c r="I307" s="1171"/>
    </row>
    <row r="308" spans="1:9" ht="15">
      <c r="A308" s="1171" t="s">
        <v>2896</v>
      </c>
      <c r="B308" s="1171"/>
      <c r="C308" s="1171"/>
      <c r="D308" s="1171"/>
      <c r="E308" s="1171"/>
      <c r="F308" s="1171"/>
      <c r="G308" s="1171"/>
      <c r="H308" s="1171"/>
      <c r="I308" s="1171"/>
    </row>
    <row r="309" spans="1:9" ht="15">
      <c r="A309" s="1190" t="s">
        <v>2886</v>
      </c>
      <c r="B309" s="1207">
        <f>E291-E288</f>
        <v>21.6</v>
      </c>
      <c r="C309" s="1192" t="s">
        <v>2897</v>
      </c>
      <c r="D309" s="1192"/>
      <c r="E309" s="1192"/>
      <c r="F309" s="1192"/>
      <c r="G309" s="1192"/>
      <c r="H309" s="1192"/>
      <c r="I309" s="1171"/>
    </row>
    <row r="310" spans="1:9" ht="15">
      <c r="A310" s="1190" t="s">
        <v>2898</v>
      </c>
      <c r="B310" s="1259" t="s">
        <v>2899</v>
      </c>
      <c r="C310" s="1192"/>
      <c r="D310" s="1192"/>
      <c r="E310" s="1192"/>
      <c r="F310" s="1192"/>
      <c r="G310" s="1192"/>
      <c r="H310" s="1192"/>
      <c r="I310" s="1171"/>
    </row>
    <row r="311" spans="1:9" ht="15">
      <c r="A311" s="1197" t="s">
        <v>2898</v>
      </c>
      <c r="B311" s="1249">
        <f>B309+B307</f>
        <v>22.54</v>
      </c>
      <c r="C311" s="1198" t="s">
        <v>2783</v>
      </c>
      <c r="D311" s="1192"/>
      <c r="E311" s="1192"/>
      <c r="F311" s="1192"/>
      <c r="G311" s="1192"/>
      <c r="H311" s="1192"/>
      <c r="I311" s="1171"/>
    </row>
    <row r="312" spans="1:9" ht="15">
      <c r="A312" s="1171"/>
      <c r="B312" s="1171"/>
      <c r="C312" s="1171"/>
      <c r="D312" s="1171"/>
      <c r="E312" s="1171"/>
      <c r="F312" s="1171"/>
      <c r="G312" s="1171"/>
      <c r="H312" s="1171"/>
      <c r="I312" s="1171"/>
    </row>
    <row r="313" spans="1:9" ht="15">
      <c r="A313" s="1171" t="s">
        <v>2900</v>
      </c>
      <c r="B313" s="1171"/>
      <c r="C313" s="1171"/>
      <c r="D313" s="1171"/>
      <c r="E313" s="1171"/>
      <c r="F313" s="1171"/>
      <c r="G313" s="1171"/>
      <c r="H313" s="1171"/>
      <c r="I313" s="1171"/>
    </row>
    <row r="314" spans="1:9" ht="15">
      <c r="A314" s="1190" t="s">
        <v>2901</v>
      </c>
      <c r="B314" s="1191" t="s">
        <v>2902</v>
      </c>
      <c r="C314" s="1192"/>
      <c r="D314" s="1192"/>
      <c r="E314" s="1171"/>
      <c r="F314" s="1171"/>
      <c r="G314" s="1171"/>
      <c r="H314" s="1171"/>
      <c r="I314" s="1171"/>
    </row>
    <row r="315" spans="1:9" ht="15">
      <c r="A315" s="1197" t="s">
        <v>2901</v>
      </c>
      <c r="B315" s="1249">
        <f>B294+B311</f>
        <v>22.28</v>
      </c>
      <c r="C315" s="1198"/>
      <c r="D315" s="1192"/>
      <c r="E315" s="1171"/>
      <c r="F315" s="1171"/>
      <c r="G315" s="1171"/>
      <c r="H315" s="1171"/>
      <c r="I315" s="1171"/>
    </row>
    <row r="316" spans="1:9" ht="15">
      <c r="A316" s="1189"/>
      <c r="B316" s="1175"/>
      <c r="C316" s="1171"/>
      <c r="D316" s="1171"/>
      <c r="E316" s="1171"/>
      <c r="F316" s="1171"/>
      <c r="G316" s="1171"/>
      <c r="H316" s="1171"/>
      <c r="I316" s="1171"/>
    </row>
    <row r="317" spans="1:9" ht="15">
      <c r="A317" s="1171" t="s">
        <v>2903</v>
      </c>
      <c r="B317" s="1171"/>
      <c r="C317" s="1171"/>
      <c r="D317" s="1171"/>
      <c r="E317" s="1171"/>
      <c r="F317" s="1171"/>
      <c r="G317" s="1171"/>
      <c r="H317" s="1171"/>
      <c r="I317" s="1171"/>
    </row>
    <row r="318" spans="1:9" ht="15">
      <c r="A318" s="1175" t="s">
        <v>2833</v>
      </c>
      <c r="B318" s="1171"/>
      <c r="C318" s="1171"/>
      <c r="D318" s="1253">
        <f>E260</f>
        <v>75</v>
      </c>
      <c r="E318" s="1171" t="s">
        <v>2834</v>
      </c>
      <c r="F318" s="1171"/>
      <c r="G318" s="1171"/>
      <c r="H318" s="1171"/>
      <c r="I318" s="1171"/>
    </row>
    <row r="319" spans="1:9" ht="15">
      <c r="A319" s="1175" t="s">
        <v>2835</v>
      </c>
      <c r="B319" s="1171"/>
      <c r="C319" s="1171"/>
      <c r="D319" s="1175">
        <f>B315</f>
        <v>22.28</v>
      </c>
      <c r="E319" s="1171" t="s">
        <v>2783</v>
      </c>
      <c r="F319" s="1171"/>
      <c r="G319" s="1171"/>
      <c r="H319" s="1171"/>
      <c r="I319" s="1171"/>
    </row>
    <row r="320" spans="1:9" ht="15">
      <c r="A320" s="1171" t="s">
        <v>2904</v>
      </c>
      <c r="B320" s="1171"/>
      <c r="C320" s="1171"/>
      <c r="D320" s="1171"/>
      <c r="E320" s="1171"/>
      <c r="F320" s="1171"/>
      <c r="G320" s="1171"/>
      <c r="H320" s="1171"/>
      <c r="I320" s="1171"/>
    </row>
    <row r="321" spans="1:9" ht="15">
      <c r="A321" s="1171"/>
      <c r="B321" s="1190" t="s">
        <v>2837</v>
      </c>
      <c r="C321" s="1195" t="s">
        <v>2838</v>
      </c>
      <c r="D321" s="1192"/>
      <c r="E321" s="1171"/>
      <c r="F321" s="1171"/>
      <c r="G321" s="1171"/>
      <c r="H321" s="1171"/>
      <c r="I321" s="1171"/>
    </row>
    <row r="322" spans="1:9" ht="15">
      <c r="A322" s="1171"/>
      <c r="B322" s="1192"/>
      <c r="C322" s="1191" t="s">
        <v>2839</v>
      </c>
      <c r="D322" s="1192"/>
      <c r="E322" s="1171"/>
      <c r="F322" s="1171"/>
      <c r="G322" s="1171"/>
      <c r="H322" s="1171"/>
      <c r="I322" s="1171"/>
    </row>
    <row r="323" spans="1:9" ht="15">
      <c r="A323" s="1171" t="s">
        <v>2840</v>
      </c>
      <c r="B323" s="1171"/>
      <c r="C323" s="1171"/>
      <c r="D323" s="1171"/>
      <c r="E323" s="1171"/>
      <c r="F323" s="1171"/>
      <c r="G323" s="1171"/>
      <c r="H323" s="1171"/>
      <c r="I323" s="1171"/>
    </row>
    <row r="324" spans="1:9" ht="15">
      <c r="A324" s="1190" t="s">
        <v>2841</v>
      </c>
      <c r="B324" s="1250">
        <v>0.6</v>
      </c>
      <c r="C324" s="1192"/>
      <c r="D324" s="1192" t="s">
        <v>2842</v>
      </c>
      <c r="E324" s="1192"/>
      <c r="F324" s="1171"/>
      <c r="G324" s="1171"/>
      <c r="H324" s="1171"/>
      <c r="I324" s="1171"/>
    </row>
    <row r="325" spans="1:9" ht="15">
      <c r="A325" s="1190" t="s">
        <v>2843</v>
      </c>
      <c r="B325" s="1251">
        <f>D318</f>
        <v>75</v>
      </c>
      <c r="C325" s="1199" t="s">
        <v>2834</v>
      </c>
      <c r="D325" s="1192" t="s">
        <v>2844</v>
      </c>
      <c r="E325" s="1192"/>
      <c r="F325" s="1171"/>
      <c r="G325" s="1171"/>
      <c r="H325" s="1171"/>
      <c r="I325" s="1171"/>
    </row>
    <row r="326" spans="1:9" ht="15">
      <c r="A326" s="1190" t="s">
        <v>2845</v>
      </c>
      <c r="B326" s="1251">
        <f>D319</f>
        <v>22.28</v>
      </c>
      <c r="C326" s="1199" t="s">
        <v>2783</v>
      </c>
      <c r="D326" s="1192" t="s">
        <v>2846</v>
      </c>
      <c r="E326" s="1192"/>
      <c r="F326" s="1171"/>
      <c r="G326" s="1171"/>
      <c r="H326" s="1171"/>
      <c r="I326" s="1171"/>
    </row>
    <row r="327" spans="1:9" ht="15">
      <c r="A327" s="1192"/>
      <c r="B327" s="1190" t="s">
        <v>2847</v>
      </c>
      <c r="C327" s="1261">
        <f>(E260/3.6)*$B$326/(75*$B$324)</f>
        <v>10.31</v>
      </c>
      <c r="D327" s="1198" t="s">
        <v>2905</v>
      </c>
      <c r="E327" s="1198"/>
      <c r="F327" s="1171"/>
      <c r="G327" s="1171"/>
      <c r="H327" s="1171"/>
      <c r="I327" s="1171"/>
    </row>
    <row r="328" spans="1:9" ht="15">
      <c r="A328" s="1192"/>
      <c r="B328" s="1190"/>
      <c r="C328" s="1207"/>
      <c r="D328" s="1192"/>
      <c r="E328" s="1192"/>
      <c r="F328" s="1171"/>
      <c r="G328" s="1171"/>
      <c r="H328" s="1171"/>
      <c r="I328" s="1171"/>
    </row>
    <row r="329" spans="1:9" ht="15">
      <c r="A329" s="1171" t="s">
        <v>2906</v>
      </c>
      <c r="B329" s="1171"/>
      <c r="C329" s="1171"/>
      <c r="D329" s="1171"/>
      <c r="E329" s="1171"/>
      <c r="F329" s="1171"/>
      <c r="G329" s="1171"/>
      <c r="H329" s="1171"/>
      <c r="I329" s="1171"/>
    </row>
    <row r="330" spans="1:9" ht="15">
      <c r="A330" s="1190" t="s">
        <v>2907</v>
      </c>
      <c r="B330" s="1195" t="s">
        <v>2908</v>
      </c>
      <c r="C330" s="1192"/>
      <c r="D330" s="1192"/>
      <c r="E330" s="1171"/>
      <c r="F330" s="1171"/>
      <c r="G330" s="1171"/>
      <c r="H330" s="1171"/>
      <c r="I330" s="1171"/>
    </row>
    <row r="331" spans="1:9" ht="15">
      <c r="A331" s="1192"/>
      <c r="B331" s="1262">
        <f>'[63]dados de projeto'!D15</f>
        <v>3</v>
      </c>
      <c r="C331" s="1192"/>
      <c r="D331" s="1192"/>
      <c r="E331" s="1171"/>
      <c r="F331" s="1171"/>
      <c r="G331" s="1171"/>
      <c r="H331" s="1171"/>
      <c r="I331" s="1171"/>
    </row>
    <row r="332" spans="1:9" ht="15">
      <c r="A332" s="1197" t="s">
        <v>2907</v>
      </c>
      <c r="B332" s="1263">
        <f>(($C$25*'[63]dados de projeto'!$D$5*'[63]dados de projeto'!$D$7)/'[63]dados de projeto'!D15)/1000</f>
        <v>400</v>
      </c>
      <c r="C332" s="1198" t="s">
        <v>0</v>
      </c>
      <c r="D332" s="1207"/>
      <c r="E332" s="1171"/>
      <c r="F332" s="1171"/>
      <c r="G332" s="1171"/>
      <c r="H332" s="1171"/>
      <c r="I332" s="1171"/>
    </row>
    <row r="333" spans="1:9" ht="15">
      <c r="A333" s="1171" t="s">
        <v>2909</v>
      </c>
      <c r="B333" s="1175"/>
      <c r="C333" s="1171"/>
      <c r="D333" s="1175"/>
      <c r="E333" s="1171"/>
      <c r="F333" s="1171"/>
      <c r="G333" s="1171"/>
      <c r="H333" s="1171"/>
      <c r="I333" s="1171"/>
    </row>
    <row r="334" spans="1:9" ht="15">
      <c r="A334" s="1171"/>
      <c r="B334" s="1175"/>
      <c r="C334" s="1171"/>
      <c r="D334" s="1175"/>
      <c r="E334" s="1171"/>
      <c r="F334" s="1171"/>
      <c r="G334" s="1171"/>
      <c r="H334" s="1171"/>
      <c r="I334" s="1171"/>
    </row>
    <row r="335" spans="1:9" ht="15">
      <c r="A335" s="1171"/>
      <c r="B335" s="1175"/>
      <c r="C335" s="1171"/>
      <c r="D335" s="1175"/>
      <c r="E335" s="1171"/>
      <c r="F335" s="1171"/>
      <c r="G335" s="1171"/>
      <c r="H335" s="1171"/>
      <c r="I335" s="1171"/>
    </row>
    <row r="336" spans="1:9" ht="14.45" customHeight="1">
      <c r="A336" s="1171"/>
      <c r="B336" s="1175"/>
      <c r="C336" s="1175"/>
      <c r="D336" s="1175"/>
      <c r="E336" s="1175"/>
      <c r="F336" s="1175"/>
      <c r="G336" s="1175"/>
      <c r="H336" s="1171"/>
      <c r="I336" s="1171"/>
    </row>
    <row r="337" spans="1:9" ht="37.15" customHeight="1">
      <c r="A337" s="1264" t="s">
        <v>742</v>
      </c>
      <c r="B337" s="1763" t="s">
        <v>2679</v>
      </c>
      <c r="C337" s="1763"/>
      <c r="D337" s="1763"/>
      <c r="E337" s="1763"/>
      <c r="F337" s="1763"/>
      <c r="G337" s="1763"/>
      <c r="H337" s="1763"/>
      <c r="I337" s="1763"/>
    </row>
    <row r="338" spans="1:9" ht="31.15" customHeight="1">
      <c r="A338" s="1264" t="s">
        <v>2910</v>
      </c>
      <c r="B338" s="1758" t="str">
        <f>'ORÇAMENTO (F)'!E574</f>
        <v>Tubo, pvc, soldável, dn 25mm, instalado em ramal de distribuição de água - fornecimento e instalação. Af_06/2022</v>
      </c>
      <c r="C338" s="1758"/>
      <c r="D338" s="1758"/>
      <c r="E338" s="1758"/>
      <c r="F338" s="1758"/>
      <c r="G338" s="1758"/>
      <c r="H338" s="1758"/>
      <c r="I338" s="1758"/>
    </row>
    <row r="339" spans="1:9" ht="32.450000000000003" customHeight="1">
      <c r="A339" s="1264">
        <v>80</v>
      </c>
      <c r="B339" s="1758" t="str">
        <f>'ORÇAMENTO (F)'!E575</f>
        <v>Joelho 90 graus, pvc, soldável, dn 25mm, instalado em ramal ou sub-ramal de água - fornecimento e instalação. Af_06/2022</v>
      </c>
      <c r="C339" s="1758"/>
      <c r="D339" s="1758"/>
      <c r="E339" s="1758"/>
      <c r="F339" s="1758"/>
      <c r="G339" s="1758"/>
      <c r="H339" s="1758"/>
      <c r="I339" s="1758"/>
    </row>
    <row r="340" spans="1:9" ht="15">
      <c r="A340" s="1264">
        <v>80</v>
      </c>
      <c r="B340" s="1758" t="str">
        <f>'ORÇAMENTO (F)'!E576</f>
        <v>Joelho 90 graus com bucha de latão, pvc, soldável, dn 25 mm, x 3/4" instalado em reservação de água de edificação que possua reservatório de fibra/fibrocimento fornecimento e instalação. Af_06/2016</v>
      </c>
      <c r="C340" s="1758"/>
      <c r="D340" s="1758"/>
      <c r="E340" s="1758"/>
      <c r="F340" s="1758"/>
      <c r="G340" s="1758"/>
      <c r="H340" s="1758"/>
      <c r="I340" s="1758"/>
    </row>
    <row r="341" spans="1:9" ht="15">
      <c r="A341" s="1264">
        <v>80</v>
      </c>
      <c r="B341" s="1758" t="str">
        <f>'ORÇAMENTO (F)'!E577</f>
        <v>Torneira plástica 3/4" para tanque - fornecimento e instalação. Af_01/2020</v>
      </c>
      <c r="C341" s="1758"/>
      <c r="D341" s="1758"/>
      <c r="E341" s="1758"/>
      <c r="F341" s="1758"/>
      <c r="G341" s="1758"/>
      <c r="H341" s="1758"/>
      <c r="I341" s="1758"/>
    </row>
    <row r="342" spans="1:9" ht="15">
      <c r="A342" s="1171"/>
      <c r="B342" s="1171"/>
      <c r="C342" s="1171"/>
      <c r="D342" s="1171"/>
      <c r="E342" s="1171"/>
      <c r="F342" s="1171"/>
      <c r="G342" s="1171"/>
      <c r="H342" s="1171"/>
      <c r="I342" s="1171"/>
    </row>
    <row r="343" spans="1:9" ht="15">
      <c r="A343" s="1171"/>
      <c r="B343" s="1171"/>
      <c r="C343" s="1171"/>
      <c r="D343" s="1171"/>
      <c r="E343" s="1171"/>
      <c r="F343" s="1171"/>
      <c r="G343" s="1171"/>
      <c r="H343" s="1171"/>
      <c r="I343" s="1171"/>
    </row>
    <row r="344" spans="1:9" ht="15">
      <c r="A344" s="1171"/>
      <c r="B344" s="1171"/>
      <c r="C344" s="1171"/>
      <c r="D344" s="1171"/>
      <c r="E344" s="1171"/>
      <c r="F344" s="1171"/>
      <c r="G344" s="1171"/>
      <c r="H344" s="1171"/>
      <c r="I344" s="1171"/>
    </row>
    <row r="345" spans="1:9" ht="15">
      <c r="A345" s="1171"/>
      <c r="B345" s="1171"/>
      <c r="C345" s="1171"/>
      <c r="D345" s="1171"/>
      <c r="E345" s="1171"/>
      <c r="F345" s="1171"/>
      <c r="G345" s="1171"/>
      <c r="H345" s="1171"/>
      <c r="I345" s="1171"/>
    </row>
    <row r="346" spans="1:9" ht="15">
      <c r="A346" s="1265"/>
    </row>
    <row r="347" spans="1:9">
      <c r="A347" s="1266"/>
    </row>
    <row r="348" spans="1:9">
      <c r="A348" s="1266"/>
    </row>
    <row r="349" spans="1:9">
      <c r="A349" s="1266"/>
    </row>
  </sheetData>
  <mergeCells count="9">
    <mergeCell ref="B339:I339"/>
    <mergeCell ref="B340:I340"/>
    <mergeCell ref="B341:I341"/>
    <mergeCell ref="A1:I1"/>
    <mergeCell ref="A2:I2"/>
    <mergeCell ref="A3:I3"/>
    <mergeCell ref="A4:I4"/>
    <mergeCell ref="B337:I337"/>
    <mergeCell ref="B338:I338"/>
  </mergeCells>
  <pageMargins left="0.511811024" right="0.511811024" top="0.78740157499999996" bottom="0.78740157499999996" header="0.31496062000000002" footer="0.31496062000000002"/>
  <drawing r:id="rId1"/>
  <legacyDrawing r:id="rId2"/>
  <oleObjects>
    <mc:AlternateContent xmlns:mc="http://schemas.openxmlformats.org/markup-compatibility/2006">
      <mc:Choice Requires="x14">
        <oleObject progId="Equation.3" shapeId="153601" r:id="rId3">
          <objectPr defaultSize="0" autoPict="0" r:id="rId4">
            <anchor moveWithCells="1" sizeWithCells="1">
              <from>
                <xdr:col>9</xdr:col>
                <xdr:colOff>0</xdr:colOff>
                <xdr:row>37</xdr:row>
                <xdr:rowOff>95250</xdr:rowOff>
              </from>
              <to>
                <xdr:col>9</xdr:col>
                <xdr:colOff>0</xdr:colOff>
                <xdr:row>40</xdr:row>
                <xdr:rowOff>38100</xdr:rowOff>
              </to>
            </anchor>
          </objectPr>
        </oleObject>
      </mc:Choice>
      <mc:Fallback>
        <oleObject progId="Equation.3" shapeId="153601" r:id="rId3"/>
      </mc:Fallback>
    </mc:AlternateContent>
    <mc:AlternateContent xmlns:mc="http://schemas.openxmlformats.org/markup-compatibility/2006">
      <mc:Choice Requires="x14">
        <oleObject progId="Equation.3" shapeId="153602" r:id="rId5">
          <objectPr defaultSize="0" autoPict="0" r:id="rId4">
            <anchor moveWithCells="1" sizeWithCells="1">
              <from>
                <xdr:col>0</xdr:col>
                <xdr:colOff>552450</xdr:colOff>
                <xdr:row>153</xdr:row>
                <xdr:rowOff>0</xdr:rowOff>
              </from>
              <to>
                <xdr:col>2</xdr:col>
                <xdr:colOff>400050</xdr:colOff>
                <xdr:row>153</xdr:row>
                <xdr:rowOff>0</xdr:rowOff>
              </to>
            </anchor>
          </objectPr>
        </oleObject>
      </mc:Choice>
      <mc:Fallback>
        <oleObject progId="Equation.3" shapeId="153602" r:id="rId5"/>
      </mc:Fallback>
    </mc:AlternateContent>
    <mc:AlternateContent xmlns:mc="http://schemas.openxmlformats.org/markup-compatibility/2006">
      <mc:Choice Requires="x14">
        <oleObject progId="Equation.3" shapeId="153603" r:id="rId6">
          <objectPr defaultSize="0" autoPict="0" r:id="rId7">
            <anchor moveWithCells="1" sizeWithCells="1">
              <from>
                <xdr:col>0</xdr:col>
                <xdr:colOff>9525</xdr:colOff>
                <xdr:row>327</xdr:row>
                <xdr:rowOff>0</xdr:rowOff>
              </from>
              <to>
                <xdr:col>3</xdr:col>
                <xdr:colOff>104775</xdr:colOff>
                <xdr:row>327</xdr:row>
                <xdr:rowOff>0</xdr:rowOff>
              </to>
            </anchor>
          </objectPr>
        </oleObject>
      </mc:Choice>
      <mc:Fallback>
        <oleObject progId="Equation.3" shapeId="153603" r:id="rId6"/>
      </mc:Fallback>
    </mc:AlternateContent>
    <mc:AlternateContent xmlns:mc="http://schemas.openxmlformats.org/markup-compatibility/2006">
      <mc:Choice Requires="x14">
        <oleObject progId="Equation.3" shapeId="153604" r:id="rId8">
          <objectPr defaultSize="0" autoPict="0" r:id="rId4">
            <anchor moveWithCells="1" sizeWithCells="1">
              <from>
                <xdr:col>0</xdr:col>
                <xdr:colOff>552450</xdr:colOff>
                <xdr:row>327</xdr:row>
                <xdr:rowOff>0</xdr:rowOff>
              </from>
              <to>
                <xdr:col>2</xdr:col>
                <xdr:colOff>400050</xdr:colOff>
                <xdr:row>327</xdr:row>
                <xdr:rowOff>0</xdr:rowOff>
              </to>
            </anchor>
          </objectPr>
        </oleObject>
      </mc:Choice>
      <mc:Fallback>
        <oleObject progId="Equation.3" shapeId="153604" r:id="rId8"/>
      </mc:Fallback>
    </mc:AlternateContent>
  </oleObjec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5349A-628E-4C38-97E7-9E5604A98FA6}">
  <sheetPr>
    <tabColor theme="7" tint="0.39997558519241921"/>
  </sheetPr>
  <dimension ref="A1:T104"/>
  <sheetViews>
    <sheetView topLeftCell="D2" workbookViewId="0">
      <selection activeCell="O82" sqref="O82:O85"/>
    </sheetView>
  </sheetViews>
  <sheetFormatPr defaultRowHeight="12.75"/>
  <cols>
    <col min="15" max="15" width="15.7109375" customWidth="1"/>
  </cols>
  <sheetData>
    <row r="1" spans="1:18" ht="15.75">
      <c r="A1" s="1764" t="s">
        <v>2684</v>
      </c>
      <c r="B1" s="1765"/>
      <c r="C1" s="1765"/>
      <c r="D1" s="1765"/>
      <c r="E1" s="1765"/>
      <c r="F1" s="1765"/>
      <c r="G1" s="1765"/>
      <c r="H1" s="1765"/>
      <c r="I1" s="1765"/>
      <c r="J1" s="1765"/>
      <c r="K1" s="1765"/>
      <c r="L1" s="1334" t="s">
        <v>3495</v>
      </c>
      <c r="M1" s="1335"/>
      <c r="N1" s="1338" t="s">
        <v>3496</v>
      </c>
      <c r="O1" s="1327"/>
      <c r="P1" s="1309"/>
      <c r="Q1" s="1309"/>
      <c r="R1" s="1309"/>
    </row>
    <row r="2" spans="1:18" ht="15.75">
      <c r="A2" s="1764" t="s">
        <v>3497</v>
      </c>
      <c r="B2" s="1765"/>
      <c r="C2" s="1765"/>
      <c r="D2" s="1765"/>
      <c r="E2" s="1765"/>
      <c r="F2" s="1765"/>
      <c r="G2" s="1765"/>
      <c r="H2" s="1765"/>
      <c r="I2" s="1765"/>
      <c r="J2" s="1765"/>
      <c r="K2" s="1765"/>
      <c r="L2" s="1334" t="s">
        <v>3498</v>
      </c>
      <c r="M2" s="1335"/>
      <c r="N2" s="1338"/>
      <c r="O2" s="1339"/>
      <c r="P2" s="1309"/>
      <c r="Q2" s="1309"/>
      <c r="R2" s="1309"/>
    </row>
    <row r="3" spans="1:18" ht="15.75">
      <c r="A3" s="1344" t="s">
        <v>185</v>
      </c>
      <c r="B3" s="1345"/>
      <c r="C3" s="1345"/>
      <c r="D3" s="1346"/>
      <c r="E3" s="1346"/>
      <c r="F3" s="1345"/>
      <c r="G3" s="1346"/>
      <c r="H3" s="1346"/>
      <c r="I3" s="1347"/>
      <c r="J3" s="1346"/>
      <c r="K3" s="1345"/>
      <c r="L3" s="1334" t="s">
        <v>3499</v>
      </c>
      <c r="M3" s="1335"/>
      <c r="N3" s="1336"/>
      <c r="O3" s="1337"/>
      <c r="P3" s="1309"/>
      <c r="Q3" s="1309"/>
      <c r="R3" s="1309"/>
    </row>
    <row r="4" spans="1:18" ht="15">
      <c r="A4" s="1328" t="s">
        <v>3500</v>
      </c>
      <c r="B4" s="1329"/>
      <c r="C4" s="1329"/>
      <c r="D4" s="1333"/>
      <c r="E4" s="1330"/>
      <c r="F4" s="1331"/>
      <c r="G4" s="1330"/>
      <c r="H4" s="1330"/>
      <c r="I4" s="1332"/>
      <c r="J4" s="1330"/>
      <c r="K4" s="1330"/>
      <c r="L4" s="1330"/>
      <c r="M4" s="1330"/>
      <c r="N4" s="1333"/>
      <c r="O4" s="1327"/>
      <c r="P4" s="1309"/>
      <c r="Q4" s="1309"/>
      <c r="R4" s="1309"/>
    </row>
    <row r="5" spans="1:18" ht="48">
      <c r="A5" s="1311" t="s">
        <v>3501</v>
      </c>
      <c r="B5" s="1311" t="s">
        <v>3502</v>
      </c>
      <c r="C5" s="1311" t="s">
        <v>3503</v>
      </c>
      <c r="D5" s="1312" t="s">
        <v>327</v>
      </c>
      <c r="E5" s="1312" t="s">
        <v>3504</v>
      </c>
      <c r="F5" s="1311" t="s">
        <v>3505</v>
      </c>
      <c r="G5" s="1312" t="s">
        <v>3506</v>
      </c>
      <c r="H5" s="1312" t="s">
        <v>3507</v>
      </c>
      <c r="I5" s="1313" t="s">
        <v>3508</v>
      </c>
      <c r="J5" s="1312" t="s">
        <v>3509</v>
      </c>
      <c r="K5" s="1312" t="s">
        <v>3510</v>
      </c>
      <c r="L5" s="1312" t="s">
        <v>3511</v>
      </c>
      <c r="M5" s="1312" t="s">
        <v>3512</v>
      </c>
      <c r="N5" s="1312" t="s">
        <v>3513</v>
      </c>
      <c r="O5" s="1312" t="s">
        <v>3514</v>
      </c>
      <c r="P5" s="1309"/>
      <c r="Q5" s="1309"/>
      <c r="R5" s="1309"/>
    </row>
    <row r="6" spans="1:18" ht="15">
      <c r="A6" s="1317" t="s">
        <v>3515</v>
      </c>
      <c r="B6" s="1317" t="s">
        <v>3516</v>
      </c>
      <c r="C6" s="1317" t="s">
        <v>3517</v>
      </c>
      <c r="D6" s="1318">
        <v>97</v>
      </c>
      <c r="E6" s="1318">
        <v>21.42</v>
      </c>
      <c r="F6" s="1317">
        <v>150</v>
      </c>
      <c r="G6" s="1318">
        <v>1.1200000000000001</v>
      </c>
      <c r="H6" s="1318">
        <v>6.77</v>
      </c>
      <c r="I6" s="1319">
        <v>0.65600000000000003</v>
      </c>
      <c r="J6" s="1318">
        <v>15.8</v>
      </c>
      <c r="K6" s="1318">
        <v>15.92</v>
      </c>
      <c r="L6" s="1318">
        <v>15.25</v>
      </c>
      <c r="M6" s="1318">
        <v>14.47</v>
      </c>
      <c r="N6" s="1318">
        <v>31.05</v>
      </c>
      <c r="O6" s="1318">
        <v>30.39</v>
      </c>
      <c r="P6" s="1309"/>
      <c r="Q6" s="1310"/>
      <c r="R6" s="1310"/>
    </row>
    <row r="7" spans="1:18" ht="15">
      <c r="A7" s="1317" t="s">
        <v>3518</v>
      </c>
      <c r="B7" s="1317" t="s">
        <v>3517</v>
      </c>
      <c r="C7" s="1317" t="s">
        <v>3519</v>
      </c>
      <c r="D7" s="1318">
        <v>65</v>
      </c>
      <c r="E7" s="1318">
        <v>21.18</v>
      </c>
      <c r="F7" s="1317">
        <v>150</v>
      </c>
      <c r="G7" s="1318">
        <v>1.1000000000000001</v>
      </c>
      <c r="H7" s="1318">
        <v>6.62</v>
      </c>
      <c r="I7" s="1319">
        <v>0.43099999999999999</v>
      </c>
      <c r="J7" s="1318">
        <v>15.92</v>
      </c>
      <c r="K7" s="1318">
        <v>15.69</v>
      </c>
      <c r="L7" s="1318">
        <v>14.47</v>
      </c>
      <c r="M7" s="1318">
        <v>14.27</v>
      </c>
      <c r="N7" s="1318">
        <v>30.39</v>
      </c>
      <c r="O7" s="1318">
        <v>29.96</v>
      </c>
      <c r="P7" s="1309"/>
      <c r="Q7" s="1309"/>
      <c r="R7" s="1309"/>
    </row>
    <row r="8" spans="1:18" ht="15">
      <c r="A8" s="1317" t="s">
        <v>3520</v>
      </c>
      <c r="B8" s="1317" t="s">
        <v>3519</v>
      </c>
      <c r="C8" s="1317" t="s">
        <v>3521</v>
      </c>
      <c r="D8" s="1318">
        <v>55</v>
      </c>
      <c r="E8" s="1318">
        <v>20.5</v>
      </c>
      <c r="F8" s="1317">
        <v>150</v>
      </c>
      <c r="G8" s="1318">
        <v>1.07</v>
      </c>
      <c r="H8" s="1318">
        <v>6.23</v>
      </c>
      <c r="I8" s="1319">
        <v>0.34300000000000003</v>
      </c>
      <c r="J8" s="1318">
        <v>15.69</v>
      </c>
      <c r="K8" s="1318">
        <v>15.82</v>
      </c>
      <c r="L8" s="1318">
        <v>14.27</v>
      </c>
      <c r="M8" s="1318">
        <v>13.8</v>
      </c>
      <c r="N8" s="1318">
        <v>29.96</v>
      </c>
      <c r="O8" s="1318">
        <v>29.62</v>
      </c>
      <c r="P8" s="1309"/>
      <c r="Q8" s="1309"/>
      <c r="R8" s="1309"/>
    </row>
    <row r="9" spans="1:18" ht="15">
      <c r="A9" s="1317" t="s">
        <v>3522</v>
      </c>
      <c r="B9" s="1317" t="s">
        <v>3521</v>
      </c>
      <c r="C9" s="1317" t="s">
        <v>3523</v>
      </c>
      <c r="D9" s="1318">
        <v>62</v>
      </c>
      <c r="E9" s="1318">
        <v>19.559999999999999</v>
      </c>
      <c r="F9" s="1317">
        <v>150</v>
      </c>
      <c r="G9" s="1318">
        <v>1.02</v>
      </c>
      <c r="H9" s="1318">
        <v>5.72</v>
      </c>
      <c r="I9" s="1319">
        <v>0.35399999999999998</v>
      </c>
      <c r="J9" s="1318">
        <v>15.82</v>
      </c>
      <c r="K9" s="1318">
        <v>15.47</v>
      </c>
      <c r="L9" s="1318">
        <v>13.8</v>
      </c>
      <c r="M9" s="1318">
        <v>13.8</v>
      </c>
      <c r="N9" s="1318">
        <v>29.62</v>
      </c>
      <c r="O9" s="1318">
        <v>29.27</v>
      </c>
      <c r="P9" s="1309"/>
      <c r="Q9" s="1314"/>
      <c r="R9" s="1309"/>
    </row>
    <row r="10" spans="1:18" ht="15">
      <c r="A10" s="1317" t="s">
        <v>3524</v>
      </c>
      <c r="B10" s="1317" t="s">
        <v>3523</v>
      </c>
      <c r="C10" s="1317" t="s">
        <v>3525</v>
      </c>
      <c r="D10" s="1318">
        <v>145</v>
      </c>
      <c r="E10" s="1318">
        <v>19.559999999999999</v>
      </c>
      <c r="F10" s="1317">
        <v>150</v>
      </c>
      <c r="G10" s="1318">
        <v>1.02</v>
      </c>
      <c r="H10" s="1318">
        <v>5.72</v>
      </c>
      <c r="I10" s="1319">
        <v>0.82899999999999996</v>
      </c>
      <c r="J10" s="1318">
        <v>15.47</v>
      </c>
      <c r="K10" s="1318">
        <v>15.29</v>
      </c>
      <c r="L10" s="1318">
        <v>13.8</v>
      </c>
      <c r="M10" s="1318">
        <v>13.15</v>
      </c>
      <c r="N10" s="1318">
        <v>29.27</v>
      </c>
      <c r="O10" s="1318">
        <v>28.44</v>
      </c>
      <c r="P10" s="1309"/>
      <c r="Q10" s="1314"/>
      <c r="R10" s="1309"/>
    </row>
    <row r="11" spans="1:18" ht="15">
      <c r="A11" s="1317" t="s">
        <v>3526</v>
      </c>
      <c r="B11" s="1317" t="s">
        <v>3525</v>
      </c>
      <c r="C11" s="1317" t="s">
        <v>3527</v>
      </c>
      <c r="D11" s="1318">
        <v>202</v>
      </c>
      <c r="E11" s="1318">
        <v>8.66</v>
      </c>
      <c r="F11" s="1317">
        <v>150</v>
      </c>
      <c r="G11" s="1318">
        <v>0.45</v>
      </c>
      <c r="H11" s="1318">
        <v>1.26</v>
      </c>
      <c r="I11" s="1319">
        <v>0.255</v>
      </c>
      <c r="J11" s="1318">
        <v>15.29</v>
      </c>
      <c r="K11" s="1318">
        <v>17.579999999999998</v>
      </c>
      <c r="L11" s="1318">
        <v>13.15</v>
      </c>
      <c r="M11" s="1318">
        <v>10.6</v>
      </c>
      <c r="N11" s="1318">
        <v>28.44</v>
      </c>
      <c r="O11" s="1318">
        <v>28.18</v>
      </c>
      <c r="P11" s="1309"/>
      <c r="Q11" s="1310"/>
      <c r="R11" s="1309"/>
    </row>
    <row r="12" spans="1:18" ht="15">
      <c r="A12" s="1317" t="s">
        <v>3528</v>
      </c>
      <c r="B12" s="1317" t="s">
        <v>3527</v>
      </c>
      <c r="C12" s="1317" t="s">
        <v>3529</v>
      </c>
      <c r="D12" s="1318">
        <v>57</v>
      </c>
      <c r="E12" s="1318">
        <v>5.59</v>
      </c>
      <c r="F12" s="1317">
        <v>100</v>
      </c>
      <c r="G12" s="1318">
        <v>0.8</v>
      </c>
      <c r="H12" s="1318">
        <v>6.58</v>
      </c>
      <c r="I12" s="1319">
        <v>0.375</v>
      </c>
      <c r="J12" s="1318">
        <v>17.579999999999998</v>
      </c>
      <c r="K12" s="1318">
        <v>18.13</v>
      </c>
      <c r="L12" s="1318">
        <v>10.6</v>
      </c>
      <c r="M12" s="1318">
        <v>9.68</v>
      </c>
      <c r="N12" s="1318">
        <v>28.18</v>
      </c>
      <c r="O12" s="1318">
        <v>27.81</v>
      </c>
      <c r="P12" s="1309"/>
      <c r="Q12" s="1310"/>
      <c r="R12" s="1309"/>
    </row>
    <row r="13" spans="1:18" ht="15">
      <c r="A13" s="1317" t="s">
        <v>3530</v>
      </c>
      <c r="B13" s="1317" t="s">
        <v>3529</v>
      </c>
      <c r="C13" s="1317" t="s">
        <v>3531</v>
      </c>
      <c r="D13" s="1318">
        <v>46</v>
      </c>
      <c r="E13" s="1318">
        <v>4.24</v>
      </c>
      <c r="F13" s="1317">
        <v>100</v>
      </c>
      <c r="G13" s="1318">
        <v>0.61</v>
      </c>
      <c r="H13" s="1318">
        <v>3.93</v>
      </c>
      <c r="I13" s="1319">
        <v>0.18099999999999999</v>
      </c>
      <c r="J13" s="1318">
        <v>18.13</v>
      </c>
      <c r="K13" s="1318">
        <v>18.63</v>
      </c>
      <c r="L13" s="1318">
        <v>9.68</v>
      </c>
      <c r="M13" s="1318">
        <v>9</v>
      </c>
      <c r="N13" s="1318">
        <v>27.81</v>
      </c>
      <c r="O13" s="1318">
        <v>27.63</v>
      </c>
      <c r="P13" s="1309"/>
      <c r="Q13" s="1309"/>
      <c r="R13" s="1310"/>
    </row>
    <row r="14" spans="1:18" ht="15">
      <c r="A14" s="1317" t="s">
        <v>3532</v>
      </c>
      <c r="B14" s="1317" t="s">
        <v>3531</v>
      </c>
      <c r="C14" s="1317" t="s">
        <v>3533</v>
      </c>
      <c r="D14" s="1318">
        <v>49</v>
      </c>
      <c r="E14" s="1318">
        <v>2.93</v>
      </c>
      <c r="F14" s="1317">
        <v>75</v>
      </c>
      <c r="G14" s="1318">
        <v>0.7</v>
      </c>
      <c r="H14" s="1318">
        <v>7.04</v>
      </c>
      <c r="I14" s="1319">
        <v>0.34499999999999997</v>
      </c>
      <c r="J14" s="1318">
        <v>18.63</v>
      </c>
      <c r="K14" s="1318">
        <v>19.48</v>
      </c>
      <c r="L14" s="1318">
        <v>9</v>
      </c>
      <c r="M14" s="1318">
        <v>7.8</v>
      </c>
      <c r="N14" s="1318">
        <v>27.63</v>
      </c>
      <c r="O14" s="1318">
        <v>27.28</v>
      </c>
      <c r="P14" s="1309"/>
      <c r="Q14" s="1309"/>
      <c r="R14" s="1309"/>
    </row>
    <row r="15" spans="1:18" ht="15">
      <c r="A15" s="1317" t="s">
        <v>3534</v>
      </c>
      <c r="B15" s="1317" t="s">
        <v>3533</v>
      </c>
      <c r="C15" s="1317" t="s">
        <v>3535</v>
      </c>
      <c r="D15" s="1318">
        <v>55</v>
      </c>
      <c r="E15" s="1318">
        <v>2.4300000000000002</v>
      </c>
      <c r="F15" s="1317">
        <v>75</v>
      </c>
      <c r="G15" s="1318">
        <v>0.57999999999999996</v>
      </c>
      <c r="H15" s="1318">
        <v>4.99</v>
      </c>
      <c r="I15" s="1319">
        <v>0.27400000000000002</v>
      </c>
      <c r="J15" s="1318">
        <v>19.48</v>
      </c>
      <c r="K15" s="1318">
        <v>21.42</v>
      </c>
      <c r="L15" s="1318">
        <v>7.8</v>
      </c>
      <c r="M15" s="1318">
        <v>5.59</v>
      </c>
      <c r="N15" s="1318">
        <v>27.28</v>
      </c>
      <c r="O15" s="1318">
        <v>27.01</v>
      </c>
      <c r="P15" s="1309"/>
      <c r="Q15" s="1309"/>
      <c r="R15" s="1309"/>
    </row>
    <row r="16" spans="1:18" ht="15">
      <c r="A16" s="1317" t="s">
        <v>3536</v>
      </c>
      <c r="B16" s="1317" t="s">
        <v>3535</v>
      </c>
      <c r="C16" s="1317" t="s">
        <v>3537</v>
      </c>
      <c r="D16" s="1318">
        <v>298</v>
      </c>
      <c r="E16" s="1318">
        <v>0.53</v>
      </c>
      <c r="F16" s="1317">
        <v>50</v>
      </c>
      <c r="G16" s="1318">
        <v>0.25</v>
      </c>
      <c r="H16" s="1318">
        <v>1.59</v>
      </c>
      <c r="I16" s="1319">
        <v>0.47499999999999998</v>
      </c>
      <c r="J16" s="1318">
        <v>21.42</v>
      </c>
      <c r="K16" s="1318">
        <v>23.33</v>
      </c>
      <c r="L16" s="1318">
        <v>5.59</v>
      </c>
      <c r="M16" s="1318">
        <v>3.2</v>
      </c>
      <c r="N16" s="1318">
        <v>27.01</v>
      </c>
      <c r="O16" s="1318">
        <v>26.53</v>
      </c>
      <c r="P16" s="1309"/>
      <c r="Q16" s="1310"/>
      <c r="R16" s="1309"/>
    </row>
    <row r="17" spans="1:17" ht="15">
      <c r="A17" s="1317" t="s">
        <v>3538</v>
      </c>
      <c r="B17" s="1317" t="s">
        <v>3527</v>
      </c>
      <c r="C17" s="1317" t="s">
        <v>3539</v>
      </c>
      <c r="D17" s="1318">
        <v>149</v>
      </c>
      <c r="E17" s="1318">
        <v>1.0900000000000001</v>
      </c>
      <c r="F17" s="1317">
        <v>50</v>
      </c>
      <c r="G17" s="1318">
        <v>0.52</v>
      </c>
      <c r="H17" s="1318">
        <v>6.09</v>
      </c>
      <c r="I17" s="1319">
        <v>0.90800000000000003</v>
      </c>
      <c r="J17" s="1318">
        <v>17.579999999999998</v>
      </c>
      <c r="K17" s="1318">
        <v>17.670000000000002</v>
      </c>
      <c r="L17" s="1318">
        <v>10.6</v>
      </c>
      <c r="M17" s="1318">
        <v>9.6</v>
      </c>
      <c r="N17" s="1318">
        <v>28.18</v>
      </c>
      <c r="O17" s="1318">
        <v>27.27</v>
      </c>
      <c r="P17" s="1309"/>
      <c r="Q17" s="1310"/>
    </row>
    <row r="18" spans="1:17" ht="15">
      <c r="A18" s="1317" t="s">
        <v>3540</v>
      </c>
      <c r="B18" s="1317" t="s">
        <v>3539</v>
      </c>
      <c r="C18" s="1317" t="s">
        <v>3541</v>
      </c>
      <c r="D18" s="1318">
        <v>57</v>
      </c>
      <c r="E18" s="1318">
        <v>0.86</v>
      </c>
      <c r="F18" s="1317">
        <v>50</v>
      </c>
      <c r="G18" s="1318">
        <v>0.42</v>
      </c>
      <c r="H18" s="1318">
        <v>3.98</v>
      </c>
      <c r="I18" s="1319">
        <v>0.22700000000000001</v>
      </c>
      <c r="J18" s="1318">
        <v>17.670000000000002</v>
      </c>
      <c r="K18" s="1318">
        <v>21.47</v>
      </c>
      <c r="L18" s="1318">
        <v>9.6</v>
      </c>
      <c r="M18" s="1318">
        <v>5.58</v>
      </c>
      <c r="N18" s="1318">
        <v>27.27</v>
      </c>
      <c r="O18" s="1318">
        <v>27.05</v>
      </c>
      <c r="P18" s="1309"/>
      <c r="Q18" s="1310"/>
    </row>
    <row r="19" spans="1:17" ht="15">
      <c r="A19" s="1317" t="s">
        <v>3542</v>
      </c>
      <c r="B19" s="1317" t="s">
        <v>3541</v>
      </c>
      <c r="C19" s="1317" t="s">
        <v>3543</v>
      </c>
      <c r="D19" s="1318">
        <v>87</v>
      </c>
      <c r="E19" s="1318">
        <v>0.54</v>
      </c>
      <c r="F19" s="1317">
        <v>50</v>
      </c>
      <c r="G19" s="1318">
        <v>0.26</v>
      </c>
      <c r="H19" s="1318">
        <v>1.66</v>
      </c>
      <c r="I19" s="1319">
        <v>0.14399999999999999</v>
      </c>
      <c r="J19" s="1318">
        <v>21.47</v>
      </c>
      <c r="K19" s="1318">
        <v>20.190000000000001</v>
      </c>
      <c r="L19" s="1318">
        <v>5.58</v>
      </c>
      <c r="M19" s="1318">
        <v>6.71</v>
      </c>
      <c r="N19" s="1318">
        <v>27.05</v>
      </c>
      <c r="O19" s="1318">
        <v>26.9</v>
      </c>
      <c r="P19" s="1309"/>
      <c r="Q19" s="1310"/>
    </row>
    <row r="20" spans="1:17" ht="15">
      <c r="A20" s="1317" t="s">
        <v>3544</v>
      </c>
      <c r="B20" s="1317" t="s">
        <v>3529</v>
      </c>
      <c r="C20" s="1317" t="s">
        <v>3545</v>
      </c>
      <c r="D20" s="1318">
        <v>153</v>
      </c>
      <c r="E20" s="1318">
        <v>1.17</v>
      </c>
      <c r="F20" s="1317">
        <v>50</v>
      </c>
      <c r="G20" s="1318">
        <v>0.56000000000000005</v>
      </c>
      <c r="H20" s="1318">
        <v>6.98</v>
      </c>
      <c r="I20" s="1319">
        <v>1.0680000000000001</v>
      </c>
      <c r="J20" s="1318">
        <v>18.13</v>
      </c>
      <c r="K20" s="1318">
        <v>18.12</v>
      </c>
      <c r="L20" s="1318">
        <v>9.68</v>
      </c>
      <c r="M20" s="1318">
        <v>8.6199999999999992</v>
      </c>
      <c r="N20" s="1318">
        <v>27.81</v>
      </c>
      <c r="O20" s="1318">
        <v>26.74</v>
      </c>
      <c r="P20" s="1309"/>
      <c r="Q20" s="1310"/>
    </row>
    <row r="21" spans="1:17" ht="15">
      <c r="A21" s="1317" t="s">
        <v>3546</v>
      </c>
      <c r="B21" s="1317" t="s">
        <v>3545</v>
      </c>
      <c r="C21" s="1317" t="s">
        <v>3547</v>
      </c>
      <c r="D21" s="1318">
        <v>56</v>
      </c>
      <c r="E21" s="1318">
        <v>0.94</v>
      </c>
      <c r="F21" s="1317">
        <v>50</v>
      </c>
      <c r="G21" s="1318">
        <v>0.45</v>
      </c>
      <c r="H21" s="1318">
        <v>4.7</v>
      </c>
      <c r="I21" s="1319">
        <v>0.26300000000000001</v>
      </c>
      <c r="J21" s="1318">
        <v>18.12</v>
      </c>
      <c r="K21" s="1318">
        <v>19.14</v>
      </c>
      <c r="L21" s="1318">
        <v>8.6199999999999992</v>
      </c>
      <c r="M21" s="1318">
        <v>7.34</v>
      </c>
      <c r="N21" s="1318">
        <v>26.74</v>
      </c>
      <c r="O21" s="1318">
        <v>26.48</v>
      </c>
      <c r="P21" s="1309"/>
      <c r="Q21" s="1310"/>
    </row>
    <row r="22" spans="1:17" ht="15">
      <c r="A22" s="1317" t="s">
        <v>3548</v>
      </c>
      <c r="B22" s="1317" t="s">
        <v>3547</v>
      </c>
      <c r="C22" s="1317" t="s">
        <v>3549</v>
      </c>
      <c r="D22" s="1318">
        <v>110</v>
      </c>
      <c r="E22" s="1318">
        <v>0.55000000000000004</v>
      </c>
      <c r="F22" s="1317">
        <v>50</v>
      </c>
      <c r="G22" s="1318">
        <v>0.26</v>
      </c>
      <c r="H22" s="1318">
        <v>1.71</v>
      </c>
      <c r="I22" s="1319">
        <v>0.188</v>
      </c>
      <c r="J22" s="1318">
        <v>19.14</v>
      </c>
      <c r="K22" s="1318">
        <v>20.69</v>
      </c>
      <c r="L22" s="1318">
        <v>7.34</v>
      </c>
      <c r="M22" s="1318">
        <v>5.6</v>
      </c>
      <c r="N22" s="1318">
        <v>26.48</v>
      </c>
      <c r="O22" s="1318">
        <v>26.29</v>
      </c>
      <c r="P22" s="1309"/>
      <c r="Q22" s="1310"/>
    </row>
    <row r="23" spans="1:17" ht="15">
      <c r="A23" s="1317" t="s">
        <v>3550</v>
      </c>
      <c r="B23" s="1317" t="s">
        <v>3531</v>
      </c>
      <c r="C23" s="1317" t="s">
        <v>3551</v>
      </c>
      <c r="D23" s="1318">
        <v>157</v>
      </c>
      <c r="E23" s="1318">
        <v>1.1100000000000001</v>
      </c>
      <c r="F23" s="1317">
        <v>50</v>
      </c>
      <c r="G23" s="1318">
        <v>0.53</v>
      </c>
      <c r="H23" s="1318">
        <v>6.31</v>
      </c>
      <c r="I23" s="1319">
        <v>0.99099999999999999</v>
      </c>
      <c r="J23" s="1318">
        <v>18.63</v>
      </c>
      <c r="K23" s="1318">
        <v>19.25</v>
      </c>
      <c r="L23" s="1318">
        <v>9</v>
      </c>
      <c r="M23" s="1318">
        <v>7.39</v>
      </c>
      <c r="N23" s="1318">
        <v>27.63</v>
      </c>
      <c r="O23" s="1318">
        <v>26.64</v>
      </c>
      <c r="P23" s="1309"/>
      <c r="Q23" s="1310"/>
    </row>
    <row r="24" spans="1:17" ht="15">
      <c r="A24" s="1317" t="s">
        <v>3552</v>
      </c>
      <c r="B24" s="1317" t="s">
        <v>3551</v>
      </c>
      <c r="C24" s="1317" t="s">
        <v>3553</v>
      </c>
      <c r="D24" s="1318">
        <v>57</v>
      </c>
      <c r="E24" s="1318">
        <v>0.88</v>
      </c>
      <c r="F24" s="1317">
        <v>50</v>
      </c>
      <c r="G24" s="1318">
        <v>0.42</v>
      </c>
      <c r="H24" s="1318">
        <v>4.13</v>
      </c>
      <c r="I24" s="1319">
        <v>0.23599999999999999</v>
      </c>
      <c r="J24" s="1318">
        <v>19.25</v>
      </c>
      <c r="K24" s="1318">
        <v>19.66</v>
      </c>
      <c r="L24" s="1318">
        <v>7.39</v>
      </c>
      <c r="M24" s="1318">
        <v>6.74</v>
      </c>
      <c r="N24" s="1318">
        <v>26.64</v>
      </c>
      <c r="O24" s="1318">
        <v>26.4</v>
      </c>
      <c r="P24" s="1309"/>
      <c r="Q24" s="1310"/>
    </row>
    <row r="25" spans="1:17" ht="15">
      <c r="A25" s="1317" t="s">
        <v>3554</v>
      </c>
      <c r="B25" s="1317" t="s">
        <v>3553</v>
      </c>
      <c r="C25" s="1317" t="s">
        <v>3555</v>
      </c>
      <c r="D25" s="1318">
        <v>88</v>
      </c>
      <c r="E25" s="1318">
        <v>0.56000000000000005</v>
      </c>
      <c r="F25" s="1317">
        <v>50</v>
      </c>
      <c r="G25" s="1318">
        <v>0.27</v>
      </c>
      <c r="H25" s="1318">
        <v>1.77</v>
      </c>
      <c r="I25" s="1319">
        <v>0.156</v>
      </c>
      <c r="J25" s="1318">
        <v>19.66</v>
      </c>
      <c r="K25" s="1318">
        <v>21.84</v>
      </c>
      <c r="L25" s="1318">
        <v>6.74</v>
      </c>
      <c r="M25" s="1318">
        <v>4.4000000000000004</v>
      </c>
      <c r="N25" s="1318">
        <v>26.4</v>
      </c>
      <c r="O25" s="1318">
        <v>26.24</v>
      </c>
      <c r="P25" s="1309"/>
      <c r="Q25" s="1310"/>
    </row>
    <row r="26" spans="1:17" ht="15">
      <c r="A26" s="1317" t="s">
        <v>3556</v>
      </c>
      <c r="B26" s="1317" t="s">
        <v>3533</v>
      </c>
      <c r="C26" s="1317" t="s">
        <v>3557</v>
      </c>
      <c r="D26" s="1318">
        <v>159</v>
      </c>
      <c r="E26" s="1318">
        <v>0.28000000000000003</v>
      </c>
      <c r="F26" s="1317">
        <v>50</v>
      </c>
      <c r="G26" s="1318">
        <v>0.13</v>
      </c>
      <c r="H26" s="1318">
        <v>0.5</v>
      </c>
      <c r="I26" s="1319">
        <v>7.9000000000000001E-2</v>
      </c>
      <c r="J26" s="1318">
        <v>19.48</v>
      </c>
      <c r="K26" s="1318">
        <v>21</v>
      </c>
      <c r="L26" s="1318">
        <v>7.8</v>
      </c>
      <c r="M26" s="1318">
        <v>6.2</v>
      </c>
      <c r="N26" s="1318">
        <v>27.28</v>
      </c>
      <c r="O26" s="1318">
        <v>27.2</v>
      </c>
      <c r="P26" s="1309"/>
      <c r="Q26" s="1314"/>
    </row>
    <row r="27" spans="1:17" ht="15">
      <c r="A27" s="1317" t="s">
        <v>3558</v>
      </c>
      <c r="B27" s="1317" t="s">
        <v>3527</v>
      </c>
      <c r="C27" s="1317" t="s">
        <v>3559</v>
      </c>
      <c r="D27" s="1318">
        <v>74</v>
      </c>
      <c r="E27" s="1318">
        <v>1.76</v>
      </c>
      <c r="F27" s="1317">
        <v>50</v>
      </c>
      <c r="G27" s="1318">
        <v>0.85</v>
      </c>
      <c r="H27" s="1318">
        <v>14.84</v>
      </c>
      <c r="I27" s="1319">
        <v>1.0980000000000001</v>
      </c>
      <c r="J27" s="1318">
        <v>17.579999999999998</v>
      </c>
      <c r="K27" s="1318">
        <v>21.08</v>
      </c>
      <c r="L27" s="1318">
        <v>10.6</v>
      </c>
      <c r="M27" s="1318">
        <v>6</v>
      </c>
      <c r="N27" s="1318">
        <v>28.18</v>
      </c>
      <c r="O27" s="1318">
        <v>27.08</v>
      </c>
      <c r="P27" s="1309"/>
      <c r="Q27" s="1309"/>
    </row>
    <row r="28" spans="1:17" ht="15">
      <c r="A28" s="1317" t="s">
        <v>3560</v>
      </c>
      <c r="B28" s="1317" t="s">
        <v>3559</v>
      </c>
      <c r="C28" s="1317" t="s">
        <v>3561</v>
      </c>
      <c r="D28" s="1318">
        <v>178</v>
      </c>
      <c r="E28" s="1318">
        <v>1.1399999999999999</v>
      </c>
      <c r="F28" s="1317">
        <v>50</v>
      </c>
      <c r="G28" s="1318">
        <v>0.55000000000000004</v>
      </c>
      <c r="H28" s="1318">
        <v>6.62</v>
      </c>
      <c r="I28" s="1319">
        <v>1.179</v>
      </c>
      <c r="J28" s="1318">
        <v>21.08</v>
      </c>
      <c r="K28" s="1318">
        <v>22.15</v>
      </c>
      <c r="L28" s="1318">
        <v>6</v>
      </c>
      <c r="M28" s="1318">
        <v>3.75</v>
      </c>
      <c r="N28" s="1318">
        <v>27.08</v>
      </c>
      <c r="O28" s="1318">
        <v>25.9</v>
      </c>
      <c r="P28" s="1309"/>
      <c r="Q28" s="1309"/>
    </row>
    <row r="29" spans="1:17" ht="15">
      <c r="A29" s="1317" t="s">
        <v>3562</v>
      </c>
      <c r="B29" s="1317" t="s">
        <v>3561</v>
      </c>
      <c r="C29" s="1317" t="s">
        <v>3563</v>
      </c>
      <c r="D29" s="1318">
        <v>93</v>
      </c>
      <c r="E29" s="1318">
        <v>0.79</v>
      </c>
      <c r="F29" s="1317">
        <v>50</v>
      </c>
      <c r="G29" s="1318">
        <v>0.38</v>
      </c>
      <c r="H29" s="1318">
        <v>3.42</v>
      </c>
      <c r="I29" s="1319">
        <v>0.318</v>
      </c>
      <c r="J29" s="1318">
        <v>22.15</v>
      </c>
      <c r="K29" s="1318">
        <v>21.84</v>
      </c>
      <c r="L29" s="1318">
        <v>3.75</v>
      </c>
      <c r="M29" s="1318">
        <v>3.75</v>
      </c>
      <c r="N29" s="1318">
        <v>25.9</v>
      </c>
      <c r="O29" s="1318">
        <v>25.59</v>
      </c>
      <c r="P29" s="1309"/>
      <c r="Q29" s="1309"/>
    </row>
    <row r="30" spans="1:17" ht="15">
      <c r="A30" s="1317" t="s">
        <v>3564</v>
      </c>
      <c r="B30" s="1317" t="s">
        <v>3563</v>
      </c>
      <c r="C30" s="1317" t="s">
        <v>3565</v>
      </c>
      <c r="D30" s="1318">
        <v>93</v>
      </c>
      <c r="E30" s="1318">
        <v>0.45</v>
      </c>
      <c r="F30" s="1317">
        <v>50</v>
      </c>
      <c r="G30" s="1318">
        <v>0.22</v>
      </c>
      <c r="H30" s="1318">
        <v>1.2</v>
      </c>
      <c r="I30" s="1319">
        <v>0.111</v>
      </c>
      <c r="J30" s="1318">
        <v>21.84</v>
      </c>
      <c r="K30" s="1318">
        <v>21.96</v>
      </c>
      <c r="L30" s="1318">
        <v>3.75</v>
      </c>
      <c r="M30" s="1318">
        <v>3.52</v>
      </c>
      <c r="N30" s="1318">
        <v>25.59</v>
      </c>
      <c r="O30" s="1318">
        <v>25.48</v>
      </c>
      <c r="P30" s="1309"/>
      <c r="Q30" s="1309"/>
    </row>
    <row r="31" spans="1:17" ht="15">
      <c r="A31" s="1317" t="s">
        <v>3566</v>
      </c>
      <c r="B31" s="1317" t="s">
        <v>3535</v>
      </c>
      <c r="C31" s="1317" t="s">
        <v>3567</v>
      </c>
      <c r="D31" s="1318">
        <v>127</v>
      </c>
      <c r="E31" s="1318">
        <v>0.9</v>
      </c>
      <c r="F31" s="1317">
        <v>50</v>
      </c>
      <c r="G31" s="1318">
        <v>0.43</v>
      </c>
      <c r="H31" s="1318">
        <v>4.3</v>
      </c>
      <c r="I31" s="1319">
        <v>0.54600000000000004</v>
      </c>
      <c r="J31" s="1318">
        <v>21.42</v>
      </c>
      <c r="K31" s="1318">
        <v>22.06</v>
      </c>
      <c r="L31" s="1318">
        <v>5.59</v>
      </c>
      <c r="M31" s="1318">
        <v>4.4000000000000004</v>
      </c>
      <c r="N31" s="1318">
        <v>27.01</v>
      </c>
      <c r="O31" s="1318">
        <v>26.46</v>
      </c>
      <c r="P31" s="1309"/>
      <c r="Q31" s="1309"/>
    </row>
    <row r="32" spans="1:17" ht="15">
      <c r="A32" s="1317" t="s">
        <v>3568</v>
      </c>
      <c r="B32" s="1317" t="s">
        <v>3567</v>
      </c>
      <c r="C32" s="1317" t="s">
        <v>3569</v>
      </c>
      <c r="D32" s="1318">
        <v>127</v>
      </c>
      <c r="E32" s="1318">
        <v>0.44</v>
      </c>
      <c r="F32" s="1317">
        <v>50</v>
      </c>
      <c r="G32" s="1318">
        <v>0.21</v>
      </c>
      <c r="H32" s="1318">
        <v>1.1299999999999999</v>
      </c>
      <c r="I32" s="1319">
        <v>0.14399999999999999</v>
      </c>
      <c r="J32" s="1318">
        <v>22.06</v>
      </c>
      <c r="K32" s="1318">
        <v>22.14</v>
      </c>
      <c r="L32" s="1318">
        <v>4.4000000000000004</v>
      </c>
      <c r="M32" s="1318">
        <v>4.18</v>
      </c>
      <c r="N32" s="1318">
        <v>26.46</v>
      </c>
      <c r="O32" s="1318">
        <v>26.32</v>
      </c>
      <c r="P32" s="1309"/>
      <c r="Q32" s="1309"/>
    </row>
    <row r="33" spans="1:15">
      <c r="A33" s="1317" t="s">
        <v>3570</v>
      </c>
      <c r="B33" s="1317" t="s">
        <v>3519</v>
      </c>
      <c r="C33" s="1317" t="s">
        <v>3571</v>
      </c>
      <c r="D33" s="1318">
        <v>123</v>
      </c>
      <c r="E33" s="1318">
        <v>0.47</v>
      </c>
      <c r="F33" s="1317">
        <v>50</v>
      </c>
      <c r="G33" s="1318">
        <v>0.22</v>
      </c>
      <c r="H33" s="1318">
        <v>1.27</v>
      </c>
      <c r="I33" s="1319">
        <v>0.157</v>
      </c>
      <c r="J33" s="1318">
        <v>15.69</v>
      </c>
      <c r="K33" s="1318">
        <v>16.059999999999999</v>
      </c>
      <c r="L33" s="1318">
        <v>14.27</v>
      </c>
      <c r="M33" s="1318">
        <v>13.75</v>
      </c>
      <c r="N33" s="1318">
        <v>29.96</v>
      </c>
      <c r="O33" s="1318">
        <v>29.81</v>
      </c>
    </row>
    <row r="34" spans="1:15">
      <c r="A34" s="1317" t="s">
        <v>3572</v>
      </c>
      <c r="B34" s="1317" t="s">
        <v>3521</v>
      </c>
      <c r="C34" s="1317" t="s">
        <v>3573</v>
      </c>
      <c r="D34" s="1318">
        <v>131</v>
      </c>
      <c r="E34" s="1318">
        <v>0.69</v>
      </c>
      <c r="F34" s="1317">
        <v>50</v>
      </c>
      <c r="G34" s="1318">
        <v>0.33</v>
      </c>
      <c r="H34" s="1318">
        <v>2.66</v>
      </c>
      <c r="I34" s="1319">
        <v>0.34899999999999998</v>
      </c>
      <c r="J34" s="1318">
        <v>15.82</v>
      </c>
      <c r="K34" s="1318">
        <v>15.78</v>
      </c>
      <c r="L34" s="1318">
        <v>13.8</v>
      </c>
      <c r="M34" s="1318">
        <v>13.49</v>
      </c>
      <c r="N34" s="1318">
        <v>29.62</v>
      </c>
      <c r="O34" s="1318">
        <v>29.27</v>
      </c>
    </row>
    <row r="35" spans="1:15" ht="15">
      <c r="A35" s="1323" t="s">
        <v>3574</v>
      </c>
      <c r="B35" s="1323" t="s">
        <v>3525</v>
      </c>
      <c r="C35" s="1323" t="s">
        <v>3575</v>
      </c>
      <c r="D35" s="1324">
        <v>201</v>
      </c>
      <c r="E35" s="1324">
        <v>10.9</v>
      </c>
      <c r="F35" s="1323">
        <v>150</v>
      </c>
      <c r="G35" s="1324">
        <v>0.56999999999999995</v>
      </c>
      <c r="H35" s="1324">
        <v>1.94</v>
      </c>
      <c r="I35" s="1325">
        <v>0.38900000000000001</v>
      </c>
      <c r="J35" s="1324">
        <v>15.29</v>
      </c>
      <c r="K35" s="1324">
        <v>17.77</v>
      </c>
      <c r="L35" s="1324">
        <v>13.15</v>
      </c>
      <c r="M35" s="1324">
        <v>10.28</v>
      </c>
      <c r="N35" s="1324">
        <v>28.44</v>
      </c>
      <c r="O35" s="1324">
        <v>28.05</v>
      </c>
    </row>
    <row r="36" spans="1:15" ht="15">
      <c r="A36" s="1323" t="s">
        <v>3576</v>
      </c>
      <c r="B36" s="1323" t="s">
        <v>3575</v>
      </c>
      <c r="C36" s="1323" t="s">
        <v>3577</v>
      </c>
      <c r="D36" s="1324">
        <v>102</v>
      </c>
      <c r="E36" s="1324">
        <v>10.9</v>
      </c>
      <c r="F36" s="1323">
        <v>150</v>
      </c>
      <c r="G36" s="1324">
        <v>0.56999999999999995</v>
      </c>
      <c r="H36" s="1324">
        <v>1.94</v>
      </c>
      <c r="I36" s="1325">
        <v>0.19800000000000001</v>
      </c>
      <c r="J36" s="1324">
        <v>17.77</v>
      </c>
      <c r="K36" s="1324">
        <v>16.96</v>
      </c>
      <c r="L36" s="1324">
        <v>10.28</v>
      </c>
      <c r="M36" s="1324">
        <v>10.89</v>
      </c>
      <c r="N36" s="1324">
        <v>28.05</v>
      </c>
      <c r="O36" s="1324">
        <v>27.85</v>
      </c>
    </row>
    <row r="37" spans="1:15" ht="15">
      <c r="A37" s="1323" t="s">
        <v>3578</v>
      </c>
      <c r="B37" s="1323" t="s">
        <v>3577</v>
      </c>
      <c r="C37" s="1323" t="s">
        <v>3579</v>
      </c>
      <c r="D37" s="1324">
        <v>45</v>
      </c>
      <c r="E37" s="1324">
        <v>10.9</v>
      </c>
      <c r="F37" s="1323">
        <v>150</v>
      </c>
      <c r="G37" s="1324">
        <v>0.56999999999999995</v>
      </c>
      <c r="H37" s="1324">
        <v>1.94</v>
      </c>
      <c r="I37" s="1325">
        <v>8.6999999999999994E-2</v>
      </c>
      <c r="J37" s="1324">
        <v>16.96</v>
      </c>
      <c r="K37" s="1324">
        <v>17.5</v>
      </c>
      <c r="L37" s="1324">
        <v>10.89</v>
      </c>
      <c r="M37" s="1324">
        <v>10.26</v>
      </c>
      <c r="N37" s="1324">
        <v>27.85</v>
      </c>
      <c r="O37" s="1324">
        <v>27.76</v>
      </c>
    </row>
    <row r="38" spans="1:15" ht="15">
      <c r="A38" s="1323" t="s">
        <v>3580</v>
      </c>
      <c r="B38" s="1323" t="s">
        <v>3579</v>
      </c>
      <c r="C38" s="1323" t="s">
        <v>3581</v>
      </c>
      <c r="D38" s="1324">
        <v>53</v>
      </c>
      <c r="E38" s="1324">
        <v>10.25</v>
      </c>
      <c r="F38" s="1323">
        <v>150</v>
      </c>
      <c r="G38" s="1324">
        <v>0.53</v>
      </c>
      <c r="H38" s="1324">
        <v>1.73</v>
      </c>
      <c r="I38" s="1325">
        <v>9.0999999999999998E-2</v>
      </c>
      <c r="J38" s="1324">
        <v>17.5</v>
      </c>
      <c r="K38" s="1324">
        <v>19.29</v>
      </c>
      <c r="L38" s="1324">
        <v>10.26</v>
      </c>
      <c r="M38" s="1324">
        <v>8.3800000000000008</v>
      </c>
      <c r="N38" s="1324">
        <v>27.76</v>
      </c>
      <c r="O38" s="1324">
        <v>27.67</v>
      </c>
    </row>
    <row r="39" spans="1:15" ht="15">
      <c r="A39" s="1323" t="s">
        <v>3582</v>
      </c>
      <c r="B39" s="1323" t="s">
        <v>3581</v>
      </c>
      <c r="C39" s="1323" t="s">
        <v>3583</v>
      </c>
      <c r="D39" s="1324">
        <v>52</v>
      </c>
      <c r="E39" s="1324">
        <v>8.01</v>
      </c>
      <c r="F39" s="1323">
        <v>150</v>
      </c>
      <c r="G39" s="1324">
        <v>0.42</v>
      </c>
      <c r="H39" s="1324">
        <v>1.0900000000000001</v>
      </c>
      <c r="I39" s="1325">
        <v>5.7000000000000002E-2</v>
      </c>
      <c r="J39" s="1324">
        <v>19.29</v>
      </c>
      <c r="K39" s="1324">
        <v>18.5</v>
      </c>
      <c r="L39" s="1324">
        <v>8.3800000000000008</v>
      </c>
      <c r="M39" s="1324">
        <v>9.11</v>
      </c>
      <c r="N39" s="1324">
        <v>27.67</v>
      </c>
      <c r="O39" s="1324">
        <v>27.61</v>
      </c>
    </row>
    <row r="40" spans="1:15" ht="15">
      <c r="A40" s="1323" t="s">
        <v>3584</v>
      </c>
      <c r="B40" s="1323" t="s">
        <v>3583</v>
      </c>
      <c r="C40" s="1323" t="s">
        <v>3585</v>
      </c>
      <c r="D40" s="1324">
        <v>115</v>
      </c>
      <c r="E40" s="1324">
        <v>8.01</v>
      </c>
      <c r="F40" s="1323">
        <v>150</v>
      </c>
      <c r="G40" s="1324">
        <v>0.42</v>
      </c>
      <c r="H40" s="1324">
        <v>1.0900000000000001</v>
      </c>
      <c r="I40" s="1325">
        <v>0.126</v>
      </c>
      <c r="J40" s="1324">
        <v>18.5</v>
      </c>
      <c r="K40" s="1324">
        <v>19.55</v>
      </c>
      <c r="L40" s="1324">
        <v>9.11</v>
      </c>
      <c r="M40" s="1324">
        <v>7.94</v>
      </c>
      <c r="N40" s="1324">
        <v>27.61</v>
      </c>
      <c r="O40" s="1324">
        <v>27.49</v>
      </c>
    </row>
    <row r="41" spans="1:15">
      <c r="A41" s="1317" t="s">
        <v>3586</v>
      </c>
      <c r="B41" s="1317" t="s">
        <v>3585</v>
      </c>
      <c r="C41" s="1317" t="s">
        <v>3587</v>
      </c>
      <c r="D41" s="1318">
        <v>16</v>
      </c>
      <c r="E41" s="1318">
        <v>8.01</v>
      </c>
      <c r="F41" s="1317">
        <v>150</v>
      </c>
      <c r="G41" s="1318">
        <v>0.42</v>
      </c>
      <c r="H41" s="1318">
        <v>1.0900000000000001</v>
      </c>
      <c r="I41" s="1319">
        <v>1.7999999999999999E-2</v>
      </c>
      <c r="J41" s="1318">
        <v>19.55</v>
      </c>
      <c r="K41" s="1318">
        <v>20.079999999999998</v>
      </c>
      <c r="L41" s="1318">
        <v>7.94</v>
      </c>
      <c r="M41" s="1318">
        <v>7.39</v>
      </c>
      <c r="N41" s="1318">
        <v>27.49</v>
      </c>
      <c r="O41" s="1318">
        <v>27.47</v>
      </c>
    </row>
    <row r="42" spans="1:15">
      <c r="A42" s="1317" t="s">
        <v>3588</v>
      </c>
      <c r="B42" s="1317" t="s">
        <v>3587</v>
      </c>
      <c r="C42" s="1317" t="s">
        <v>3589</v>
      </c>
      <c r="D42" s="1318">
        <v>194</v>
      </c>
      <c r="E42" s="1318">
        <v>6.53</v>
      </c>
      <c r="F42" s="1317">
        <v>150</v>
      </c>
      <c r="G42" s="1318">
        <v>0.34</v>
      </c>
      <c r="H42" s="1318">
        <v>0.75</v>
      </c>
      <c r="I42" s="1319">
        <v>0.14499999999999999</v>
      </c>
      <c r="J42" s="1318">
        <v>20.079999999999998</v>
      </c>
      <c r="K42" s="1318">
        <v>21.93</v>
      </c>
      <c r="L42" s="1318">
        <v>7.39</v>
      </c>
      <c r="M42" s="1318">
        <v>5.4</v>
      </c>
      <c r="N42" s="1318">
        <v>27.47</v>
      </c>
      <c r="O42" s="1318">
        <v>27.33</v>
      </c>
    </row>
    <row r="43" spans="1:15">
      <c r="A43" s="1317" t="s">
        <v>3590</v>
      </c>
      <c r="B43" s="1317" t="s">
        <v>3589</v>
      </c>
      <c r="C43" s="1317" t="s">
        <v>3591</v>
      </c>
      <c r="D43" s="1318">
        <v>52</v>
      </c>
      <c r="E43" s="1318">
        <v>6.32</v>
      </c>
      <c r="F43" s="1317">
        <v>150</v>
      </c>
      <c r="G43" s="1318">
        <v>0.33</v>
      </c>
      <c r="H43" s="1318">
        <v>0.71</v>
      </c>
      <c r="I43" s="1319">
        <v>3.6999999999999998E-2</v>
      </c>
      <c r="J43" s="1318">
        <v>21.93</v>
      </c>
      <c r="K43" s="1318">
        <v>21.89</v>
      </c>
      <c r="L43" s="1318">
        <v>5.4</v>
      </c>
      <c r="M43" s="1318">
        <v>5.4</v>
      </c>
      <c r="N43" s="1318">
        <v>27.33</v>
      </c>
      <c r="O43" s="1318">
        <v>27.29</v>
      </c>
    </row>
    <row r="44" spans="1:15">
      <c r="A44" s="1317" t="s">
        <v>3592</v>
      </c>
      <c r="B44" s="1317" t="s">
        <v>3591</v>
      </c>
      <c r="C44" s="1317" t="s">
        <v>3593</v>
      </c>
      <c r="D44" s="1318">
        <v>47</v>
      </c>
      <c r="E44" s="1318">
        <v>2.39</v>
      </c>
      <c r="F44" s="1317">
        <v>100</v>
      </c>
      <c r="G44" s="1318">
        <v>0.34</v>
      </c>
      <c r="H44" s="1318">
        <v>1.36</v>
      </c>
      <c r="I44" s="1319">
        <v>6.4000000000000001E-2</v>
      </c>
      <c r="J44" s="1318">
        <v>21.89</v>
      </c>
      <c r="K44" s="1318">
        <v>20.86</v>
      </c>
      <c r="L44" s="1318">
        <v>5.4</v>
      </c>
      <c r="M44" s="1318">
        <v>6.37</v>
      </c>
      <c r="N44" s="1318">
        <v>27.29</v>
      </c>
      <c r="O44" s="1318">
        <v>27.23</v>
      </c>
    </row>
    <row r="45" spans="1:15">
      <c r="A45" s="1317" t="s">
        <v>3594</v>
      </c>
      <c r="B45" s="1317" t="s">
        <v>3593</v>
      </c>
      <c r="C45" s="1317" t="s">
        <v>3595</v>
      </c>
      <c r="D45" s="1318">
        <v>48</v>
      </c>
      <c r="E45" s="1318">
        <v>1.36</v>
      </c>
      <c r="F45" s="1317">
        <v>50</v>
      </c>
      <c r="G45" s="1318">
        <v>0.66</v>
      </c>
      <c r="H45" s="1318">
        <v>9.3000000000000007</v>
      </c>
      <c r="I45" s="1319">
        <v>0.44600000000000001</v>
      </c>
      <c r="J45" s="1318">
        <v>20.86</v>
      </c>
      <c r="K45" s="1318">
        <v>19.3</v>
      </c>
      <c r="L45" s="1318">
        <v>6.37</v>
      </c>
      <c r="M45" s="1318">
        <v>7.48</v>
      </c>
      <c r="N45" s="1318">
        <v>27.23</v>
      </c>
      <c r="O45" s="1318">
        <v>26.78</v>
      </c>
    </row>
    <row r="46" spans="1:15">
      <c r="A46" s="1317" t="s">
        <v>3596</v>
      </c>
      <c r="B46" s="1317" t="s">
        <v>3581</v>
      </c>
      <c r="C46" s="1317" t="s">
        <v>3597</v>
      </c>
      <c r="D46" s="1318">
        <v>183</v>
      </c>
      <c r="E46" s="1318">
        <v>1.37</v>
      </c>
      <c r="F46" s="1317">
        <v>50</v>
      </c>
      <c r="G46" s="1318">
        <v>0.66</v>
      </c>
      <c r="H46" s="1318">
        <v>9.41</v>
      </c>
      <c r="I46" s="1319">
        <v>1.722</v>
      </c>
      <c r="J46" s="1318">
        <v>19.29</v>
      </c>
      <c r="K46" s="1318">
        <v>14.35</v>
      </c>
      <c r="L46" s="1318">
        <v>8.3800000000000008</v>
      </c>
      <c r="M46" s="1318">
        <v>11.6</v>
      </c>
      <c r="N46" s="1318">
        <v>27.67</v>
      </c>
      <c r="O46" s="1318">
        <v>25.95</v>
      </c>
    </row>
    <row r="47" spans="1:15">
      <c r="A47" s="1317" t="s">
        <v>3598</v>
      </c>
      <c r="B47" s="1317" t="s">
        <v>3597</v>
      </c>
      <c r="C47" s="1317" t="s">
        <v>3599</v>
      </c>
      <c r="D47" s="1318">
        <v>58</v>
      </c>
      <c r="E47" s="1318">
        <v>1.1499999999999999</v>
      </c>
      <c r="F47" s="1317">
        <v>50</v>
      </c>
      <c r="G47" s="1318">
        <v>0.55000000000000004</v>
      </c>
      <c r="H47" s="1318">
        <v>6.75</v>
      </c>
      <c r="I47" s="1319">
        <v>0.39200000000000002</v>
      </c>
      <c r="J47" s="1318">
        <v>14.35</v>
      </c>
      <c r="K47" s="1318">
        <v>14.02</v>
      </c>
      <c r="L47" s="1318">
        <v>11.6</v>
      </c>
      <c r="M47" s="1318">
        <v>11.54</v>
      </c>
      <c r="N47" s="1318">
        <v>25.95</v>
      </c>
      <c r="O47" s="1318">
        <v>25.56</v>
      </c>
    </row>
    <row r="48" spans="1:15">
      <c r="A48" s="1317" t="s">
        <v>3600</v>
      </c>
      <c r="B48" s="1317" t="s">
        <v>3599</v>
      </c>
      <c r="C48" s="1317" t="s">
        <v>3601</v>
      </c>
      <c r="D48" s="1318">
        <v>55</v>
      </c>
      <c r="E48" s="1318">
        <v>0.27</v>
      </c>
      <c r="F48" s="1317">
        <v>50</v>
      </c>
      <c r="G48" s="1318">
        <v>0.13</v>
      </c>
      <c r="H48" s="1318">
        <v>0.47</v>
      </c>
      <c r="I48" s="1319">
        <v>2.5999999999999999E-2</v>
      </c>
      <c r="J48" s="1318">
        <v>14.02</v>
      </c>
      <c r="K48" s="1318">
        <v>13.6</v>
      </c>
      <c r="L48" s="1318">
        <v>11.54</v>
      </c>
      <c r="M48" s="1318">
        <v>11.93</v>
      </c>
      <c r="N48" s="1318">
        <v>25.56</v>
      </c>
      <c r="O48" s="1318">
        <v>25.53</v>
      </c>
    </row>
    <row r="49" spans="1:15">
      <c r="A49" s="1317" t="s">
        <v>3602</v>
      </c>
      <c r="B49" s="1317" t="s">
        <v>3599</v>
      </c>
      <c r="C49" s="1317" t="s">
        <v>3603</v>
      </c>
      <c r="D49" s="1318">
        <v>71</v>
      </c>
      <c r="E49" s="1318">
        <v>0.66</v>
      </c>
      <c r="F49" s="1317">
        <v>50</v>
      </c>
      <c r="G49" s="1318">
        <v>0.32</v>
      </c>
      <c r="H49" s="1318">
        <v>2.4</v>
      </c>
      <c r="I49" s="1319">
        <v>0.17</v>
      </c>
      <c r="J49" s="1318">
        <v>14.02</v>
      </c>
      <c r="K49" s="1318">
        <v>14.94</v>
      </c>
      <c r="L49" s="1318">
        <v>11.54</v>
      </c>
      <c r="M49" s="1318">
        <v>10.45</v>
      </c>
      <c r="N49" s="1318">
        <v>25.56</v>
      </c>
      <c r="O49" s="1318">
        <v>25.39</v>
      </c>
    </row>
    <row r="50" spans="1:15">
      <c r="A50" s="1317" t="s">
        <v>3604</v>
      </c>
      <c r="B50" s="1317" t="s">
        <v>3587</v>
      </c>
      <c r="C50" s="1317" t="s">
        <v>3605</v>
      </c>
      <c r="D50" s="1318">
        <v>190</v>
      </c>
      <c r="E50" s="1318">
        <v>0.81</v>
      </c>
      <c r="F50" s="1317">
        <v>50</v>
      </c>
      <c r="G50" s="1318">
        <v>0.39</v>
      </c>
      <c r="H50" s="1318">
        <v>3.55</v>
      </c>
      <c r="I50" s="1319">
        <v>0.67500000000000004</v>
      </c>
      <c r="J50" s="1318">
        <v>20.079999999999998</v>
      </c>
      <c r="K50" s="1318">
        <v>17.2</v>
      </c>
      <c r="L50" s="1318">
        <v>7.39</v>
      </c>
      <c r="M50" s="1318">
        <v>9.6</v>
      </c>
      <c r="N50" s="1318">
        <v>27.47</v>
      </c>
      <c r="O50" s="1318">
        <v>26.8</v>
      </c>
    </row>
    <row r="51" spans="1:15">
      <c r="A51" s="1317" t="s">
        <v>3606</v>
      </c>
      <c r="B51" s="1317" t="s">
        <v>3605</v>
      </c>
      <c r="C51" s="1317" t="s">
        <v>3607</v>
      </c>
      <c r="D51" s="1318">
        <v>137</v>
      </c>
      <c r="E51" s="1318">
        <v>0.32</v>
      </c>
      <c r="F51" s="1317">
        <v>50</v>
      </c>
      <c r="G51" s="1318">
        <v>0.16</v>
      </c>
      <c r="H51" s="1318">
        <v>0.65</v>
      </c>
      <c r="I51" s="1319">
        <v>8.7999999999999995E-2</v>
      </c>
      <c r="J51" s="1318">
        <v>17.2</v>
      </c>
      <c r="K51" s="1318">
        <v>14.87</v>
      </c>
      <c r="L51" s="1318">
        <v>9.6</v>
      </c>
      <c r="M51" s="1318">
        <v>11.84</v>
      </c>
      <c r="N51" s="1318">
        <v>26.8</v>
      </c>
      <c r="O51" s="1318">
        <v>26.71</v>
      </c>
    </row>
    <row r="52" spans="1:15">
      <c r="A52" s="1317" t="s">
        <v>3608</v>
      </c>
      <c r="B52" s="1317" t="s">
        <v>3591</v>
      </c>
      <c r="C52" s="1317" t="s">
        <v>3609</v>
      </c>
      <c r="D52" s="1318">
        <v>87</v>
      </c>
      <c r="E52" s="1318">
        <v>3.74</v>
      </c>
      <c r="F52" s="1317">
        <v>100</v>
      </c>
      <c r="G52" s="1318">
        <v>0.53</v>
      </c>
      <c r="H52" s="1318">
        <v>3.12</v>
      </c>
      <c r="I52" s="1319">
        <v>0.27200000000000002</v>
      </c>
      <c r="J52" s="1318">
        <v>21.89</v>
      </c>
      <c r="K52" s="1318">
        <v>21.05</v>
      </c>
      <c r="L52" s="1318">
        <v>5.4</v>
      </c>
      <c r="M52" s="1318">
        <v>5.97</v>
      </c>
      <c r="N52" s="1318">
        <v>27.29</v>
      </c>
      <c r="O52" s="1318">
        <v>27.02</v>
      </c>
    </row>
    <row r="53" spans="1:15">
      <c r="A53" s="1317" t="s">
        <v>3610</v>
      </c>
      <c r="B53" s="1317" t="s">
        <v>3609</v>
      </c>
      <c r="C53" s="1317" t="s">
        <v>3611</v>
      </c>
      <c r="D53" s="1318">
        <v>109</v>
      </c>
      <c r="E53" s="1318">
        <v>2.73</v>
      </c>
      <c r="F53" s="1317">
        <v>75</v>
      </c>
      <c r="G53" s="1318">
        <v>0.66</v>
      </c>
      <c r="H53" s="1318">
        <v>6.16</v>
      </c>
      <c r="I53" s="1319">
        <v>0.67200000000000004</v>
      </c>
      <c r="J53" s="1318">
        <v>21.05</v>
      </c>
      <c r="K53" s="1318">
        <v>19.12</v>
      </c>
      <c r="L53" s="1318">
        <v>5.97</v>
      </c>
      <c r="M53" s="1318">
        <v>7.23</v>
      </c>
      <c r="N53" s="1318">
        <v>27.02</v>
      </c>
      <c r="O53" s="1318">
        <v>26.35</v>
      </c>
    </row>
    <row r="54" spans="1:15">
      <c r="A54" s="1317" t="s">
        <v>3612</v>
      </c>
      <c r="B54" s="1317" t="s">
        <v>3611</v>
      </c>
      <c r="C54" s="1317" t="s">
        <v>3613</v>
      </c>
      <c r="D54" s="1318">
        <v>51</v>
      </c>
      <c r="E54" s="1318">
        <v>2.1</v>
      </c>
      <c r="F54" s="1317">
        <v>75</v>
      </c>
      <c r="G54" s="1318">
        <v>0.5</v>
      </c>
      <c r="H54" s="1318">
        <v>3.8</v>
      </c>
      <c r="I54" s="1319">
        <v>0.19400000000000001</v>
      </c>
      <c r="J54" s="1318">
        <v>19.12</v>
      </c>
      <c r="K54" s="1318">
        <v>17.79</v>
      </c>
      <c r="L54" s="1318">
        <v>7.23</v>
      </c>
      <c r="M54" s="1318">
        <v>8.36</v>
      </c>
      <c r="N54" s="1318">
        <v>26.35</v>
      </c>
      <c r="O54" s="1318">
        <v>26.15</v>
      </c>
    </row>
    <row r="55" spans="1:15">
      <c r="A55" s="1317" t="s">
        <v>3614</v>
      </c>
      <c r="B55" s="1317" t="s">
        <v>3613</v>
      </c>
      <c r="C55" s="1317" t="s">
        <v>3615</v>
      </c>
      <c r="D55" s="1318">
        <v>87</v>
      </c>
      <c r="E55" s="1318">
        <v>1.44</v>
      </c>
      <c r="F55" s="1317">
        <v>50</v>
      </c>
      <c r="G55" s="1318">
        <v>0.69</v>
      </c>
      <c r="H55" s="1318">
        <v>10.25</v>
      </c>
      <c r="I55" s="1319">
        <v>0.89200000000000002</v>
      </c>
      <c r="J55" s="1318">
        <v>17.79</v>
      </c>
      <c r="K55" s="1318">
        <v>15.73</v>
      </c>
      <c r="L55" s="1318">
        <v>8.36</v>
      </c>
      <c r="M55" s="1318">
        <v>9.5299999999999994</v>
      </c>
      <c r="N55" s="1318">
        <v>26.15</v>
      </c>
      <c r="O55" s="1318">
        <v>25.26</v>
      </c>
    </row>
    <row r="56" spans="1:15">
      <c r="A56" s="1317" t="s">
        <v>3616</v>
      </c>
      <c r="B56" s="1317" t="s">
        <v>3615</v>
      </c>
      <c r="C56" s="1317" t="s">
        <v>3617</v>
      </c>
      <c r="D56" s="1318">
        <v>105</v>
      </c>
      <c r="E56" s="1318">
        <v>1.06</v>
      </c>
      <c r="F56" s="1317">
        <v>50</v>
      </c>
      <c r="G56" s="1318">
        <v>0.51</v>
      </c>
      <c r="H56" s="1318">
        <v>5.85</v>
      </c>
      <c r="I56" s="1319">
        <v>0.61399999999999999</v>
      </c>
      <c r="J56" s="1318">
        <v>15.73</v>
      </c>
      <c r="K56" s="1318">
        <v>14.1</v>
      </c>
      <c r="L56" s="1318">
        <v>9.5299999999999994</v>
      </c>
      <c r="M56" s="1318">
        <v>10.55</v>
      </c>
      <c r="N56" s="1318">
        <v>25.26</v>
      </c>
      <c r="O56" s="1318">
        <v>24.65</v>
      </c>
    </row>
    <row r="57" spans="1:15">
      <c r="A57" s="1317" t="s">
        <v>3618</v>
      </c>
      <c r="B57" s="1317" t="s">
        <v>3617</v>
      </c>
      <c r="C57" s="1317" t="s">
        <v>3619</v>
      </c>
      <c r="D57" s="1318">
        <v>44</v>
      </c>
      <c r="E57" s="1318">
        <v>0.88</v>
      </c>
      <c r="F57" s="1317">
        <v>50</v>
      </c>
      <c r="G57" s="1318">
        <v>0.42</v>
      </c>
      <c r="H57" s="1318">
        <v>4.0999999999999996</v>
      </c>
      <c r="I57" s="1319">
        <v>0.18</v>
      </c>
      <c r="J57" s="1318">
        <v>14.1</v>
      </c>
      <c r="K57" s="1318">
        <v>13.52</v>
      </c>
      <c r="L57" s="1318">
        <v>10.55</v>
      </c>
      <c r="M57" s="1318">
        <v>10.95</v>
      </c>
      <c r="N57" s="1318">
        <v>24.65</v>
      </c>
      <c r="O57" s="1318">
        <v>24.47</v>
      </c>
    </row>
    <row r="58" spans="1:15">
      <c r="A58" s="1317" t="s">
        <v>3620</v>
      </c>
      <c r="B58" s="1317" t="s">
        <v>3619</v>
      </c>
      <c r="C58" s="1317" t="s">
        <v>3621</v>
      </c>
      <c r="D58" s="1318">
        <v>46</v>
      </c>
      <c r="E58" s="1318">
        <v>0.05</v>
      </c>
      <c r="F58" s="1317">
        <v>50</v>
      </c>
      <c r="G58" s="1318">
        <v>0.03</v>
      </c>
      <c r="H58" s="1318">
        <v>0.02</v>
      </c>
      <c r="I58" s="1319">
        <v>1E-3</v>
      </c>
      <c r="J58" s="1318">
        <v>13.52</v>
      </c>
      <c r="K58" s="1318">
        <v>12.93</v>
      </c>
      <c r="L58" s="1318">
        <v>10.95</v>
      </c>
      <c r="M58" s="1318">
        <v>11.53</v>
      </c>
      <c r="N58" s="1318">
        <v>24.47</v>
      </c>
      <c r="O58" s="1318">
        <v>24.46</v>
      </c>
    </row>
    <row r="59" spans="1:15">
      <c r="A59" s="1317" t="s">
        <v>3622</v>
      </c>
      <c r="B59" s="1317" t="s">
        <v>3621</v>
      </c>
      <c r="C59" s="1317" t="s">
        <v>3623</v>
      </c>
      <c r="D59" s="1318">
        <v>61</v>
      </c>
      <c r="E59" s="1318">
        <v>0.3</v>
      </c>
      <c r="F59" s="1317">
        <v>50</v>
      </c>
      <c r="G59" s="1318">
        <v>0.15</v>
      </c>
      <c r="H59" s="1318">
        <v>0.56999999999999995</v>
      </c>
      <c r="I59" s="1319">
        <v>3.5000000000000003E-2</v>
      </c>
      <c r="J59" s="1318">
        <v>12.93</v>
      </c>
      <c r="K59" s="1318">
        <v>12.93</v>
      </c>
      <c r="L59" s="1318">
        <v>11.53</v>
      </c>
      <c r="M59" s="1318">
        <v>11.5</v>
      </c>
      <c r="N59" s="1318">
        <v>24.46</v>
      </c>
      <c r="O59" s="1318">
        <v>24.43</v>
      </c>
    </row>
    <row r="60" spans="1:15">
      <c r="A60" s="1317" t="s">
        <v>3624</v>
      </c>
      <c r="B60" s="1317" t="s">
        <v>3593</v>
      </c>
      <c r="C60" s="1317" t="s">
        <v>3625</v>
      </c>
      <c r="D60" s="1318">
        <v>82</v>
      </c>
      <c r="E60" s="1318">
        <v>0.83</v>
      </c>
      <c r="F60" s="1317">
        <v>50</v>
      </c>
      <c r="G60" s="1318">
        <v>0.4</v>
      </c>
      <c r="H60" s="1318">
        <v>3.71</v>
      </c>
      <c r="I60" s="1319">
        <v>0.30399999999999999</v>
      </c>
      <c r="J60" s="1318">
        <v>20.86</v>
      </c>
      <c r="K60" s="1318">
        <v>20.11</v>
      </c>
      <c r="L60" s="1318">
        <v>6.37</v>
      </c>
      <c r="M60" s="1318">
        <v>6.81</v>
      </c>
      <c r="N60" s="1318">
        <v>27.23</v>
      </c>
      <c r="O60" s="1318">
        <v>26.92</v>
      </c>
    </row>
    <row r="61" spans="1:15">
      <c r="A61" s="1317" t="s">
        <v>3626</v>
      </c>
      <c r="B61" s="1317" t="s">
        <v>3625</v>
      </c>
      <c r="C61" s="1317" t="s">
        <v>3627</v>
      </c>
      <c r="D61" s="1318">
        <v>108</v>
      </c>
      <c r="E61" s="1318">
        <v>1.05</v>
      </c>
      <c r="F61" s="1317">
        <v>50</v>
      </c>
      <c r="G61" s="1318">
        <v>0.51</v>
      </c>
      <c r="H61" s="1318">
        <v>5.76</v>
      </c>
      <c r="I61" s="1319">
        <v>0.622</v>
      </c>
      <c r="J61" s="1318">
        <v>20.11</v>
      </c>
      <c r="K61" s="1318">
        <v>17.7</v>
      </c>
      <c r="L61" s="1318">
        <v>6.81</v>
      </c>
      <c r="M61" s="1318">
        <v>8.6</v>
      </c>
      <c r="N61" s="1318">
        <v>26.92</v>
      </c>
      <c r="O61" s="1318">
        <v>26.3</v>
      </c>
    </row>
    <row r="62" spans="1:15">
      <c r="A62" s="1317" t="s">
        <v>3628</v>
      </c>
      <c r="B62" s="1317" t="s">
        <v>3627</v>
      </c>
      <c r="C62" s="1317" t="s">
        <v>3629</v>
      </c>
      <c r="D62" s="1318">
        <v>50</v>
      </c>
      <c r="E62" s="1318">
        <v>0.81</v>
      </c>
      <c r="F62" s="1317">
        <v>50</v>
      </c>
      <c r="G62" s="1318">
        <v>0.39</v>
      </c>
      <c r="H62" s="1318">
        <v>3.56</v>
      </c>
      <c r="I62" s="1319">
        <v>0.17799999999999999</v>
      </c>
      <c r="J62" s="1318">
        <v>17.7</v>
      </c>
      <c r="K62" s="1318">
        <v>17.149999999999999</v>
      </c>
      <c r="L62" s="1318">
        <v>8.6</v>
      </c>
      <c r="M62" s="1318">
        <v>8.9700000000000006</v>
      </c>
      <c r="N62" s="1318">
        <v>26.3</v>
      </c>
      <c r="O62" s="1318">
        <v>26.12</v>
      </c>
    </row>
    <row r="63" spans="1:15">
      <c r="A63" s="1317" t="s">
        <v>3630</v>
      </c>
      <c r="B63" s="1317" t="s">
        <v>3629</v>
      </c>
      <c r="C63" s="1317" t="s">
        <v>3631</v>
      </c>
      <c r="D63" s="1318">
        <v>39</v>
      </c>
      <c r="E63" s="1318">
        <v>0.27</v>
      </c>
      <c r="F63" s="1317">
        <v>50</v>
      </c>
      <c r="G63" s="1318">
        <v>0.13</v>
      </c>
      <c r="H63" s="1318">
        <v>0.45</v>
      </c>
      <c r="I63" s="1319">
        <v>1.7999999999999999E-2</v>
      </c>
      <c r="J63" s="1318">
        <v>17.149999999999999</v>
      </c>
      <c r="K63" s="1318">
        <v>16.72</v>
      </c>
      <c r="L63" s="1318">
        <v>8.9700000000000006</v>
      </c>
      <c r="M63" s="1318">
        <v>9.3800000000000008</v>
      </c>
      <c r="N63" s="1318">
        <v>26.12</v>
      </c>
      <c r="O63" s="1318">
        <v>26.1</v>
      </c>
    </row>
    <row r="64" spans="1:15">
      <c r="A64" s="1317" t="s">
        <v>3632</v>
      </c>
      <c r="B64" s="1317" t="s">
        <v>3619</v>
      </c>
      <c r="C64" s="1317" t="s">
        <v>3633</v>
      </c>
      <c r="D64" s="1318">
        <v>70</v>
      </c>
      <c r="E64" s="1318">
        <v>0.64</v>
      </c>
      <c r="F64" s="1317">
        <v>50</v>
      </c>
      <c r="G64" s="1318">
        <v>0.31</v>
      </c>
      <c r="H64" s="1318">
        <v>2.2799999999999998</v>
      </c>
      <c r="I64" s="1319">
        <v>0.16</v>
      </c>
      <c r="J64" s="1318">
        <v>13.52</v>
      </c>
      <c r="K64" s="1318">
        <v>13.9</v>
      </c>
      <c r="L64" s="1318">
        <v>10.95</v>
      </c>
      <c r="M64" s="1318">
        <v>10.41</v>
      </c>
      <c r="N64" s="1318">
        <v>24.47</v>
      </c>
      <c r="O64" s="1318">
        <v>24.31</v>
      </c>
    </row>
    <row r="65" spans="1:15">
      <c r="A65" s="1317" t="s">
        <v>3634</v>
      </c>
      <c r="B65" s="1317" t="s">
        <v>3595</v>
      </c>
      <c r="C65" s="1317" t="s">
        <v>3635</v>
      </c>
      <c r="D65" s="1318">
        <v>185</v>
      </c>
      <c r="E65" s="1318">
        <v>0.73</v>
      </c>
      <c r="F65" s="1317">
        <v>50</v>
      </c>
      <c r="G65" s="1318">
        <v>0.35</v>
      </c>
      <c r="H65" s="1318">
        <v>2.94</v>
      </c>
      <c r="I65" s="1319">
        <v>0.54400000000000004</v>
      </c>
      <c r="J65" s="1318">
        <v>19.3</v>
      </c>
      <c r="K65" s="1318">
        <v>17.37</v>
      </c>
      <c r="L65" s="1318">
        <v>7.48</v>
      </c>
      <c r="M65" s="1318">
        <v>8.86</v>
      </c>
      <c r="N65" s="1318">
        <v>26.78</v>
      </c>
      <c r="O65" s="1318">
        <v>26.23</v>
      </c>
    </row>
    <row r="66" spans="1:15">
      <c r="A66" s="1317" t="s">
        <v>3636</v>
      </c>
      <c r="B66" s="1317" t="s">
        <v>3635</v>
      </c>
      <c r="C66" s="1317" t="s">
        <v>3637</v>
      </c>
      <c r="D66" s="1318">
        <v>50</v>
      </c>
      <c r="E66" s="1318">
        <v>0.99</v>
      </c>
      <c r="F66" s="1317">
        <v>50</v>
      </c>
      <c r="G66" s="1318">
        <v>0.48</v>
      </c>
      <c r="H66" s="1318">
        <v>5.16</v>
      </c>
      <c r="I66" s="1319">
        <v>0.25800000000000001</v>
      </c>
      <c r="J66" s="1318">
        <v>17.37</v>
      </c>
      <c r="K66" s="1318">
        <v>16.37</v>
      </c>
      <c r="L66" s="1318">
        <v>8.86</v>
      </c>
      <c r="M66" s="1318">
        <v>9.61</v>
      </c>
      <c r="N66" s="1318">
        <v>26.23</v>
      </c>
      <c r="O66" s="1318">
        <v>25.98</v>
      </c>
    </row>
    <row r="67" spans="1:15">
      <c r="A67" s="1317" t="s">
        <v>3638</v>
      </c>
      <c r="B67" s="1317" t="s">
        <v>3637</v>
      </c>
      <c r="C67" s="1317" t="s">
        <v>3639</v>
      </c>
      <c r="D67" s="1318">
        <v>138</v>
      </c>
      <c r="E67" s="1318">
        <v>1.22</v>
      </c>
      <c r="F67" s="1317">
        <v>50</v>
      </c>
      <c r="G67" s="1318">
        <v>0.59</v>
      </c>
      <c r="H67" s="1318">
        <v>7.55</v>
      </c>
      <c r="I67" s="1319">
        <v>1.0409999999999999</v>
      </c>
      <c r="J67" s="1318">
        <v>16.37</v>
      </c>
      <c r="K67" s="1318">
        <v>14.34</v>
      </c>
      <c r="L67" s="1318">
        <v>9.61</v>
      </c>
      <c r="M67" s="1318">
        <v>10.6</v>
      </c>
      <c r="N67" s="1318">
        <v>25.98</v>
      </c>
      <c r="O67" s="1318">
        <v>24.94</v>
      </c>
    </row>
    <row r="68" spans="1:15">
      <c r="A68" s="1317" t="s">
        <v>3640</v>
      </c>
      <c r="B68" s="1317" t="s">
        <v>3639</v>
      </c>
      <c r="C68" s="1317" t="s">
        <v>3641</v>
      </c>
      <c r="D68" s="1318">
        <v>110</v>
      </c>
      <c r="E68" s="1318">
        <v>0.83</v>
      </c>
      <c r="F68" s="1317">
        <v>50</v>
      </c>
      <c r="G68" s="1318">
        <v>0.4</v>
      </c>
      <c r="H68" s="1318">
        <v>3.68</v>
      </c>
      <c r="I68" s="1319">
        <v>0.40400000000000003</v>
      </c>
      <c r="J68" s="1318">
        <v>14.34</v>
      </c>
      <c r="K68" s="1318">
        <v>13.35</v>
      </c>
      <c r="L68" s="1318">
        <v>10.6</v>
      </c>
      <c r="M68" s="1318">
        <v>11.18</v>
      </c>
      <c r="N68" s="1318">
        <v>24.94</v>
      </c>
      <c r="O68" s="1318">
        <v>24.53</v>
      </c>
    </row>
    <row r="69" spans="1:15">
      <c r="A69" s="1317" t="s">
        <v>3642</v>
      </c>
      <c r="B69" s="1317" t="s">
        <v>3641</v>
      </c>
      <c r="C69" s="1317" t="s">
        <v>3643</v>
      </c>
      <c r="D69" s="1318">
        <v>31</v>
      </c>
      <c r="E69" s="1318">
        <v>0.19</v>
      </c>
      <c r="F69" s="1317">
        <v>50</v>
      </c>
      <c r="G69" s="1318">
        <v>0.09</v>
      </c>
      <c r="H69" s="1318">
        <v>0.23</v>
      </c>
      <c r="I69" s="1319">
        <v>7.0000000000000001E-3</v>
      </c>
      <c r="J69" s="1318">
        <v>13.35</v>
      </c>
      <c r="K69" s="1318">
        <v>12.35</v>
      </c>
      <c r="L69" s="1318">
        <v>11.18</v>
      </c>
      <c r="M69" s="1318">
        <v>12.17</v>
      </c>
      <c r="N69" s="1318">
        <v>24.53</v>
      </c>
      <c r="O69" s="1318">
        <v>24.52</v>
      </c>
    </row>
    <row r="70" spans="1:15">
      <c r="A70" s="1317" t="s">
        <v>3644</v>
      </c>
      <c r="B70" s="1317" t="s">
        <v>3625</v>
      </c>
      <c r="C70" s="1317" t="s">
        <v>3609</v>
      </c>
      <c r="D70" s="1318">
        <v>45</v>
      </c>
      <c r="E70" s="1318">
        <v>0.62</v>
      </c>
      <c r="F70" s="1317">
        <v>50</v>
      </c>
      <c r="G70" s="1318">
        <v>0.3</v>
      </c>
      <c r="H70" s="1318">
        <v>2.15</v>
      </c>
      <c r="I70" s="1319">
        <v>9.7000000000000003E-2</v>
      </c>
      <c r="J70" s="1318">
        <v>20.11</v>
      </c>
      <c r="K70" s="1318">
        <v>20.85</v>
      </c>
      <c r="L70" s="1318">
        <v>6.81</v>
      </c>
      <c r="M70" s="1318">
        <v>5.97</v>
      </c>
      <c r="N70" s="1318">
        <v>26.92</v>
      </c>
      <c r="O70" s="1318">
        <v>26.82</v>
      </c>
    </row>
    <row r="71" spans="1:15">
      <c r="A71" s="1317" t="s">
        <v>3645</v>
      </c>
      <c r="B71" s="1317" t="s">
        <v>3611</v>
      </c>
      <c r="C71" s="1317" t="s">
        <v>3627</v>
      </c>
      <c r="D71" s="1318">
        <v>44</v>
      </c>
      <c r="E71" s="1318">
        <v>0.42</v>
      </c>
      <c r="F71" s="1317">
        <v>50</v>
      </c>
      <c r="G71" s="1318">
        <v>0.2</v>
      </c>
      <c r="H71" s="1318">
        <v>1.07</v>
      </c>
      <c r="I71" s="1319">
        <v>4.7E-2</v>
      </c>
      <c r="J71" s="1318">
        <v>19.12</v>
      </c>
      <c r="K71" s="1318">
        <v>17.7</v>
      </c>
      <c r="L71" s="1318">
        <v>7.23</v>
      </c>
      <c r="M71" s="1318">
        <v>8.6</v>
      </c>
      <c r="N71" s="1318">
        <v>26.35</v>
      </c>
      <c r="O71" s="1318">
        <v>26.3</v>
      </c>
    </row>
    <row r="72" spans="1:15">
      <c r="A72" s="1317" t="s">
        <v>3646</v>
      </c>
      <c r="B72" s="1317" t="s">
        <v>3627</v>
      </c>
      <c r="C72" s="1317" t="s">
        <v>3635</v>
      </c>
      <c r="D72" s="1318">
        <v>51</v>
      </c>
      <c r="E72" s="1318">
        <v>0.46</v>
      </c>
      <c r="F72" s="1317">
        <v>50</v>
      </c>
      <c r="G72" s="1318">
        <v>0.22</v>
      </c>
      <c r="H72" s="1318">
        <v>1.26</v>
      </c>
      <c r="I72" s="1319">
        <v>6.4000000000000001E-2</v>
      </c>
      <c r="J72" s="1318">
        <v>17.7</v>
      </c>
      <c r="K72" s="1318">
        <v>17.37</v>
      </c>
      <c r="L72" s="1318">
        <v>8.6</v>
      </c>
      <c r="M72" s="1318">
        <v>8.86</v>
      </c>
      <c r="N72" s="1318">
        <v>26.3</v>
      </c>
      <c r="O72" s="1318">
        <v>26.23</v>
      </c>
    </row>
    <row r="73" spans="1:15">
      <c r="A73" s="1317" t="s">
        <v>3647</v>
      </c>
      <c r="B73" s="1317" t="s">
        <v>3613</v>
      </c>
      <c r="C73" s="1317" t="s">
        <v>3629</v>
      </c>
      <c r="D73" s="1318">
        <v>44</v>
      </c>
      <c r="E73" s="1318">
        <v>0.34</v>
      </c>
      <c r="F73" s="1317">
        <v>50</v>
      </c>
      <c r="G73" s="1318">
        <v>0.16</v>
      </c>
      <c r="H73" s="1318">
        <v>0.71</v>
      </c>
      <c r="I73" s="1319">
        <v>3.1E-2</v>
      </c>
      <c r="J73" s="1318">
        <v>17.79</v>
      </c>
      <c r="K73" s="1318">
        <v>17.149999999999999</v>
      </c>
      <c r="L73" s="1318">
        <v>8.36</v>
      </c>
      <c r="M73" s="1318">
        <v>8.9700000000000006</v>
      </c>
      <c r="N73" s="1318">
        <v>26.15</v>
      </c>
      <c r="O73" s="1318">
        <v>26.12</v>
      </c>
    </row>
    <row r="74" spans="1:15">
      <c r="A74" s="1317" t="s">
        <v>3648</v>
      </c>
      <c r="B74" s="1317" t="s">
        <v>3629</v>
      </c>
      <c r="C74" s="1317" t="s">
        <v>3637</v>
      </c>
      <c r="D74" s="1318">
        <v>51</v>
      </c>
      <c r="E74" s="1318">
        <v>0.72</v>
      </c>
      <c r="F74" s="1317">
        <v>50</v>
      </c>
      <c r="G74" s="1318">
        <v>0.35</v>
      </c>
      <c r="H74" s="1318">
        <v>2.83</v>
      </c>
      <c r="I74" s="1319">
        <v>0.14499999999999999</v>
      </c>
      <c r="J74" s="1318">
        <v>17.149999999999999</v>
      </c>
      <c r="K74" s="1318">
        <v>16.37</v>
      </c>
      <c r="L74" s="1318">
        <v>8.9700000000000006</v>
      </c>
      <c r="M74" s="1318">
        <v>9.61</v>
      </c>
      <c r="N74" s="1318">
        <v>26.12</v>
      </c>
      <c r="O74" s="1318">
        <v>25.98</v>
      </c>
    </row>
    <row r="75" spans="1:15">
      <c r="A75" s="1317" t="s">
        <v>3649</v>
      </c>
      <c r="B75" s="1317" t="s">
        <v>3621</v>
      </c>
      <c r="C75" s="1317" t="s">
        <v>3641</v>
      </c>
      <c r="D75" s="1318">
        <v>47</v>
      </c>
      <c r="E75" s="1318">
        <v>0.49</v>
      </c>
      <c r="F75" s="1317">
        <v>50</v>
      </c>
      <c r="G75" s="1318">
        <v>0.24</v>
      </c>
      <c r="H75" s="1318">
        <v>1.4</v>
      </c>
      <c r="I75" s="1319">
        <v>6.6000000000000003E-2</v>
      </c>
      <c r="J75" s="1318">
        <v>12.93</v>
      </c>
      <c r="K75" s="1318">
        <v>13.22</v>
      </c>
      <c r="L75" s="1318">
        <v>11.53</v>
      </c>
      <c r="M75" s="1318">
        <v>11.18</v>
      </c>
      <c r="N75" s="1318">
        <v>24.46</v>
      </c>
      <c r="O75" s="1318">
        <v>24.4</v>
      </c>
    </row>
    <row r="76" spans="1:15" ht="15">
      <c r="A76" s="1320" t="s">
        <v>3650</v>
      </c>
      <c r="B76" s="1320" t="s">
        <v>3579</v>
      </c>
      <c r="C76" s="1320" t="s">
        <v>3651</v>
      </c>
      <c r="D76" s="1321">
        <v>255</v>
      </c>
      <c r="E76" s="1321">
        <v>0.66</v>
      </c>
      <c r="F76" s="1320">
        <v>50</v>
      </c>
      <c r="G76" s="1321">
        <v>0.32</v>
      </c>
      <c r="H76" s="1321">
        <v>2.4</v>
      </c>
      <c r="I76" s="1322">
        <v>0.61199999999999999</v>
      </c>
      <c r="J76" s="1321">
        <v>17.5</v>
      </c>
      <c r="K76" s="1321">
        <v>20.440000000000001</v>
      </c>
      <c r="L76" s="1321">
        <v>10.26</v>
      </c>
      <c r="M76" s="1321">
        <v>6.71</v>
      </c>
      <c r="N76" s="1321">
        <v>27.76</v>
      </c>
      <c r="O76" s="1321">
        <v>27.15</v>
      </c>
    </row>
    <row r="77" spans="1:15" ht="15">
      <c r="A77" s="1320" t="s">
        <v>3652</v>
      </c>
      <c r="B77" s="1320" t="s">
        <v>3581</v>
      </c>
      <c r="C77" s="1320" t="s">
        <v>3653</v>
      </c>
      <c r="D77" s="1321">
        <v>153</v>
      </c>
      <c r="E77" s="1321">
        <v>0.66</v>
      </c>
      <c r="F77" s="1320">
        <v>50</v>
      </c>
      <c r="G77" s="1321">
        <v>0.32</v>
      </c>
      <c r="H77" s="1321">
        <v>2.4</v>
      </c>
      <c r="I77" s="1322">
        <v>0.36699999999999999</v>
      </c>
      <c r="J77" s="1321">
        <v>19.29</v>
      </c>
      <c r="K77" s="1321">
        <v>20.14</v>
      </c>
      <c r="L77" s="1321">
        <v>8.3800000000000008</v>
      </c>
      <c r="M77" s="1321">
        <v>7.16</v>
      </c>
      <c r="N77" s="1321">
        <v>27.67</v>
      </c>
      <c r="O77" s="1321">
        <v>27.3</v>
      </c>
    </row>
    <row r="78" spans="1:15" ht="15">
      <c r="A78" s="1317" t="s">
        <v>21</v>
      </c>
      <c r="B78" s="1341"/>
      <c r="C78" s="1341"/>
      <c r="D78" s="1321">
        <v>6912</v>
      </c>
      <c r="E78" s="1342"/>
      <c r="F78" s="1341"/>
      <c r="G78" s="1342"/>
      <c r="H78" s="1342"/>
      <c r="I78" s="1343"/>
      <c r="J78" s="1342"/>
      <c r="K78" s="1342"/>
      <c r="L78" s="1342"/>
      <c r="M78" s="1342"/>
      <c r="N78" s="1342"/>
      <c r="O78" s="1342"/>
    </row>
    <row r="79" spans="1:15" ht="15">
      <c r="A79" s="1309"/>
      <c r="B79" s="1309"/>
      <c r="C79" s="1309"/>
      <c r="D79" s="1326"/>
      <c r="E79" s="1310"/>
      <c r="F79" s="1309"/>
      <c r="G79" s="1310"/>
      <c r="H79" s="1310"/>
      <c r="I79" s="1315"/>
      <c r="J79" s="1310"/>
      <c r="K79" s="1310"/>
      <c r="L79" s="1310"/>
      <c r="M79" s="1310"/>
      <c r="N79" s="1310"/>
      <c r="O79" s="1310"/>
    </row>
    <row r="80" spans="1:15" ht="15">
      <c r="A80" s="1309"/>
      <c r="B80" s="1309"/>
      <c r="C80" s="1309"/>
      <c r="D80" s="1326"/>
      <c r="E80" s="1310"/>
      <c r="F80" s="1309"/>
      <c r="G80" s="1310"/>
      <c r="H80" s="1310"/>
      <c r="I80" s="1315" t="s">
        <v>3654</v>
      </c>
      <c r="J80" s="1310"/>
      <c r="K80" s="1310"/>
      <c r="L80" s="1310"/>
      <c r="M80" s="1310"/>
      <c r="N80" s="1310"/>
      <c r="O80" s="1310"/>
    </row>
    <row r="81" spans="1:20" ht="75">
      <c r="A81" s="1309"/>
      <c r="B81" s="1309"/>
      <c r="C81" s="1309"/>
      <c r="D81" s="1326"/>
      <c r="E81" s="1310"/>
      <c r="F81" s="1309"/>
      <c r="G81" s="1310"/>
      <c r="H81" s="1310"/>
      <c r="I81" s="1357" t="s">
        <v>3655</v>
      </c>
      <c r="J81" s="1357" t="s">
        <v>3656</v>
      </c>
      <c r="K81" s="1358" t="s">
        <v>3657</v>
      </c>
      <c r="L81" s="1357" t="s">
        <v>3658</v>
      </c>
      <c r="M81" s="1357" t="s">
        <v>3659</v>
      </c>
      <c r="N81" s="1357" t="s">
        <v>3660</v>
      </c>
      <c r="O81" s="1379" t="s">
        <v>3688</v>
      </c>
      <c r="P81" s="1309"/>
      <c r="Q81" s="1309"/>
      <c r="R81" s="1309"/>
      <c r="S81" s="1309"/>
      <c r="T81" s="1309"/>
    </row>
    <row r="82" spans="1:20" ht="15.75">
      <c r="A82" s="1316" t="s">
        <v>3661</v>
      </c>
      <c r="B82" s="1309"/>
      <c r="C82" s="1309"/>
      <c r="D82" s="1310"/>
      <c r="E82" s="1310"/>
      <c r="F82" s="1309"/>
      <c r="G82" s="1349">
        <v>4955</v>
      </c>
      <c r="H82" s="1348" t="s">
        <v>3</v>
      </c>
      <c r="I82" s="1351">
        <v>0.05</v>
      </c>
      <c r="J82" s="1352">
        <v>0.65</v>
      </c>
      <c r="K82" s="1352">
        <v>0.35</v>
      </c>
      <c r="L82" s="1353">
        <f>K82*J82*G82</f>
        <v>1127.26</v>
      </c>
      <c r="M82" s="1356">
        <v>9.7288328125000021</v>
      </c>
      <c r="N82" s="1354">
        <f>L82-M82</f>
        <v>1117.53</v>
      </c>
      <c r="O82" s="1310">
        <v>0.5</v>
      </c>
      <c r="P82" s="1361"/>
      <c r="Q82" s="1310"/>
      <c r="R82" s="1340"/>
      <c r="S82" s="1310"/>
      <c r="T82" s="1309"/>
    </row>
    <row r="83" spans="1:20" ht="15.75">
      <c r="A83" s="1316" t="s">
        <v>3662</v>
      </c>
      <c r="B83" s="1309"/>
      <c r="C83" s="1309"/>
      <c r="D83" s="1310"/>
      <c r="E83" s="1310"/>
      <c r="F83" s="1309"/>
      <c r="G83" s="1349">
        <v>264</v>
      </c>
      <c r="H83" s="1348" t="s">
        <v>3</v>
      </c>
      <c r="I83" s="1351">
        <v>7.4999999999999997E-2</v>
      </c>
      <c r="J83" s="1352">
        <v>0.67499999999999993</v>
      </c>
      <c r="K83" s="1352">
        <v>0.38</v>
      </c>
      <c r="L83" s="1353">
        <f>K83*J83*G83</f>
        <v>67.72</v>
      </c>
      <c r="M83" s="1356">
        <v>1.1662818750000001</v>
      </c>
      <c r="N83" s="1354">
        <f>L83-M83</f>
        <v>66.55</v>
      </c>
      <c r="O83" s="1310">
        <v>0.5</v>
      </c>
      <c r="P83" s="1361"/>
      <c r="Q83" s="1310"/>
      <c r="R83" s="1340"/>
      <c r="S83" s="1310"/>
      <c r="T83" s="1309"/>
    </row>
    <row r="84" spans="1:20" ht="15.75">
      <c r="A84" s="1316" t="s">
        <v>3663</v>
      </c>
      <c r="B84" s="1309"/>
      <c r="C84" s="1309"/>
      <c r="D84" s="1310"/>
      <c r="E84" s="1310"/>
      <c r="F84" s="1309"/>
      <c r="G84" s="1349">
        <v>237</v>
      </c>
      <c r="H84" s="1348" t="s">
        <v>3</v>
      </c>
      <c r="I84" s="1351">
        <v>0.1</v>
      </c>
      <c r="J84" s="1352">
        <v>0.7</v>
      </c>
      <c r="K84" s="1352">
        <v>0.4</v>
      </c>
      <c r="L84" s="1353">
        <f>K84*J84*G84</f>
        <v>66.36</v>
      </c>
      <c r="M84" s="1356">
        <v>1.8613387500000003</v>
      </c>
      <c r="N84" s="1354">
        <f>L84-M84</f>
        <v>64.5</v>
      </c>
      <c r="O84" s="1310">
        <v>0.5</v>
      </c>
      <c r="P84" s="1361"/>
      <c r="Q84" s="1310"/>
      <c r="R84" s="1340"/>
      <c r="S84" s="1310"/>
      <c r="T84" s="1309"/>
    </row>
    <row r="85" spans="1:20" ht="15.75">
      <c r="A85" s="1316" t="s">
        <v>3664</v>
      </c>
      <c r="B85" s="1309"/>
      <c r="C85" s="1309"/>
      <c r="D85" s="1310"/>
      <c r="E85" s="1310"/>
      <c r="F85" s="1309"/>
      <c r="G85" s="1349">
        <v>1456</v>
      </c>
      <c r="H85" s="1348" t="s">
        <v>3</v>
      </c>
      <c r="I85" s="1351">
        <v>0.15</v>
      </c>
      <c r="J85" s="1352">
        <v>0.745</v>
      </c>
      <c r="K85" s="1352">
        <v>0.45</v>
      </c>
      <c r="L85" s="1353">
        <f>K85*J85*G85</f>
        <v>488.12</v>
      </c>
      <c r="M85" s="1356">
        <v>25.728885000000002</v>
      </c>
      <c r="N85" s="1354">
        <f>L85-M85</f>
        <v>462.39</v>
      </c>
      <c r="O85" s="1310">
        <v>0.5</v>
      </c>
      <c r="P85" s="1361"/>
      <c r="Q85" s="1310"/>
      <c r="R85" s="1340"/>
      <c r="S85" s="1310"/>
      <c r="T85" s="1309"/>
    </row>
    <row r="86" spans="1:20" ht="15">
      <c r="A86" s="1309"/>
      <c r="B86" s="1309"/>
      <c r="C86" s="1309"/>
      <c r="D86" s="1326"/>
      <c r="E86" s="1310"/>
      <c r="F86" s="1309" t="s">
        <v>21</v>
      </c>
      <c r="G86" s="1348">
        <v>6912</v>
      </c>
      <c r="H86" s="1348" t="s">
        <v>3</v>
      </c>
      <c r="I86" s="1315"/>
      <c r="J86" s="1310"/>
      <c r="K86" s="1310"/>
      <c r="L86" s="1360">
        <f>SUM(L82:L85)</f>
        <v>1749.46</v>
      </c>
      <c r="M86" s="1360">
        <v>38.485338437500005</v>
      </c>
      <c r="N86" s="1360">
        <f>SUM(N82:N85)</f>
        <v>1710.97</v>
      </c>
      <c r="O86" s="1310"/>
      <c r="P86" s="1309"/>
      <c r="Q86" s="1310"/>
      <c r="R86" s="1350"/>
      <c r="S86" s="1310"/>
      <c r="T86" s="1309"/>
    </row>
    <row r="87" spans="1:20" ht="15">
      <c r="A87" s="1309"/>
      <c r="B87" s="1309"/>
      <c r="C87" s="1309"/>
      <c r="D87" s="1326"/>
      <c r="E87" s="1310"/>
      <c r="F87" s="1309"/>
      <c r="G87" s="1310"/>
      <c r="H87" s="1310"/>
      <c r="I87" s="1315"/>
      <c r="J87" s="1310"/>
      <c r="K87" s="1310"/>
      <c r="L87" s="1310"/>
      <c r="M87" s="1310"/>
      <c r="N87" s="1310"/>
      <c r="O87" s="1310"/>
      <c r="P87" s="1309"/>
      <c r="Q87" s="1309"/>
      <c r="R87" s="1310"/>
      <c r="S87" s="1310"/>
      <c r="T87" s="1309"/>
    </row>
    <row r="88" spans="1:20" ht="15">
      <c r="A88" s="1309"/>
      <c r="B88" s="1309"/>
      <c r="C88" s="1309"/>
      <c r="D88" s="1326"/>
      <c r="E88" s="1310"/>
      <c r="F88" s="1309"/>
      <c r="G88" s="1310"/>
      <c r="H88" s="1310"/>
      <c r="I88" s="1315"/>
      <c r="J88" s="1310"/>
      <c r="K88" s="1310"/>
      <c r="L88" s="1350"/>
      <c r="M88" s="1350"/>
      <c r="N88" s="1350"/>
      <c r="O88" s="1310"/>
      <c r="P88" s="1309"/>
      <c r="Q88" s="1309"/>
      <c r="R88" s="1309"/>
      <c r="S88" s="1309"/>
      <c r="T88" s="1309"/>
    </row>
    <row r="89" spans="1:20" ht="15">
      <c r="A89" s="1309"/>
      <c r="B89" s="1309"/>
      <c r="C89" s="1309"/>
      <c r="D89" s="1326"/>
      <c r="E89" s="1310"/>
      <c r="F89" s="1309"/>
      <c r="G89" s="1310"/>
      <c r="H89" s="1310"/>
      <c r="I89" s="1315"/>
      <c r="J89" s="1310"/>
      <c r="K89" s="1310"/>
      <c r="L89" s="1310"/>
      <c r="M89" s="1310"/>
      <c r="N89" s="1310"/>
      <c r="O89" s="1310"/>
      <c r="P89" s="1309"/>
      <c r="Q89" s="1309"/>
      <c r="R89" s="1309"/>
      <c r="S89" s="1309"/>
      <c r="T89" s="1309"/>
    </row>
    <row r="90" spans="1:20" ht="47.25">
      <c r="A90" s="1309"/>
      <c r="B90" s="1309"/>
      <c r="C90" s="1309"/>
      <c r="D90" s="1326"/>
      <c r="E90" s="1310"/>
      <c r="F90" s="1309"/>
      <c r="G90" s="1310"/>
      <c r="H90" s="1310"/>
      <c r="I90" s="1357" t="s">
        <v>3655</v>
      </c>
      <c r="J90" s="1357" t="s">
        <v>3656</v>
      </c>
      <c r="K90" s="1358" t="s">
        <v>3657</v>
      </c>
      <c r="L90" s="1357" t="s">
        <v>3658</v>
      </c>
      <c r="M90" s="1357" t="s">
        <v>3659</v>
      </c>
      <c r="N90" s="1357" t="s">
        <v>3660</v>
      </c>
      <c r="O90" s="1310"/>
      <c r="P90" s="1309"/>
      <c r="Q90" s="1309"/>
      <c r="R90" s="1309"/>
      <c r="S90" s="1309"/>
      <c r="T90" s="1309"/>
    </row>
    <row r="91" spans="1:20" ht="15.75">
      <c r="A91" s="1316" t="s">
        <v>3665</v>
      </c>
      <c r="B91" s="1309"/>
      <c r="C91" s="1309"/>
      <c r="D91" s="1326"/>
      <c r="E91" s="1310"/>
      <c r="F91" s="1309"/>
      <c r="G91" s="1359">
        <v>12</v>
      </c>
      <c r="H91" s="1348" t="s">
        <v>3</v>
      </c>
      <c r="I91" s="1351">
        <v>0.2</v>
      </c>
      <c r="J91" s="1352">
        <v>0.8</v>
      </c>
      <c r="K91" s="1352">
        <v>1</v>
      </c>
      <c r="L91" s="1353">
        <v>9.6</v>
      </c>
      <c r="M91" s="1356">
        <v>0.37698000000000009</v>
      </c>
      <c r="N91" s="1354">
        <v>9.22302</v>
      </c>
      <c r="O91" s="1310"/>
      <c r="P91" s="1309"/>
      <c r="Q91" s="1310"/>
      <c r="R91" s="1309"/>
      <c r="S91" s="1309"/>
      <c r="T91" s="1309"/>
    </row>
    <row r="92" spans="1:20" ht="15.75">
      <c r="A92" s="1316" t="s">
        <v>3666</v>
      </c>
      <c r="B92" s="1309"/>
      <c r="C92" s="1309"/>
      <c r="D92" s="1326"/>
      <c r="E92" s="1310"/>
      <c r="F92" s="1309"/>
      <c r="G92" s="1359">
        <v>66</v>
      </c>
      <c r="H92" s="1348" t="s">
        <v>3</v>
      </c>
      <c r="I92" s="1351">
        <v>0.3</v>
      </c>
      <c r="J92" s="1352">
        <v>0.89999999999999991</v>
      </c>
      <c r="K92" s="1352">
        <v>1.1000000000000001</v>
      </c>
      <c r="L92" s="1353">
        <v>65.34</v>
      </c>
      <c r="M92" s="1356">
        <v>4.6651275000000005</v>
      </c>
      <c r="N92" s="1354">
        <v>60.674872500000006</v>
      </c>
      <c r="O92" s="1310"/>
      <c r="P92" s="1309"/>
      <c r="Q92" s="1310"/>
      <c r="R92" s="1309"/>
      <c r="S92" s="1309"/>
      <c r="T92" s="1309"/>
    </row>
    <row r="93" spans="1:20" ht="15.75">
      <c r="A93" s="1316" t="s">
        <v>3667</v>
      </c>
      <c r="B93" s="1309"/>
      <c r="C93" s="1309"/>
      <c r="D93" s="1326"/>
      <c r="E93" s="1310"/>
      <c r="F93" s="1309"/>
      <c r="G93" s="1359">
        <v>66</v>
      </c>
      <c r="H93" s="1348" t="s">
        <v>3</v>
      </c>
      <c r="I93" s="1351">
        <v>0.5</v>
      </c>
      <c r="J93" s="1352">
        <v>1.1000000000000001</v>
      </c>
      <c r="K93" s="1352">
        <v>1.3</v>
      </c>
      <c r="L93" s="1353">
        <v>94.38</v>
      </c>
      <c r="M93" s="1356">
        <v>12.9586875</v>
      </c>
      <c r="N93" s="1354">
        <v>81.421312499999999</v>
      </c>
      <c r="O93" s="1310"/>
      <c r="P93" s="1309"/>
      <c r="Q93" s="1310"/>
      <c r="R93" s="1309"/>
      <c r="S93" s="1310"/>
      <c r="T93" s="1309"/>
    </row>
    <row r="94" spans="1:20" ht="15.75">
      <c r="A94" s="1316" t="s">
        <v>3668</v>
      </c>
      <c r="B94" s="1309"/>
      <c r="C94" s="1309"/>
      <c r="D94" s="1326"/>
      <c r="E94" s="1310"/>
      <c r="F94" s="1309"/>
      <c r="G94" s="1359">
        <v>19</v>
      </c>
      <c r="H94" s="1348" t="s">
        <v>3</v>
      </c>
      <c r="I94" s="1351">
        <v>0.4</v>
      </c>
      <c r="J94" s="1352">
        <v>1</v>
      </c>
      <c r="K94" s="1352">
        <v>1.2000000000000002</v>
      </c>
      <c r="L94" s="1353">
        <v>22.8</v>
      </c>
      <c r="M94" s="1356">
        <v>2.3875400000000004</v>
      </c>
      <c r="N94" s="1354">
        <v>20.412459999999999</v>
      </c>
      <c r="O94" s="1310"/>
      <c r="P94" s="1309"/>
      <c r="Q94" s="1310"/>
      <c r="R94" s="1309"/>
      <c r="S94" s="1310"/>
      <c r="T94" s="1309"/>
    </row>
    <row r="95" spans="1:20" ht="15">
      <c r="A95" s="1309"/>
      <c r="B95" s="1309"/>
      <c r="C95" s="1309"/>
      <c r="D95" s="1326"/>
      <c r="E95" s="1310"/>
      <c r="F95" s="1309"/>
      <c r="G95" s="1310"/>
      <c r="H95" s="1310"/>
      <c r="I95" s="1315"/>
      <c r="J95" s="1310"/>
      <c r="K95" s="1310"/>
      <c r="L95" s="1355">
        <v>192.12</v>
      </c>
      <c r="M95" s="1355">
        <v>20.388335000000001</v>
      </c>
      <c r="N95" s="1355">
        <v>171.73166500000002</v>
      </c>
      <c r="O95" s="1310"/>
      <c r="P95" s="1309"/>
      <c r="Q95" s="1309"/>
      <c r="R95" s="1309"/>
      <c r="S95" s="1310"/>
      <c r="T95" s="1309"/>
    </row>
    <row r="96" spans="1:20" ht="15">
      <c r="A96" s="1309"/>
      <c r="B96" s="1309"/>
      <c r="C96" s="1309"/>
      <c r="D96" s="1326"/>
      <c r="E96" s="1310"/>
      <c r="F96" s="1309"/>
      <c r="G96" s="1310"/>
      <c r="H96" s="1310"/>
      <c r="I96" s="1315"/>
      <c r="J96" s="1310"/>
      <c r="K96" s="1310"/>
      <c r="L96" s="1310"/>
      <c r="M96" s="1310"/>
      <c r="N96" s="1310"/>
      <c r="O96" s="1310"/>
      <c r="P96" s="1309"/>
      <c r="Q96" s="1309"/>
      <c r="R96" s="1309"/>
      <c r="S96" s="1310"/>
      <c r="T96" s="1309"/>
    </row>
    <row r="97" spans="4:20" ht="15">
      <c r="D97" s="1326"/>
      <c r="E97" s="1310"/>
      <c r="F97" s="1309"/>
      <c r="G97" s="1310"/>
      <c r="H97" s="1310"/>
      <c r="I97" s="1315"/>
      <c r="J97" s="1310"/>
      <c r="K97" s="1310"/>
      <c r="L97" s="1310"/>
      <c r="M97" s="1310"/>
      <c r="N97" s="1310"/>
      <c r="O97" s="1310"/>
      <c r="P97" s="1309"/>
      <c r="Q97" s="1309"/>
      <c r="R97" s="1309"/>
      <c r="S97" s="1309"/>
      <c r="T97" s="1309"/>
    </row>
    <row r="98" spans="4:20" ht="15">
      <c r="D98" s="1326"/>
      <c r="E98" s="1310"/>
      <c r="F98" s="1309"/>
      <c r="G98" s="1310"/>
      <c r="H98" s="1310"/>
      <c r="I98" s="1315"/>
      <c r="J98" s="1310"/>
      <c r="K98" s="1310"/>
      <c r="L98" s="1310"/>
      <c r="M98" s="1310"/>
      <c r="N98" s="1310"/>
      <c r="O98" s="1310"/>
      <c r="P98" s="1309"/>
      <c r="Q98" s="1309"/>
      <c r="R98" s="1310"/>
      <c r="S98" s="1310"/>
      <c r="T98" s="1309"/>
    </row>
    <row r="99" spans="4:20" ht="15">
      <c r="D99" s="1326"/>
      <c r="E99" s="1310"/>
      <c r="F99" s="1309"/>
      <c r="G99" s="1310"/>
      <c r="H99" s="1310"/>
      <c r="I99" s="1315"/>
      <c r="J99" s="1310"/>
      <c r="K99" s="1310"/>
      <c r="L99" s="1310"/>
      <c r="M99" s="1310"/>
      <c r="N99" s="1310"/>
      <c r="O99" s="1310"/>
      <c r="P99" s="1309"/>
      <c r="Q99" s="1309"/>
      <c r="R99" s="1309"/>
      <c r="S99" s="1309"/>
      <c r="T99" s="1309"/>
    </row>
    <row r="100" spans="4:20" ht="15">
      <c r="D100" s="1326"/>
      <c r="E100" s="1310"/>
      <c r="F100" s="1309"/>
      <c r="G100" s="1310"/>
      <c r="H100" s="1310"/>
      <c r="I100" s="1315"/>
      <c r="J100" s="1310"/>
      <c r="K100" s="1310"/>
      <c r="L100" s="1310"/>
      <c r="M100" s="1310"/>
      <c r="N100" s="1310"/>
      <c r="O100" s="1310"/>
      <c r="P100" s="1309"/>
      <c r="Q100" s="1309"/>
      <c r="R100" s="1310"/>
      <c r="S100" s="1309"/>
      <c r="T100" s="1309"/>
    </row>
    <row r="101" spans="4:20" ht="15">
      <c r="D101" s="1326"/>
      <c r="E101" s="1310"/>
      <c r="F101" s="1309"/>
      <c r="G101" s="1310"/>
      <c r="H101" s="1310"/>
      <c r="I101" s="1315"/>
      <c r="J101" s="1310"/>
      <c r="K101" s="1310"/>
      <c r="L101" s="1310"/>
      <c r="M101" s="1310"/>
      <c r="N101" s="1310"/>
      <c r="O101" s="1310"/>
      <c r="P101" s="1309"/>
      <c r="Q101" s="1309"/>
      <c r="R101" s="1309"/>
      <c r="S101" s="1309"/>
      <c r="T101" s="1309"/>
    </row>
    <row r="102" spans="4:20" ht="15">
      <c r="D102" s="1309"/>
      <c r="E102" s="1309"/>
      <c r="F102" s="1309"/>
      <c r="G102" s="1309"/>
      <c r="H102" s="1309"/>
      <c r="I102" s="1315"/>
      <c r="J102" s="1310"/>
      <c r="K102" s="1310"/>
      <c r="L102" s="1310"/>
      <c r="M102" s="1310"/>
      <c r="N102" s="1310"/>
      <c r="O102" s="1310"/>
      <c r="P102" s="1309"/>
      <c r="Q102" s="1309"/>
      <c r="R102" s="1309"/>
      <c r="S102" s="1309"/>
      <c r="T102" s="1309"/>
    </row>
    <row r="103" spans="4:20" ht="15">
      <c r="D103" s="1309"/>
      <c r="E103" s="1309"/>
      <c r="F103" s="1309"/>
      <c r="G103" s="1309"/>
      <c r="H103" s="1309"/>
      <c r="I103" s="1315"/>
      <c r="J103" s="1310"/>
      <c r="K103" s="1310"/>
      <c r="L103" s="1310"/>
      <c r="M103" s="1310"/>
      <c r="N103" s="1310"/>
      <c r="O103" s="1310"/>
      <c r="P103" s="1309"/>
      <c r="Q103" s="1309"/>
      <c r="R103" s="1309"/>
      <c r="S103" s="1309"/>
      <c r="T103" s="1309"/>
    </row>
    <row r="104" spans="4:20" ht="15">
      <c r="D104" s="1309"/>
      <c r="E104" s="1309"/>
      <c r="F104" s="1309"/>
      <c r="G104" s="1309"/>
      <c r="H104" s="1309"/>
      <c r="I104" s="1315"/>
      <c r="J104" s="1310"/>
      <c r="K104" s="1310"/>
      <c r="L104" s="1310"/>
      <c r="M104" s="1310"/>
      <c r="N104" s="1310"/>
      <c r="O104" s="1310"/>
      <c r="P104" s="1309"/>
      <c r="Q104" s="1309"/>
      <c r="R104" s="1309"/>
      <c r="S104" s="1309"/>
      <c r="T104" s="1309"/>
    </row>
  </sheetData>
  <mergeCells count="2">
    <mergeCell ref="A1:K1"/>
    <mergeCell ref="A2:K2"/>
  </mergeCells>
  <pageMargins left="0.511811024" right="0.511811024" top="0.78740157499999996" bottom="0.78740157499999996" header="0.31496062000000002" footer="0.3149606200000000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0">
    <tabColor theme="7" tint="0.39997558519241921"/>
  </sheetPr>
  <dimension ref="B1:Q552"/>
  <sheetViews>
    <sheetView topLeftCell="A509" zoomScale="55" zoomScaleNormal="55" workbookViewId="0">
      <selection activeCell="A343" sqref="A343:IV346"/>
    </sheetView>
  </sheetViews>
  <sheetFormatPr defaultColWidth="9.140625" defaultRowHeight="12.75"/>
  <cols>
    <col min="1" max="1" width="5.7109375" style="621" customWidth="1"/>
    <col min="2" max="2" width="9.140625" style="621"/>
    <col min="3" max="3" width="14.28515625" style="621" customWidth="1"/>
    <col min="4" max="4" width="29.7109375" style="621" customWidth="1"/>
    <col min="5" max="5" width="16.28515625" style="621" customWidth="1"/>
    <col min="6" max="6" width="20" style="621" customWidth="1"/>
    <col min="7" max="7" width="12.85546875" style="621" customWidth="1"/>
    <col min="8" max="8" width="21.7109375" style="621" customWidth="1"/>
    <col min="9" max="9" width="3" style="621" customWidth="1"/>
    <col min="10" max="10" width="3.85546875" style="621" customWidth="1"/>
    <col min="11" max="11" width="8.85546875" style="621" customWidth="1"/>
    <col min="12" max="12" width="12.28515625" style="621" bestFit="1" customWidth="1"/>
    <col min="13" max="13" width="4.85546875" style="621" customWidth="1"/>
    <col min="14" max="16384" width="9.140625" style="621"/>
  </cols>
  <sheetData>
    <row r="1" spans="2:12" ht="21" thickBot="1">
      <c r="B1" s="1913" t="s">
        <v>730</v>
      </c>
      <c r="C1" s="1914"/>
      <c r="D1" s="1914"/>
      <c r="E1" s="1914"/>
      <c r="F1" s="1914"/>
      <c r="G1" s="1914"/>
      <c r="H1" s="1914"/>
      <c r="I1" s="1914"/>
      <c r="J1" s="1914"/>
      <c r="K1" s="1914"/>
      <c r="L1" s="1915"/>
    </row>
    <row r="2" spans="2:12" ht="22.7" customHeight="1">
      <c r="B2" s="1916" t="s">
        <v>785</v>
      </c>
      <c r="C2" s="1917"/>
      <c r="D2" s="1917"/>
      <c r="E2" s="1917"/>
      <c r="F2" s="1917"/>
      <c r="G2" s="1917"/>
      <c r="H2" s="1917"/>
      <c r="I2" s="1917"/>
      <c r="J2" s="1917"/>
      <c r="K2" s="1917"/>
      <c r="L2" s="1918"/>
    </row>
    <row r="3" spans="2:12" ht="21.2" customHeight="1">
      <c r="B3" s="1919" t="s">
        <v>786</v>
      </c>
      <c r="C3" s="1920"/>
      <c r="D3" s="1920"/>
      <c r="E3" s="1920"/>
      <c r="F3" s="1920"/>
      <c r="G3" s="1920"/>
      <c r="H3" s="1920"/>
      <c r="I3" s="1920"/>
      <c r="J3" s="1920"/>
      <c r="K3" s="1920"/>
      <c r="L3" s="1921"/>
    </row>
    <row r="4" spans="2:12" ht="15.75">
      <c r="B4" s="697" t="s">
        <v>6</v>
      </c>
      <c r="C4" s="1922" t="s">
        <v>731</v>
      </c>
      <c r="D4" s="1923"/>
      <c r="E4" s="1923"/>
      <c r="F4" s="1923"/>
      <c r="G4" s="1923"/>
      <c r="H4" s="1923"/>
      <c r="I4" s="698"/>
      <c r="J4" s="698"/>
      <c r="K4" s="699" t="s">
        <v>443</v>
      </c>
      <c r="L4" s="700" t="s">
        <v>732</v>
      </c>
    </row>
    <row r="5" spans="2:12" ht="15.75">
      <c r="B5" s="701" t="s">
        <v>345</v>
      </c>
      <c r="C5" s="1924" t="s">
        <v>733</v>
      </c>
      <c r="D5" s="1924"/>
      <c r="E5" s="1924"/>
      <c r="F5" s="1924"/>
      <c r="G5" s="1924"/>
      <c r="H5" s="1924"/>
      <c r="I5" s="702"/>
      <c r="J5" s="702"/>
      <c r="K5" s="703"/>
      <c r="L5" s="704"/>
    </row>
    <row r="6" spans="2:12">
      <c r="B6" s="622"/>
      <c r="C6" s="623"/>
      <c r="D6" s="623"/>
      <c r="E6" s="623"/>
      <c r="F6" s="623"/>
      <c r="G6" s="623"/>
      <c r="H6" s="623"/>
      <c r="I6" s="623"/>
      <c r="J6" s="623"/>
      <c r="K6" s="624"/>
      <c r="L6" s="625"/>
    </row>
    <row r="7" spans="2:12" ht="15.75">
      <c r="B7" s="705" t="s">
        <v>734</v>
      </c>
      <c r="C7" s="1770" t="s">
        <v>735</v>
      </c>
      <c r="D7" s="1770"/>
      <c r="E7" s="1770"/>
      <c r="F7" s="1770"/>
      <c r="G7" s="1770"/>
      <c r="H7" s="1770"/>
      <c r="I7" s="706"/>
      <c r="J7" s="706"/>
      <c r="K7" s="707"/>
      <c r="L7" s="708"/>
    </row>
    <row r="8" spans="2:12">
      <c r="B8" s="622"/>
      <c r="C8" s="623"/>
      <c r="D8" s="623"/>
      <c r="E8" s="623"/>
      <c r="F8" s="623"/>
      <c r="G8" s="623"/>
      <c r="H8" s="623"/>
      <c r="I8" s="623"/>
      <c r="J8" s="623"/>
      <c r="K8" s="624"/>
      <c r="L8" s="625"/>
    </row>
    <row r="9" spans="2:12" ht="15.75" customHeight="1">
      <c r="B9" s="709" t="s">
        <v>423</v>
      </c>
      <c r="C9" s="1771" t="s">
        <v>736</v>
      </c>
      <c r="D9" s="1771"/>
      <c r="E9" s="1771"/>
      <c r="F9" s="1771"/>
      <c r="G9" s="1771"/>
      <c r="H9" s="1771"/>
      <c r="I9" s="710"/>
      <c r="J9" s="710"/>
      <c r="K9" s="711" t="s">
        <v>737</v>
      </c>
      <c r="L9" s="712">
        <f>G40</f>
        <v>188</v>
      </c>
    </row>
    <row r="10" spans="2:12">
      <c r="B10" s="622"/>
      <c r="C10" s="623"/>
      <c r="K10" s="624"/>
      <c r="L10" s="625"/>
    </row>
    <row r="11" spans="2:12">
      <c r="B11" s="622"/>
      <c r="C11" s="623"/>
      <c r="K11" s="624"/>
      <c r="L11" s="625"/>
    </row>
    <row r="12" spans="2:12">
      <c r="B12" s="622"/>
      <c r="C12" s="623"/>
      <c r="K12" s="624"/>
      <c r="L12" s="625"/>
    </row>
    <row r="13" spans="2:12">
      <c r="B13" s="622"/>
      <c r="C13" s="623"/>
      <c r="K13" s="624"/>
      <c r="L13" s="625"/>
    </row>
    <row r="14" spans="2:12">
      <c r="B14" s="622"/>
      <c r="C14" s="623"/>
      <c r="K14" s="624"/>
      <c r="L14" s="625"/>
    </row>
    <row r="15" spans="2:12">
      <c r="B15" s="622"/>
      <c r="C15" s="623"/>
      <c r="K15" s="624"/>
      <c r="L15" s="625"/>
    </row>
    <row r="16" spans="2:12">
      <c r="B16" s="622"/>
      <c r="C16" s="623"/>
      <c r="K16" s="624"/>
      <c r="L16" s="625"/>
    </row>
    <row r="17" spans="2:12">
      <c r="B17" s="622"/>
      <c r="C17" s="623"/>
      <c r="K17" s="624"/>
      <c r="L17" s="625"/>
    </row>
    <row r="18" spans="2:12">
      <c r="B18" s="622"/>
      <c r="C18" s="623"/>
      <c r="K18" s="624"/>
      <c r="L18" s="625"/>
    </row>
    <row r="19" spans="2:12">
      <c r="B19" s="622"/>
      <c r="C19" s="623"/>
      <c r="K19" s="624"/>
      <c r="L19" s="625"/>
    </row>
    <row r="20" spans="2:12">
      <c r="B20" s="622"/>
      <c r="C20" s="623"/>
      <c r="K20" s="624"/>
      <c r="L20" s="625"/>
    </row>
    <row r="21" spans="2:12">
      <c r="B21" s="622"/>
      <c r="C21" s="623"/>
      <c r="K21" s="624"/>
      <c r="L21" s="625"/>
    </row>
    <row r="22" spans="2:12">
      <c r="B22" s="622"/>
      <c r="C22" s="623"/>
      <c r="K22" s="624"/>
      <c r="L22" s="625"/>
    </row>
    <row r="23" spans="2:12">
      <c r="B23" s="622"/>
      <c r="C23" s="623"/>
      <c r="K23" s="624"/>
      <c r="L23" s="625"/>
    </row>
    <row r="24" spans="2:12">
      <c r="B24" s="622"/>
      <c r="C24" s="623"/>
      <c r="K24" s="624"/>
      <c r="L24" s="625"/>
    </row>
    <row r="25" spans="2:12">
      <c r="B25" s="622"/>
      <c r="C25" s="623"/>
      <c r="K25" s="624"/>
      <c r="L25" s="625"/>
    </row>
    <row r="26" spans="2:12">
      <c r="B26" s="622"/>
      <c r="C26" s="623"/>
      <c r="K26" s="624"/>
      <c r="L26" s="625"/>
    </row>
    <row r="27" spans="2:12">
      <c r="B27" s="622"/>
      <c r="C27" s="623"/>
      <c r="K27" s="624"/>
      <c r="L27" s="625"/>
    </row>
    <row r="28" spans="2:12">
      <c r="B28" s="622"/>
      <c r="C28" s="623"/>
      <c r="K28" s="624"/>
      <c r="L28" s="625"/>
    </row>
    <row r="29" spans="2:12">
      <c r="B29" s="622"/>
      <c r="C29" s="623"/>
      <c r="K29" s="624"/>
      <c r="L29" s="625"/>
    </row>
    <row r="30" spans="2:12">
      <c r="B30" s="622"/>
      <c r="C30" s="623"/>
      <c r="K30" s="624"/>
      <c r="L30" s="625"/>
    </row>
    <row r="31" spans="2:12">
      <c r="B31" s="622"/>
      <c r="C31" s="623"/>
      <c r="K31" s="624"/>
      <c r="L31" s="625"/>
    </row>
    <row r="32" spans="2:12">
      <c r="B32" s="622"/>
      <c r="C32" s="623"/>
      <c r="K32" s="624"/>
      <c r="L32" s="625"/>
    </row>
    <row r="33" spans="2:12">
      <c r="B33" s="622"/>
      <c r="C33" s="623"/>
      <c r="K33" s="624"/>
      <c r="L33" s="625"/>
    </row>
    <row r="34" spans="2:12">
      <c r="B34" s="622"/>
      <c r="C34" s="623"/>
      <c r="K34" s="624"/>
      <c r="L34" s="625"/>
    </row>
    <row r="35" spans="2:12">
      <c r="B35" s="622"/>
      <c r="C35" s="623"/>
      <c r="K35" s="624"/>
      <c r="L35" s="625"/>
    </row>
    <row r="36" spans="2:12">
      <c r="B36" s="622"/>
      <c r="C36" s="623"/>
      <c r="K36" s="624"/>
      <c r="L36" s="625"/>
    </row>
    <row r="37" spans="2:12" ht="18">
      <c r="B37" s="638"/>
      <c r="C37" s="1815"/>
      <c r="D37" s="1910" t="s">
        <v>787</v>
      </c>
      <c r="E37" s="1910"/>
      <c r="F37" s="1910"/>
      <c r="G37" s="1820" t="s">
        <v>788</v>
      </c>
      <c r="H37" s="1820"/>
      <c r="K37" s="629"/>
      <c r="L37" s="630"/>
    </row>
    <row r="38" spans="2:12" ht="15.75">
      <c r="B38" s="638"/>
      <c r="C38" s="1815"/>
      <c r="D38" s="1823" t="s">
        <v>296</v>
      </c>
      <c r="E38" s="1823"/>
      <c r="F38" s="713" t="s">
        <v>789</v>
      </c>
      <c r="G38" s="1820"/>
      <c r="H38" s="1820"/>
      <c r="K38" s="629"/>
      <c r="L38" s="630"/>
    </row>
    <row r="39" spans="2:12" ht="24.75" customHeight="1">
      <c r="B39" s="638"/>
      <c r="C39" s="642"/>
      <c r="D39" s="1911" t="s">
        <v>790</v>
      </c>
      <c r="E39" s="1911"/>
      <c r="F39" s="714" t="s">
        <v>791</v>
      </c>
      <c r="G39" s="1912" t="s">
        <v>792</v>
      </c>
      <c r="H39" s="1912"/>
      <c r="K39" s="629"/>
      <c r="L39" s="630"/>
    </row>
    <row r="40" spans="2:12" ht="18">
      <c r="B40" s="641"/>
      <c r="D40" s="1925" t="s">
        <v>793</v>
      </c>
      <c r="E40" s="1925"/>
      <c r="F40" s="1925"/>
      <c r="G40" s="1926">
        <f>9.4*20</f>
        <v>188</v>
      </c>
      <c r="H40" s="1926"/>
      <c r="K40" s="631"/>
      <c r="L40" s="632"/>
    </row>
    <row r="41" spans="2:12">
      <c r="B41" s="622"/>
      <c r="C41" s="623"/>
      <c r="K41" s="624"/>
      <c r="L41" s="625"/>
    </row>
    <row r="42" spans="2:12" ht="15.75">
      <c r="B42" s="705" t="s">
        <v>743</v>
      </c>
      <c r="C42" s="1770" t="s">
        <v>744</v>
      </c>
      <c r="D42" s="1770"/>
      <c r="E42" s="1770"/>
      <c r="F42" s="1770"/>
      <c r="G42" s="1770"/>
      <c r="H42" s="1770"/>
      <c r="I42" s="706"/>
      <c r="J42" s="706"/>
      <c r="K42" s="707"/>
      <c r="L42" s="708"/>
    </row>
    <row r="43" spans="2:12">
      <c r="B43" s="622"/>
      <c r="C43" s="623"/>
      <c r="K43" s="624"/>
      <c r="L43" s="625"/>
    </row>
    <row r="44" spans="2:12">
      <c r="B44" s="622"/>
      <c r="C44" s="623"/>
      <c r="K44" s="624"/>
      <c r="L44" s="625"/>
    </row>
    <row r="45" spans="2:12">
      <c r="B45" s="622"/>
      <c r="C45" s="623"/>
      <c r="K45" s="624"/>
      <c r="L45" s="625"/>
    </row>
    <row r="46" spans="2:12">
      <c r="B46" s="622"/>
      <c r="C46" s="623"/>
      <c r="K46" s="624"/>
      <c r="L46" s="625"/>
    </row>
    <row r="47" spans="2:12">
      <c r="B47" s="622"/>
      <c r="C47" s="623"/>
      <c r="K47" s="624"/>
      <c r="L47" s="625"/>
    </row>
    <row r="48" spans="2:12">
      <c r="B48" s="622"/>
      <c r="C48" s="623"/>
      <c r="K48" s="624"/>
      <c r="L48" s="625"/>
    </row>
    <row r="49" spans="2:12">
      <c r="B49" s="622"/>
      <c r="C49" s="623"/>
      <c r="K49" s="624"/>
      <c r="L49" s="625"/>
    </row>
    <row r="50" spans="2:12">
      <c r="B50" s="622"/>
      <c r="C50" s="623"/>
      <c r="K50" s="624"/>
      <c r="L50" s="625"/>
    </row>
    <row r="51" spans="2:12">
      <c r="B51" s="622"/>
      <c r="C51" s="623"/>
      <c r="K51" s="624"/>
      <c r="L51" s="625"/>
    </row>
    <row r="52" spans="2:12">
      <c r="B52" s="622"/>
      <c r="C52" s="623"/>
      <c r="K52" s="624"/>
      <c r="L52" s="625"/>
    </row>
    <row r="53" spans="2:12">
      <c r="B53" s="622"/>
      <c r="C53" s="623"/>
      <c r="K53" s="624"/>
      <c r="L53" s="625"/>
    </row>
    <row r="54" spans="2:12">
      <c r="B54" s="622"/>
      <c r="C54" s="623"/>
      <c r="K54" s="624"/>
      <c r="L54" s="625"/>
    </row>
    <row r="55" spans="2:12">
      <c r="B55" s="622"/>
      <c r="C55" s="623"/>
      <c r="K55" s="624"/>
      <c r="L55" s="625"/>
    </row>
    <row r="56" spans="2:12">
      <c r="B56" s="622"/>
      <c r="C56" s="623"/>
      <c r="K56" s="624"/>
      <c r="L56" s="625"/>
    </row>
    <row r="57" spans="2:12">
      <c r="B57" s="622"/>
      <c r="C57" s="623"/>
      <c r="K57" s="624"/>
      <c r="L57" s="625"/>
    </row>
    <row r="58" spans="2:12">
      <c r="B58" s="622"/>
      <c r="C58" s="623"/>
      <c r="K58" s="624"/>
      <c r="L58" s="625"/>
    </row>
    <row r="59" spans="2:12">
      <c r="B59" s="622"/>
      <c r="C59" s="623"/>
      <c r="K59" s="624"/>
      <c r="L59" s="625"/>
    </row>
    <row r="60" spans="2:12">
      <c r="B60" s="622"/>
      <c r="C60" s="623"/>
      <c r="K60" s="624"/>
      <c r="L60" s="625"/>
    </row>
    <row r="61" spans="2:12">
      <c r="B61" s="622"/>
      <c r="C61" s="623"/>
      <c r="K61" s="624"/>
      <c r="L61" s="625"/>
    </row>
    <row r="62" spans="2:12">
      <c r="B62" s="622"/>
      <c r="C62" s="623"/>
      <c r="K62" s="624"/>
      <c r="L62" s="625"/>
    </row>
    <row r="63" spans="2:12">
      <c r="B63" s="622"/>
      <c r="C63" s="623"/>
      <c r="K63" s="624"/>
      <c r="L63" s="625"/>
    </row>
    <row r="64" spans="2:12">
      <c r="B64" s="622"/>
      <c r="C64" s="623"/>
      <c r="K64" s="624"/>
      <c r="L64" s="625"/>
    </row>
    <row r="65" spans="2:12">
      <c r="B65" s="622"/>
      <c r="C65" s="623"/>
      <c r="K65" s="624"/>
      <c r="L65" s="625"/>
    </row>
    <row r="66" spans="2:12">
      <c r="B66" s="622"/>
      <c r="C66" s="623"/>
      <c r="K66" s="624"/>
      <c r="L66" s="625"/>
    </row>
    <row r="67" spans="2:12">
      <c r="B67" s="622"/>
      <c r="C67" s="623"/>
      <c r="K67" s="624"/>
      <c r="L67" s="625"/>
    </row>
    <row r="68" spans="2:12" ht="15.75" customHeight="1">
      <c r="B68" s="709" t="s">
        <v>180</v>
      </c>
      <c r="C68" s="1771" t="s">
        <v>794</v>
      </c>
      <c r="D68" s="1771"/>
      <c r="E68" s="1771"/>
      <c r="F68" s="1771"/>
      <c r="G68" s="1771"/>
      <c r="H68" s="1771"/>
      <c r="I68" s="710"/>
      <c r="J68" s="710"/>
      <c r="K68" s="711" t="s">
        <v>2</v>
      </c>
      <c r="L68" s="712">
        <f>H98</f>
        <v>61.2</v>
      </c>
    </row>
    <row r="69" spans="2:12" ht="13.5" thickBot="1">
      <c r="B69" s="641"/>
      <c r="C69" s="640"/>
      <c r="K69" s="633"/>
      <c r="L69" s="645"/>
    </row>
    <row r="70" spans="2:12" ht="16.5" thickBot="1">
      <c r="B70" s="641"/>
      <c r="C70" s="653"/>
      <c r="D70" s="1885" t="s">
        <v>795</v>
      </c>
      <c r="E70" s="1886"/>
      <c r="F70" s="1886"/>
      <c r="G70" s="1886"/>
      <c r="H70" s="1887"/>
      <c r="K70" s="633"/>
      <c r="L70" s="634"/>
    </row>
    <row r="71" spans="2:12" ht="11.25" customHeight="1" thickBot="1">
      <c r="B71" s="641"/>
      <c r="C71" s="653"/>
      <c r="D71" s="1878"/>
      <c r="E71" s="1878"/>
      <c r="F71" s="1878"/>
      <c r="G71" s="1878"/>
      <c r="H71" s="1878"/>
      <c r="K71" s="633"/>
      <c r="L71" s="634"/>
    </row>
    <row r="72" spans="2:12" ht="15.75" thickBot="1">
      <c r="B72" s="641"/>
      <c r="C72" s="642"/>
      <c r="D72" s="1897" t="s">
        <v>796</v>
      </c>
      <c r="E72" s="1898"/>
      <c r="F72" s="1898"/>
      <c r="G72" s="1898"/>
      <c r="H72" s="1899"/>
      <c r="K72" s="633"/>
      <c r="L72" s="635"/>
    </row>
    <row r="73" spans="2:12" ht="15">
      <c r="B73" s="641"/>
      <c r="C73" s="642"/>
      <c r="D73" s="1900" t="s">
        <v>746</v>
      </c>
      <c r="E73" s="1901"/>
      <c r="F73" s="1901"/>
      <c r="G73" s="1901"/>
      <c r="H73" s="1902"/>
      <c r="K73" s="633"/>
      <c r="L73" s="635"/>
    </row>
    <row r="74" spans="2:12" ht="15">
      <c r="B74" s="641"/>
      <c r="C74" s="642"/>
      <c r="D74" s="1903" t="s">
        <v>797</v>
      </c>
      <c r="E74" s="1904"/>
      <c r="F74" s="715" t="s">
        <v>798</v>
      </c>
      <c r="G74" s="715" t="s">
        <v>732</v>
      </c>
      <c r="H74" s="716" t="s">
        <v>799</v>
      </c>
      <c r="K74" s="633"/>
      <c r="L74" s="635"/>
    </row>
    <row r="75" spans="2:12" ht="18">
      <c r="B75" s="641"/>
      <c r="C75" s="642"/>
      <c r="D75" s="1905">
        <v>2.84</v>
      </c>
      <c r="E75" s="1906"/>
      <c r="F75" s="717">
        <v>0.84</v>
      </c>
      <c r="G75" s="718">
        <v>4</v>
      </c>
      <c r="H75" s="719">
        <f>D75*F75*G75</f>
        <v>9.5399999999999991</v>
      </c>
      <c r="K75" s="633"/>
      <c r="L75" s="635"/>
    </row>
    <row r="76" spans="2:12" ht="15">
      <c r="B76" s="641"/>
      <c r="C76" s="642"/>
      <c r="D76" s="1907" t="s">
        <v>800</v>
      </c>
      <c r="E76" s="1908"/>
      <c r="F76" s="1908"/>
      <c r="G76" s="1908"/>
      <c r="H76" s="1909"/>
      <c r="K76" s="633"/>
      <c r="L76" s="635"/>
    </row>
    <row r="77" spans="2:12" ht="15">
      <c r="B77" s="641"/>
      <c r="C77" s="642"/>
      <c r="D77" s="1895" t="s">
        <v>801</v>
      </c>
      <c r="E77" s="1896"/>
      <c r="F77" s="715" t="s">
        <v>802</v>
      </c>
      <c r="G77" s="715" t="s">
        <v>732</v>
      </c>
      <c r="H77" s="716" t="s">
        <v>799</v>
      </c>
      <c r="K77" s="633"/>
      <c r="L77" s="635"/>
    </row>
    <row r="78" spans="2:12" ht="18">
      <c r="B78" s="641"/>
      <c r="C78" s="642"/>
      <c r="D78" s="720" t="s">
        <v>803</v>
      </c>
      <c r="E78" s="721">
        <f>2.8+2.8+0.84+0.84</f>
        <v>7.28</v>
      </c>
      <c r="F78" s="722">
        <v>0.5</v>
      </c>
      <c r="G78" s="718">
        <v>4</v>
      </c>
      <c r="H78" s="719">
        <f>E78*F78*G78</f>
        <v>14.56</v>
      </c>
      <c r="K78" s="633"/>
      <c r="L78" s="635"/>
    </row>
    <row r="79" spans="2:12" ht="18.75" thickBot="1">
      <c r="B79" s="641"/>
      <c r="C79" s="642"/>
      <c r="D79" s="723"/>
      <c r="E79" s="724"/>
      <c r="F79" s="725"/>
      <c r="G79" s="726" t="s">
        <v>21</v>
      </c>
      <c r="H79" s="727">
        <f>SUM(H75:H78)</f>
        <v>24.1</v>
      </c>
      <c r="K79" s="633"/>
      <c r="L79" s="635"/>
    </row>
    <row r="80" spans="2:12" ht="7.5" customHeight="1" thickBot="1">
      <c r="B80" s="641"/>
      <c r="C80" s="642"/>
      <c r="D80" s="728"/>
      <c r="E80" s="728"/>
      <c r="F80" s="729"/>
      <c r="G80" s="730"/>
      <c r="H80" s="731"/>
      <c r="K80" s="633"/>
      <c r="L80" s="635"/>
    </row>
    <row r="81" spans="2:12" ht="15.75" thickBot="1">
      <c r="B81" s="641"/>
      <c r="C81" s="642"/>
      <c r="D81" s="1897" t="s">
        <v>804</v>
      </c>
      <c r="E81" s="1898"/>
      <c r="F81" s="1898"/>
      <c r="G81" s="1898"/>
      <c r="H81" s="1899"/>
      <c r="K81" s="633"/>
      <c r="L81" s="635"/>
    </row>
    <row r="82" spans="2:12" ht="15">
      <c r="B82" s="641"/>
      <c r="C82" s="642"/>
      <c r="D82" s="1900" t="s">
        <v>746</v>
      </c>
      <c r="E82" s="1901"/>
      <c r="F82" s="1901"/>
      <c r="G82" s="1901"/>
      <c r="H82" s="1902"/>
      <c r="K82" s="633"/>
      <c r="L82" s="635"/>
    </row>
    <row r="83" spans="2:12" ht="15">
      <c r="B83" s="641"/>
      <c r="C83" s="642"/>
      <c r="D83" s="1903" t="s">
        <v>797</v>
      </c>
      <c r="E83" s="1904"/>
      <c r="F83" s="715" t="s">
        <v>798</v>
      </c>
      <c r="G83" s="715" t="s">
        <v>732</v>
      </c>
      <c r="H83" s="716" t="s">
        <v>799</v>
      </c>
      <c r="K83" s="633"/>
      <c r="L83" s="635"/>
    </row>
    <row r="84" spans="2:12" ht="18">
      <c r="B84" s="641"/>
      <c r="C84" s="642"/>
      <c r="D84" s="1905">
        <v>1.84</v>
      </c>
      <c r="E84" s="1906"/>
      <c r="F84" s="717">
        <v>0.84</v>
      </c>
      <c r="G84" s="718">
        <v>4</v>
      </c>
      <c r="H84" s="719">
        <f>D84*F84*G84</f>
        <v>6.18</v>
      </c>
      <c r="K84" s="633"/>
      <c r="L84" s="635"/>
    </row>
    <row r="85" spans="2:12" ht="15">
      <c r="B85" s="641"/>
      <c r="C85" s="642"/>
      <c r="D85" s="1907" t="s">
        <v>800</v>
      </c>
      <c r="E85" s="1908"/>
      <c r="F85" s="1908"/>
      <c r="G85" s="1908"/>
      <c r="H85" s="1909"/>
      <c r="K85" s="633"/>
      <c r="L85" s="635"/>
    </row>
    <row r="86" spans="2:12" ht="15">
      <c r="B86" s="641"/>
      <c r="C86" s="642"/>
      <c r="D86" s="1895" t="s">
        <v>801</v>
      </c>
      <c r="E86" s="1896"/>
      <c r="F86" s="715" t="s">
        <v>802</v>
      </c>
      <c r="G86" s="715" t="s">
        <v>732</v>
      </c>
      <c r="H86" s="716" t="s">
        <v>799</v>
      </c>
      <c r="K86" s="633"/>
      <c r="L86" s="635"/>
    </row>
    <row r="87" spans="2:12" ht="18">
      <c r="B87" s="641"/>
      <c r="C87" s="642"/>
      <c r="D87" s="720" t="s">
        <v>805</v>
      </c>
      <c r="E87" s="721">
        <f>1.8+1.8+0.84+0.84</f>
        <v>5.28</v>
      </c>
      <c r="F87" s="722">
        <v>0.7</v>
      </c>
      <c r="G87" s="718">
        <v>4</v>
      </c>
      <c r="H87" s="719">
        <f>E87*F87*G87</f>
        <v>14.78</v>
      </c>
      <c r="K87" s="633"/>
      <c r="L87" s="635"/>
    </row>
    <row r="88" spans="2:12" ht="18.75" thickBot="1">
      <c r="B88" s="641"/>
      <c r="C88" s="642"/>
      <c r="D88" s="723"/>
      <c r="E88" s="724"/>
      <c r="F88" s="725"/>
      <c r="G88" s="726" t="s">
        <v>21</v>
      </c>
      <c r="H88" s="727">
        <f>SUM(H84:H87)</f>
        <v>20.96</v>
      </c>
      <c r="K88" s="633"/>
      <c r="L88" s="635"/>
    </row>
    <row r="89" spans="2:12" ht="7.5" customHeight="1" thickBot="1">
      <c r="B89" s="641"/>
      <c r="C89" s="642"/>
      <c r="D89" s="1882"/>
      <c r="E89" s="1883"/>
      <c r="F89" s="1883"/>
      <c r="G89" s="1883"/>
      <c r="H89" s="1884"/>
      <c r="K89" s="633"/>
      <c r="L89" s="635"/>
    </row>
    <row r="90" spans="2:12" ht="15.75" thickBot="1">
      <c r="B90" s="641"/>
      <c r="C90" s="642"/>
      <c r="D90" s="1897" t="s">
        <v>806</v>
      </c>
      <c r="E90" s="1898"/>
      <c r="F90" s="1898"/>
      <c r="G90" s="1898"/>
      <c r="H90" s="1899"/>
      <c r="K90" s="633"/>
      <c r="L90" s="635"/>
    </row>
    <row r="91" spans="2:12" ht="15">
      <c r="B91" s="641"/>
      <c r="C91" s="642"/>
      <c r="D91" s="1900" t="s">
        <v>746</v>
      </c>
      <c r="E91" s="1901"/>
      <c r="F91" s="1901"/>
      <c r="G91" s="1901"/>
      <c r="H91" s="1902"/>
      <c r="K91" s="633"/>
      <c r="L91" s="635"/>
    </row>
    <row r="92" spans="2:12" ht="15">
      <c r="B92" s="641"/>
      <c r="C92" s="642"/>
      <c r="D92" s="1903" t="s">
        <v>797</v>
      </c>
      <c r="E92" s="1904"/>
      <c r="F92" s="715" t="s">
        <v>798</v>
      </c>
      <c r="G92" s="715" t="s">
        <v>732</v>
      </c>
      <c r="H92" s="716" t="s">
        <v>799</v>
      </c>
      <c r="K92" s="633"/>
      <c r="L92" s="635"/>
    </row>
    <row r="93" spans="2:12" ht="18">
      <c r="B93" s="641"/>
      <c r="C93" s="642"/>
      <c r="D93" s="1905">
        <v>0.84</v>
      </c>
      <c r="E93" s="1906"/>
      <c r="F93" s="717">
        <v>0.84</v>
      </c>
      <c r="G93" s="718">
        <v>8</v>
      </c>
      <c r="H93" s="719">
        <f>D93*F93*G93</f>
        <v>5.64</v>
      </c>
      <c r="K93" s="633"/>
      <c r="L93" s="635"/>
    </row>
    <row r="94" spans="2:12" ht="15">
      <c r="B94" s="641"/>
      <c r="C94" s="642"/>
      <c r="D94" s="1907" t="s">
        <v>800</v>
      </c>
      <c r="E94" s="1908"/>
      <c r="F94" s="1908"/>
      <c r="G94" s="1908"/>
      <c r="H94" s="1909"/>
      <c r="K94" s="633"/>
      <c r="L94" s="635"/>
    </row>
    <row r="95" spans="2:12" ht="15">
      <c r="B95" s="641"/>
      <c r="C95" s="642"/>
      <c r="D95" s="1895" t="s">
        <v>801</v>
      </c>
      <c r="E95" s="1896"/>
      <c r="F95" s="715" t="s">
        <v>802</v>
      </c>
      <c r="G95" s="715" t="s">
        <v>732</v>
      </c>
      <c r="H95" s="716" t="s">
        <v>799</v>
      </c>
      <c r="K95" s="633"/>
      <c r="L95" s="635"/>
    </row>
    <row r="96" spans="2:12" ht="18">
      <c r="B96" s="641"/>
      <c r="C96" s="642"/>
      <c r="D96" s="720" t="s">
        <v>807</v>
      </c>
      <c r="E96" s="732">
        <f>0.84+0.84+0.8+0.8</f>
        <v>3.28</v>
      </c>
      <c r="F96" s="717">
        <v>0.4</v>
      </c>
      <c r="G96" s="718">
        <v>8</v>
      </c>
      <c r="H96" s="719">
        <f>E96*F96*G96</f>
        <v>10.5</v>
      </c>
      <c r="K96" s="633"/>
      <c r="L96" s="635"/>
    </row>
    <row r="97" spans="2:15" ht="18.75" thickBot="1">
      <c r="B97" s="641"/>
      <c r="C97" s="642"/>
      <c r="D97" s="733"/>
      <c r="E97" s="734"/>
      <c r="F97" s="735"/>
      <c r="G97" s="736" t="s">
        <v>21</v>
      </c>
      <c r="H97" s="737">
        <f>SUM(H93:H96)</f>
        <v>16.14</v>
      </c>
      <c r="K97" s="633"/>
      <c r="L97" s="635"/>
    </row>
    <row r="98" spans="2:15" ht="21" thickBot="1">
      <c r="B98" s="641"/>
      <c r="D98" s="1843" t="s">
        <v>808</v>
      </c>
      <c r="E98" s="1844"/>
      <c r="F98" s="1844"/>
      <c r="G98" s="1844"/>
      <c r="H98" s="738">
        <f>H79+H97+H88</f>
        <v>61.2</v>
      </c>
      <c r="K98" s="633"/>
      <c r="L98" s="635"/>
    </row>
    <row r="99" spans="2:15">
      <c r="B99" s="626"/>
      <c r="C99" s="636"/>
      <c r="K99" s="633"/>
      <c r="L99" s="635"/>
    </row>
    <row r="100" spans="2:15" ht="36.75" customHeight="1">
      <c r="B100" s="709" t="s">
        <v>412</v>
      </c>
      <c r="C100" s="1771" t="s">
        <v>809</v>
      </c>
      <c r="D100" s="1771"/>
      <c r="E100" s="1771"/>
      <c r="F100" s="1771"/>
      <c r="G100" s="1771"/>
      <c r="H100" s="1771"/>
      <c r="I100" s="710"/>
      <c r="J100" s="710"/>
      <c r="K100" s="711" t="s">
        <v>747</v>
      </c>
      <c r="L100" s="712">
        <f>G105</f>
        <v>1185.75</v>
      </c>
    </row>
    <row r="101" spans="2:15">
      <c r="B101" s="641"/>
      <c r="C101" s="640"/>
      <c r="K101" s="631"/>
      <c r="L101" s="647"/>
    </row>
    <row r="102" spans="2:15" s="739" customFormat="1" ht="24.75" customHeight="1">
      <c r="B102" s="740"/>
      <c r="C102" s="741"/>
      <c r="D102" s="1828" t="s">
        <v>810</v>
      </c>
      <c r="E102" s="1829"/>
      <c r="F102" s="1829"/>
      <c r="G102" s="1829"/>
      <c r="H102" s="1830"/>
      <c r="K102" s="742"/>
      <c r="L102" s="743"/>
    </row>
    <row r="103" spans="2:15" s="739" customFormat="1" ht="24.75" customHeight="1">
      <c r="B103" s="740"/>
      <c r="C103" s="744"/>
      <c r="D103" s="1777" t="s">
        <v>811</v>
      </c>
      <c r="E103" s="1852"/>
      <c r="F103" s="1778"/>
      <c r="G103" s="1852">
        <v>1317.5</v>
      </c>
      <c r="H103" s="1778"/>
      <c r="K103" s="742"/>
      <c r="L103" s="743"/>
      <c r="N103" s="1798" t="s">
        <v>812</v>
      </c>
      <c r="O103" s="1798"/>
    </row>
    <row r="104" spans="2:15" s="739" customFormat="1" ht="24.75" customHeight="1">
      <c r="B104" s="740"/>
      <c r="D104" s="1855" t="s">
        <v>21</v>
      </c>
      <c r="E104" s="1856"/>
      <c r="F104" s="1857"/>
      <c r="G104" s="1893">
        <f>G103</f>
        <v>1317.5</v>
      </c>
      <c r="H104" s="1894"/>
      <c r="K104" s="742"/>
      <c r="L104" s="743"/>
      <c r="N104" s="1798"/>
      <c r="O104" s="1798"/>
    </row>
    <row r="105" spans="2:15" s="739" customFormat="1" ht="24.75" customHeight="1">
      <c r="B105" s="740"/>
      <c r="D105" s="1795" t="s">
        <v>813</v>
      </c>
      <c r="E105" s="1795"/>
      <c r="F105" s="1795"/>
      <c r="G105" s="1796">
        <f>G104-(G103*0.1)</f>
        <v>1185.75</v>
      </c>
      <c r="H105" s="1796"/>
      <c r="K105" s="742"/>
      <c r="L105" s="743"/>
      <c r="N105" s="745"/>
      <c r="O105" s="745"/>
    </row>
    <row r="106" spans="2:15">
      <c r="B106" s="626"/>
      <c r="C106" s="636"/>
      <c r="K106" s="633"/>
      <c r="L106" s="635"/>
    </row>
    <row r="107" spans="2:15">
      <c r="B107" s="626"/>
      <c r="C107" s="636"/>
      <c r="K107" s="633"/>
      <c r="L107" s="646"/>
    </row>
    <row r="108" spans="2:15" ht="15.75" customHeight="1">
      <c r="B108" s="709" t="s">
        <v>413</v>
      </c>
      <c r="C108" s="1771" t="s">
        <v>814</v>
      </c>
      <c r="D108" s="1771"/>
      <c r="E108" s="1771"/>
      <c r="F108" s="1771"/>
      <c r="G108" s="1771"/>
      <c r="H108" s="1771"/>
      <c r="I108" s="710"/>
      <c r="J108" s="710"/>
      <c r="K108" s="711" t="s">
        <v>0</v>
      </c>
      <c r="L108" s="712">
        <f>H115</f>
        <v>10.27</v>
      </c>
    </row>
    <row r="109" spans="2:15">
      <c r="B109" s="641"/>
      <c r="C109" s="640"/>
      <c r="K109" s="633"/>
      <c r="L109" s="645"/>
    </row>
    <row r="110" spans="2:15" ht="20.25" customHeight="1">
      <c r="B110" s="641"/>
      <c r="C110" s="640"/>
      <c r="D110" s="1891" t="s">
        <v>815</v>
      </c>
      <c r="E110" s="1891"/>
      <c r="F110" s="1891"/>
      <c r="G110" s="1891"/>
      <c r="H110" s="1891"/>
      <c r="K110" s="633"/>
      <c r="L110" s="645"/>
    </row>
    <row r="111" spans="2:15" ht="15">
      <c r="B111" s="641"/>
      <c r="C111" s="640"/>
      <c r="D111" s="746" t="s">
        <v>738</v>
      </c>
      <c r="E111" s="746" t="s">
        <v>296</v>
      </c>
      <c r="F111" s="746" t="s">
        <v>739</v>
      </c>
      <c r="G111" s="746" t="s">
        <v>732</v>
      </c>
      <c r="H111" s="746" t="s">
        <v>816</v>
      </c>
      <c r="K111" s="633"/>
      <c r="L111" s="645"/>
    </row>
    <row r="112" spans="2:15" ht="15">
      <c r="B112" s="641"/>
      <c r="C112" s="640"/>
      <c r="D112" s="747">
        <v>0.8</v>
      </c>
      <c r="E112" s="747">
        <v>0.8</v>
      </c>
      <c r="F112" s="748">
        <v>0.4</v>
      </c>
      <c r="G112" s="749">
        <v>8</v>
      </c>
      <c r="H112" s="750">
        <f>D112*E112*F112*G112</f>
        <v>2.0499999999999998</v>
      </c>
      <c r="K112" s="633"/>
      <c r="L112" s="645"/>
    </row>
    <row r="113" spans="2:15" ht="15">
      <c r="B113" s="641"/>
      <c r="C113" s="640"/>
      <c r="D113" s="751">
        <v>2.8</v>
      </c>
      <c r="E113" s="751">
        <v>0.8</v>
      </c>
      <c r="F113" s="752">
        <v>0.5</v>
      </c>
      <c r="G113" s="753">
        <v>4</v>
      </c>
      <c r="H113" s="754">
        <f>D113*E113*F113*G113</f>
        <v>4.4800000000000004</v>
      </c>
      <c r="K113" s="633"/>
      <c r="L113" s="645"/>
    </row>
    <row r="114" spans="2:15" ht="15">
      <c r="B114" s="641"/>
      <c r="C114" s="640"/>
      <c r="D114" s="755">
        <v>1.8</v>
      </c>
      <c r="E114" s="755">
        <v>0.8</v>
      </c>
      <c r="F114" s="756">
        <v>0.65</v>
      </c>
      <c r="G114" s="757">
        <v>4</v>
      </c>
      <c r="H114" s="755">
        <f>D114*E114*F114*G114</f>
        <v>3.74</v>
      </c>
      <c r="K114" s="633"/>
      <c r="L114" s="645"/>
    </row>
    <row r="115" spans="2:15" ht="15.75">
      <c r="B115" s="641"/>
      <c r="C115" s="640"/>
      <c r="D115" s="1892" t="s">
        <v>817</v>
      </c>
      <c r="E115" s="1892"/>
      <c r="F115" s="1892"/>
      <c r="G115" s="1892"/>
      <c r="H115" s="758">
        <f>SUM(H112:H114)</f>
        <v>10.27</v>
      </c>
      <c r="K115" s="633"/>
      <c r="L115" s="645"/>
    </row>
    <row r="116" spans="2:15">
      <c r="B116" s="641"/>
      <c r="C116" s="640"/>
      <c r="K116" s="633"/>
      <c r="L116" s="645"/>
    </row>
    <row r="117" spans="2:15" ht="15.75">
      <c r="B117" s="705" t="s">
        <v>748</v>
      </c>
      <c r="C117" s="1770" t="s">
        <v>765</v>
      </c>
      <c r="D117" s="1770"/>
      <c r="E117" s="1770"/>
      <c r="F117" s="1770"/>
      <c r="G117" s="1770"/>
      <c r="H117" s="1770"/>
      <c r="I117" s="706"/>
      <c r="J117" s="706"/>
      <c r="K117" s="707"/>
      <c r="L117" s="708"/>
    </row>
    <row r="118" spans="2:15">
      <c r="B118" s="626"/>
      <c r="C118" s="636"/>
      <c r="K118" s="633"/>
      <c r="L118" s="635"/>
    </row>
    <row r="119" spans="2:15" ht="32.25" customHeight="1">
      <c r="B119" s="709" t="s">
        <v>749</v>
      </c>
      <c r="C119" s="1771" t="s">
        <v>809</v>
      </c>
      <c r="D119" s="1771"/>
      <c r="E119" s="1771"/>
      <c r="F119" s="1771"/>
      <c r="G119" s="1771"/>
      <c r="H119" s="1771"/>
      <c r="I119" s="710"/>
      <c r="J119" s="710"/>
      <c r="K119" s="711" t="s">
        <v>747</v>
      </c>
      <c r="L119" s="712">
        <f>G124</f>
        <v>183.64</v>
      </c>
    </row>
    <row r="120" spans="2:15">
      <c r="B120" s="641"/>
      <c r="C120" s="640"/>
      <c r="K120" s="631"/>
      <c r="L120" s="647"/>
    </row>
    <row r="121" spans="2:15" ht="20.25" customHeight="1">
      <c r="B121" s="641"/>
      <c r="C121" s="653"/>
      <c r="D121" s="1828" t="s">
        <v>818</v>
      </c>
      <c r="E121" s="1829"/>
      <c r="F121" s="1829"/>
      <c r="G121" s="1829"/>
      <c r="H121" s="1830"/>
      <c r="K121" s="633"/>
      <c r="L121" s="635"/>
    </row>
    <row r="122" spans="2:15" ht="20.25" customHeight="1">
      <c r="B122" s="641"/>
      <c r="C122" s="642"/>
      <c r="D122" s="1777" t="s">
        <v>819</v>
      </c>
      <c r="E122" s="1852"/>
      <c r="F122" s="1778"/>
      <c r="G122" s="1852">
        <v>202</v>
      </c>
      <c r="H122" s="1778"/>
      <c r="K122" s="633"/>
      <c r="L122" s="635"/>
    </row>
    <row r="123" spans="2:15" ht="20.25" customHeight="1">
      <c r="B123" s="641"/>
      <c r="D123" s="1831" t="s">
        <v>21</v>
      </c>
      <c r="E123" s="1832"/>
      <c r="F123" s="1875"/>
      <c r="G123" s="1888">
        <f>G122</f>
        <v>202</v>
      </c>
      <c r="H123" s="1889"/>
      <c r="K123" s="633"/>
      <c r="L123" s="635"/>
    </row>
    <row r="124" spans="2:15" s="739" customFormat="1" ht="24.75" customHeight="1">
      <c r="B124" s="740"/>
      <c r="D124" s="1795" t="s">
        <v>813</v>
      </c>
      <c r="E124" s="1795"/>
      <c r="F124" s="1795"/>
      <c r="G124" s="1890">
        <f>G123/1.1</f>
        <v>183.64</v>
      </c>
      <c r="H124" s="1890"/>
      <c r="K124" s="742"/>
      <c r="L124" s="743"/>
      <c r="N124" s="745"/>
      <c r="O124" s="745"/>
    </row>
    <row r="125" spans="2:15" ht="15.75">
      <c r="B125" s="709"/>
      <c r="C125" s="710"/>
      <c r="D125" s="710"/>
      <c r="E125" s="710"/>
      <c r="F125" s="710"/>
      <c r="G125" s="710"/>
      <c r="H125" s="710"/>
      <c r="I125" s="710"/>
      <c r="J125" s="710"/>
      <c r="K125" s="759"/>
      <c r="L125" s="760"/>
    </row>
    <row r="126" spans="2:15" ht="15.75">
      <c r="B126" s="705" t="s">
        <v>750</v>
      </c>
      <c r="C126" s="1770" t="s">
        <v>820</v>
      </c>
      <c r="D126" s="1770"/>
      <c r="E126" s="1770"/>
      <c r="F126" s="1770"/>
      <c r="G126" s="1770"/>
      <c r="H126" s="1770"/>
      <c r="I126" s="706"/>
      <c r="J126" s="706"/>
      <c r="K126" s="707"/>
      <c r="L126" s="708"/>
    </row>
    <row r="127" spans="2:15" ht="15">
      <c r="B127" s="761"/>
      <c r="K127" s="624"/>
      <c r="L127" s="625"/>
    </row>
    <row r="128" spans="2:15" ht="15">
      <c r="B128" s="761"/>
      <c r="K128" s="624"/>
      <c r="L128" s="625"/>
    </row>
    <row r="129" spans="2:12" ht="15">
      <c r="B129" s="761"/>
      <c r="K129" s="624"/>
      <c r="L129" s="625"/>
    </row>
    <row r="130" spans="2:12" ht="15">
      <c r="B130" s="761"/>
      <c r="K130" s="624"/>
      <c r="L130" s="625"/>
    </row>
    <row r="131" spans="2:12" ht="15">
      <c r="B131" s="761"/>
      <c r="K131" s="624"/>
      <c r="L131" s="625"/>
    </row>
    <row r="132" spans="2:12" ht="15">
      <c r="B132" s="761"/>
      <c r="K132" s="624"/>
      <c r="L132" s="625"/>
    </row>
    <row r="133" spans="2:12" ht="15">
      <c r="B133" s="761"/>
      <c r="K133" s="624"/>
      <c r="L133" s="625"/>
    </row>
    <row r="134" spans="2:12" ht="15">
      <c r="B134" s="761"/>
      <c r="K134" s="624"/>
      <c r="L134" s="625"/>
    </row>
    <row r="135" spans="2:12" ht="15">
      <c r="B135" s="761"/>
      <c r="K135" s="624"/>
      <c r="L135" s="625"/>
    </row>
    <row r="136" spans="2:12" ht="15">
      <c r="B136" s="761"/>
      <c r="K136" s="624"/>
      <c r="L136" s="625"/>
    </row>
    <row r="137" spans="2:12" ht="15">
      <c r="B137" s="761"/>
      <c r="K137" s="624"/>
      <c r="L137" s="625"/>
    </row>
    <row r="138" spans="2:12" ht="15">
      <c r="B138" s="761"/>
      <c r="K138" s="624"/>
      <c r="L138" s="625"/>
    </row>
    <row r="139" spans="2:12" ht="15">
      <c r="B139" s="761"/>
      <c r="K139" s="624"/>
      <c r="L139" s="625"/>
    </row>
    <row r="140" spans="2:12" ht="15">
      <c r="B140" s="761"/>
      <c r="K140" s="624"/>
      <c r="L140" s="625"/>
    </row>
    <row r="141" spans="2:12" ht="15">
      <c r="B141" s="761"/>
      <c r="K141" s="624"/>
      <c r="L141" s="625"/>
    </row>
    <row r="142" spans="2:12" ht="15">
      <c r="B142" s="761"/>
      <c r="K142" s="624"/>
      <c r="L142" s="625"/>
    </row>
    <row r="143" spans="2:12" ht="15">
      <c r="B143" s="761"/>
      <c r="K143" s="624"/>
      <c r="L143" s="625"/>
    </row>
    <row r="144" spans="2:12" ht="15">
      <c r="B144" s="761"/>
      <c r="K144" s="624"/>
      <c r="L144" s="625"/>
    </row>
    <row r="145" spans="2:12" ht="15">
      <c r="B145" s="761"/>
      <c r="K145" s="624"/>
      <c r="L145" s="625"/>
    </row>
    <row r="146" spans="2:12" ht="15">
      <c r="B146" s="761"/>
      <c r="K146" s="624"/>
      <c r="L146" s="625"/>
    </row>
    <row r="147" spans="2:12" ht="15">
      <c r="B147" s="761"/>
      <c r="K147" s="624"/>
      <c r="L147" s="625"/>
    </row>
    <row r="148" spans="2:12" ht="15">
      <c r="B148" s="761"/>
      <c r="K148" s="624"/>
      <c r="L148" s="625"/>
    </row>
    <row r="149" spans="2:12" ht="15.75" customHeight="1">
      <c r="B149" s="709" t="s">
        <v>751</v>
      </c>
      <c r="C149" s="1771" t="s">
        <v>794</v>
      </c>
      <c r="D149" s="1771"/>
      <c r="E149" s="1771"/>
      <c r="F149" s="1771"/>
      <c r="G149" s="1771"/>
      <c r="H149" s="1771"/>
      <c r="I149" s="710"/>
      <c r="J149" s="710"/>
      <c r="K149" s="711" t="s">
        <v>2</v>
      </c>
      <c r="L149" s="712">
        <f>H164</f>
        <v>393.96</v>
      </c>
    </row>
    <row r="150" spans="2:12" ht="16.5" thickBot="1">
      <c r="B150" s="762"/>
      <c r="K150" s="763"/>
      <c r="L150" s="764"/>
    </row>
    <row r="151" spans="2:12" ht="16.5" thickBot="1">
      <c r="B151" s="641"/>
      <c r="C151" s="653"/>
      <c r="D151" s="1885" t="s">
        <v>821</v>
      </c>
      <c r="E151" s="1886"/>
      <c r="F151" s="1886"/>
      <c r="G151" s="1886"/>
      <c r="H151" s="1887"/>
      <c r="K151" s="633"/>
      <c r="L151" s="634"/>
    </row>
    <row r="152" spans="2:12" ht="16.5" thickBot="1">
      <c r="B152" s="641"/>
      <c r="C152" s="653"/>
      <c r="D152" s="1878"/>
      <c r="E152" s="1878"/>
      <c r="F152" s="1878"/>
      <c r="G152" s="1878"/>
      <c r="H152" s="1878"/>
      <c r="K152" s="633"/>
      <c r="L152" s="634"/>
    </row>
    <row r="153" spans="2:12" ht="16.5" thickBot="1">
      <c r="B153" s="641"/>
      <c r="C153" s="642"/>
      <c r="D153" s="1843" t="s">
        <v>822</v>
      </c>
      <c r="E153" s="1844"/>
      <c r="F153" s="1844"/>
      <c r="G153" s="1844"/>
      <c r="H153" s="1845"/>
      <c r="K153" s="633"/>
      <c r="L153" s="635"/>
    </row>
    <row r="154" spans="2:12" ht="15">
      <c r="B154" s="641"/>
      <c r="C154" s="642"/>
      <c r="D154" s="1867" t="s">
        <v>823</v>
      </c>
      <c r="E154" s="1868"/>
      <c r="F154" s="746" t="s">
        <v>738</v>
      </c>
      <c r="G154" s="746" t="s">
        <v>732</v>
      </c>
      <c r="H154" s="766" t="s">
        <v>21</v>
      </c>
      <c r="K154" s="633"/>
      <c r="L154" s="635"/>
    </row>
    <row r="155" spans="2:12" ht="15">
      <c r="B155" s="641"/>
      <c r="C155" s="642"/>
      <c r="D155" s="767" t="s">
        <v>824</v>
      </c>
      <c r="E155" s="768">
        <f>1.04 + 0.2 + 1.04</f>
        <v>2.2799999999999998</v>
      </c>
      <c r="F155" s="748">
        <v>20</v>
      </c>
      <c r="G155" s="769">
        <v>2</v>
      </c>
      <c r="H155" s="770">
        <f>E155*F155*G155</f>
        <v>91.2</v>
      </c>
      <c r="K155" s="633"/>
      <c r="L155" s="635"/>
    </row>
    <row r="156" spans="2:12" ht="15">
      <c r="B156" s="641"/>
      <c r="C156" s="642"/>
      <c r="D156" s="771" t="s">
        <v>825</v>
      </c>
      <c r="E156" s="772">
        <f>1.24 + 0.2 + 1.24</f>
        <v>2.68</v>
      </c>
      <c r="F156" s="773">
        <v>20</v>
      </c>
      <c r="G156" s="774">
        <v>4</v>
      </c>
      <c r="H156" s="775">
        <f>E156*F156*G156</f>
        <v>214.4</v>
      </c>
      <c r="K156" s="633"/>
      <c r="L156" s="635"/>
    </row>
    <row r="157" spans="2:12" ht="18.75" thickBot="1">
      <c r="B157" s="641"/>
      <c r="C157" s="642"/>
      <c r="D157" s="776"/>
      <c r="E157" s="777"/>
      <c r="F157" s="725"/>
      <c r="G157" s="726" t="s">
        <v>21</v>
      </c>
      <c r="H157" s="727">
        <f>SUM(H155:H156)</f>
        <v>305.60000000000002</v>
      </c>
      <c r="K157" s="633"/>
      <c r="L157" s="635"/>
    </row>
    <row r="158" spans="2:12" ht="15.75" thickBot="1">
      <c r="B158" s="641"/>
      <c r="C158" s="642"/>
      <c r="D158" s="1882"/>
      <c r="E158" s="1883"/>
      <c r="F158" s="1883"/>
      <c r="G158" s="1883"/>
      <c r="H158" s="1884"/>
      <c r="K158" s="633"/>
      <c r="L158" s="635"/>
    </row>
    <row r="159" spans="2:12" ht="16.5" thickBot="1">
      <c r="B159" s="641"/>
      <c r="C159" s="642"/>
      <c r="D159" s="1843" t="s">
        <v>826</v>
      </c>
      <c r="E159" s="1844"/>
      <c r="F159" s="1844"/>
      <c r="G159" s="1844"/>
      <c r="H159" s="1845"/>
      <c r="K159" s="633"/>
      <c r="L159" s="635"/>
    </row>
    <row r="160" spans="2:12" ht="15">
      <c r="B160" s="641"/>
      <c r="C160" s="642"/>
      <c r="D160" s="1867" t="s">
        <v>823</v>
      </c>
      <c r="E160" s="1868"/>
      <c r="F160" s="746" t="s">
        <v>738</v>
      </c>
      <c r="G160" s="746" t="s">
        <v>732</v>
      </c>
      <c r="H160" s="766" t="s">
        <v>21</v>
      </c>
      <c r="K160" s="633"/>
      <c r="L160" s="635"/>
    </row>
    <row r="161" spans="2:15" ht="15">
      <c r="B161" s="641"/>
      <c r="C161" s="642"/>
      <c r="D161" s="767" t="s">
        <v>827</v>
      </c>
      <c r="E161" s="768">
        <f>1.04 + 0.25 + 1.04</f>
        <v>2.33</v>
      </c>
      <c r="F161" s="748">
        <v>9.4</v>
      </c>
      <c r="G161" s="769">
        <v>2</v>
      </c>
      <c r="H161" s="770">
        <f>E161*F161*G161</f>
        <v>43.8</v>
      </c>
      <c r="K161" s="633"/>
      <c r="L161" s="635"/>
    </row>
    <row r="162" spans="2:15" ht="15">
      <c r="B162" s="641"/>
      <c r="C162" s="642"/>
      <c r="D162" s="771" t="s">
        <v>828</v>
      </c>
      <c r="E162" s="772">
        <f>0.64 + 0.3 + 0.64</f>
        <v>1.58</v>
      </c>
      <c r="F162" s="756">
        <v>9.4</v>
      </c>
      <c r="G162" s="774">
        <v>3</v>
      </c>
      <c r="H162" s="775">
        <f>E162*F162*G162</f>
        <v>44.56</v>
      </c>
      <c r="K162" s="633"/>
      <c r="L162" s="635"/>
    </row>
    <row r="163" spans="2:15" ht="18.75" thickBot="1">
      <c r="B163" s="641"/>
      <c r="C163" s="642"/>
      <c r="D163" s="776"/>
      <c r="E163" s="777"/>
      <c r="F163" s="725"/>
      <c r="G163" s="726" t="s">
        <v>21</v>
      </c>
      <c r="H163" s="727">
        <f>SUM(H161:H162)</f>
        <v>88.36</v>
      </c>
      <c r="K163" s="633"/>
      <c r="L163" s="635"/>
    </row>
    <row r="164" spans="2:15" ht="18.75" thickBot="1">
      <c r="B164" s="641"/>
      <c r="D164" s="1843" t="s">
        <v>808</v>
      </c>
      <c r="E164" s="1844"/>
      <c r="F164" s="1844"/>
      <c r="G164" s="1844"/>
      <c r="H164" s="778">
        <f>H157+H163</f>
        <v>393.96</v>
      </c>
      <c r="K164" s="633"/>
      <c r="L164" s="635"/>
    </row>
    <row r="165" spans="2:15">
      <c r="B165" s="779"/>
      <c r="K165" s="649"/>
      <c r="L165" s="650"/>
    </row>
    <row r="166" spans="2:15" ht="32.25" customHeight="1">
      <c r="B166" s="709" t="s">
        <v>752</v>
      </c>
      <c r="C166" s="1771" t="s">
        <v>829</v>
      </c>
      <c r="D166" s="1771"/>
      <c r="E166" s="1771"/>
      <c r="F166" s="1771"/>
      <c r="G166" s="1771"/>
      <c r="H166" s="1771"/>
      <c r="I166" s="710"/>
      <c r="J166" s="710"/>
      <c r="K166" s="711" t="s">
        <v>763</v>
      </c>
      <c r="L166" s="712">
        <f>G171</f>
        <v>3041.1</v>
      </c>
    </row>
    <row r="167" spans="2:15">
      <c r="B167" s="762"/>
      <c r="C167" s="780"/>
      <c r="K167" s="627"/>
      <c r="L167" s="628"/>
    </row>
    <row r="168" spans="2:15" ht="24" customHeight="1">
      <c r="B168" s="641"/>
      <c r="C168" s="653"/>
      <c r="D168" s="1828" t="s">
        <v>810</v>
      </c>
      <c r="E168" s="1829"/>
      <c r="F168" s="1829"/>
      <c r="G168" s="1829"/>
      <c r="H168" s="1830"/>
      <c r="K168" s="633"/>
      <c r="L168" s="635"/>
    </row>
    <row r="169" spans="2:15" ht="15">
      <c r="B169" s="641"/>
      <c r="C169" s="642"/>
      <c r="D169" s="1777" t="s">
        <v>830</v>
      </c>
      <c r="E169" s="1852"/>
      <c r="F169" s="1778"/>
      <c r="G169" s="1873">
        <v>3379</v>
      </c>
      <c r="H169" s="1874"/>
      <c r="K169" s="633"/>
      <c r="L169" s="635"/>
    </row>
    <row r="170" spans="2:15" ht="18">
      <c r="B170" s="641"/>
      <c r="D170" s="1831" t="s">
        <v>21</v>
      </c>
      <c r="E170" s="1832"/>
      <c r="F170" s="1875"/>
      <c r="G170" s="1858">
        <f>G169</f>
        <v>3379</v>
      </c>
      <c r="H170" s="1859"/>
      <c r="K170" s="633"/>
      <c r="L170" s="635"/>
    </row>
    <row r="171" spans="2:15" s="739" customFormat="1" ht="24.75" customHeight="1">
      <c r="B171" s="740"/>
      <c r="D171" s="1795" t="s">
        <v>813</v>
      </c>
      <c r="E171" s="1795"/>
      <c r="F171" s="1795"/>
      <c r="G171" s="1796">
        <f>G170-(G169*0.1)</f>
        <v>3041.1</v>
      </c>
      <c r="H171" s="1796"/>
      <c r="K171" s="742"/>
      <c r="L171" s="743"/>
      <c r="N171" s="745"/>
      <c r="O171" s="745"/>
    </row>
    <row r="172" spans="2:15">
      <c r="B172" s="641"/>
      <c r="C172" s="640"/>
      <c r="K172" s="633"/>
      <c r="L172" s="645"/>
    </row>
    <row r="173" spans="2:15" ht="15.75" customHeight="1">
      <c r="B173" s="709" t="s">
        <v>753</v>
      </c>
      <c r="C173" s="1771" t="s">
        <v>814</v>
      </c>
      <c r="D173" s="1771"/>
      <c r="E173" s="1771"/>
      <c r="F173" s="1771"/>
      <c r="G173" s="1771"/>
      <c r="H173" s="1771"/>
      <c r="I173" s="710"/>
      <c r="J173" s="710"/>
      <c r="K173" s="711" t="s">
        <v>0</v>
      </c>
      <c r="L173" s="712">
        <f>H188</f>
        <v>46.58</v>
      </c>
    </row>
    <row r="174" spans="2:15" ht="16.5" thickBot="1">
      <c r="B174" s="762"/>
      <c r="K174" s="763"/>
      <c r="L174" s="781"/>
    </row>
    <row r="175" spans="2:15" ht="16.5" thickBot="1">
      <c r="B175" s="641"/>
      <c r="C175" s="653"/>
      <c r="D175" s="1885" t="s">
        <v>831</v>
      </c>
      <c r="E175" s="1886"/>
      <c r="F175" s="1886"/>
      <c r="G175" s="1886"/>
      <c r="H175" s="1887"/>
      <c r="K175" s="633"/>
      <c r="L175" s="634"/>
    </row>
    <row r="176" spans="2:15" ht="16.5" thickBot="1">
      <c r="B176" s="641"/>
      <c r="C176" s="653"/>
      <c r="D176" s="1878"/>
      <c r="E176" s="1878"/>
      <c r="F176" s="1878"/>
      <c r="G176" s="1878"/>
      <c r="H176" s="1878"/>
      <c r="K176" s="633"/>
      <c r="L176" s="634"/>
    </row>
    <row r="177" spans="2:12" ht="16.5" thickBot="1">
      <c r="B177" s="641"/>
      <c r="C177" s="642"/>
      <c r="D177" s="1879" t="s">
        <v>822</v>
      </c>
      <c r="E177" s="1880"/>
      <c r="F177" s="1880"/>
      <c r="G177" s="1880"/>
      <c r="H177" s="1881"/>
      <c r="K177" s="633"/>
      <c r="L177" s="635"/>
    </row>
    <row r="178" spans="2:12" ht="15">
      <c r="B178" s="641"/>
      <c r="C178" s="642"/>
      <c r="D178" s="765" t="s">
        <v>738</v>
      </c>
      <c r="E178" s="746" t="s">
        <v>296</v>
      </c>
      <c r="F178" s="746" t="s">
        <v>739</v>
      </c>
      <c r="G178" s="746" t="s">
        <v>732</v>
      </c>
      <c r="H178" s="766" t="s">
        <v>21</v>
      </c>
      <c r="K178" s="633"/>
      <c r="L178" s="635"/>
    </row>
    <row r="179" spans="2:12" ht="15">
      <c r="B179" s="641"/>
      <c r="C179" s="642"/>
      <c r="D179" s="782">
        <v>20</v>
      </c>
      <c r="E179" s="748">
        <v>0.2</v>
      </c>
      <c r="F179" s="747">
        <v>1</v>
      </c>
      <c r="G179" s="769">
        <v>2</v>
      </c>
      <c r="H179" s="770">
        <f>D179*E179*F179*G179</f>
        <v>8</v>
      </c>
      <c r="K179" s="633"/>
      <c r="L179" s="635"/>
    </row>
    <row r="180" spans="2:12" ht="15">
      <c r="B180" s="641"/>
      <c r="C180" s="642"/>
      <c r="D180" s="783">
        <v>20</v>
      </c>
      <c r="E180" s="756">
        <v>0.3</v>
      </c>
      <c r="F180" s="755">
        <v>1.2</v>
      </c>
      <c r="G180" s="774">
        <v>4</v>
      </c>
      <c r="H180" s="775">
        <f>D180*E180*F180*G180</f>
        <v>28.8</v>
      </c>
      <c r="K180" s="633"/>
      <c r="L180" s="635"/>
    </row>
    <row r="181" spans="2:12" ht="18.75" thickBot="1">
      <c r="B181" s="641"/>
      <c r="C181" s="642"/>
      <c r="D181" s="776"/>
      <c r="E181" s="777"/>
      <c r="F181" s="725"/>
      <c r="G181" s="726" t="s">
        <v>21</v>
      </c>
      <c r="H181" s="727">
        <f>SUM(H178:H180)</f>
        <v>36.799999999999997</v>
      </c>
      <c r="K181" s="633"/>
      <c r="L181" s="635"/>
    </row>
    <row r="182" spans="2:12" ht="15.75" thickBot="1">
      <c r="B182" s="641"/>
      <c r="C182" s="642"/>
      <c r="D182" s="1882"/>
      <c r="E182" s="1883"/>
      <c r="F182" s="1883"/>
      <c r="G182" s="1883"/>
      <c r="H182" s="1884"/>
      <c r="K182" s="633"/>
      <c r="L182" s="635"/>
    </row>
    <row r="183" spans="2:12" ht="16.5" thickBot="1">
      <c r="B183" s="641"/>
      <c r="C183" s="642"/>
      <c r="D183" s="1879" t="s">
        <v>826</v>
      </c>
      <c r="E183" s="1880"/>
      <c r="F183" s="1880"/>
      <c r="G183" s="1880"/>
      <c r="H183" s="1881"/>
      <c r="K183" s="633"/>
      <c r="L183" s="635"/>
    </row>
    <row r="184" spans="2:12" ht="15">
      <c r="B184" s="641"/>
      <c r="C184" s="642"/>
      <c r="D184" s="765" t="s">
        <v>738</v>
      </c>
      <c r="E184" s="746" t="s">
        <v>296</v>
      </c>
      <c r="F184" s="746" t="s">
        <v>739</v>
      </c>
      <c r="G184" s="746" t="s">
        <v>732</v>
      </c>
      <c r="H184" s="766" t="s">
        <v>21</v>
      </c>
      <c r="K184" s="633"/>
      <c r="L184" s="635"/>
    </row>
    <row r="185" spans="2:12" ht="15">
      <c r="B185" s="641"/>
      <c r="C185" s="642"/>
      <c r="D185" s="782">
        <v>9.4</v>
      </c>
      <c r="E185" s="748">
        <v>0.25</v>
      </c>
      <c r="F185" s="747">
        <v>1</v>
      </c>
      <c r="G185" s="769">
        <v>2</v>
      </c>
      <c r="H185" s="770">
        <f>D185*E185*F185*G185</f>
        <v>4.7</v>
      </c>
      <c r="K185" s="633"/>
      <c r="L185" s="635"/>
    </row>
    <row r="186" spans="2:12" ht="15">
      <c r="B186" s="641"/>
      <c r="C186" s="642"/>
      <c r="D186" s="783">
        <v>9.4</v>
      </c>
      <c r="E186" s="756">
        <v>0.3</v>
      </c>
      <c r="F186" s="755">
        <v>0.6</v>
      </c>
      <c r="G186" s="774">
        <v>3</v>
      </c>
      <c r="H186" s="775">
        <f>D186*E186*F186*G186</f>
        <v>5.08</v>
      </c>
      <c r="K186" s="633"/>
      <c r="L186" s="635"/>
    </row>
    <row r="187" spans="2:12" ht="18.75" thickBot="1">
      <c r="B187" s="641"/>
      <c r="C187" s="642"/>
      <c r="D187" s="776"/>
      <c r="E187" s="777"/>
      <c r="F187" s="725"/>
      <c r="G187" s="726" t="s">
        <v>21</v>
      </c>
      <c r="H187" s="727">
        <f>SUM(H185:H186)</f>
        <v>9.7799999999999994</v>
      </c>
      <c r="K187" s="633"/>
      <c r="L187" s="635"/>
    </row>
    <row r="188" spans="2:12" ht="18.75" thickBot="1">
      <c r="B188" s="641"/>
      <c r="D188" s="1843" t="s">
        <v>808</v>
      </c>
      <c r="E188" s="1844"/>
      <c r="F188" s="1844"/>
      <c r="G188" s="1844"/>
      <c r="H188" s="778">
        <f>H181+H187</f>
        <v>46.58</v>
      </c>
      <c r="K188" s="633"/>
      <c r="L188" s="635"/>
    </row>
    <row r="189" spans="2:12">
      <c r="B189" s="622"/>
      <c r="C189" s="654"/>
      <c r="K189" s="624"/>
      <c r="L189" s="625"/>
    </row>
    <row r="190" spans="2:12" ht="15.75">
      <c r="B190" s="705" t="s">
        <v>832</v>
      </c>
      <c r="C190" s="1770" t="s">
        <v>833</v>
      </c>
      <c r="D190" s="1770"/>
      <c r="E190" s="1770"/>
      <c r="F190" s="1770"/>
      <c r="G190" s="1770"/>
      <c r="H190" s="1770"/>
      <c r="I190" s="706"/>
      <c r="J190" s="706"/>
      <c r="K190" s="707"/>
      <c r="L190" s="708"/>
    </row>
    <row r="191" spans="2:12">
      <c r="B191" s="784"/>
      <c r="C191" s="643"/>
      <c r="K191" s="637"/>
      <c r="L191" s="785"/>
    </row>
    <row r="192" spans="2:12" ht="15.75" customHeight="1">
      <c r="B192" s="709" t="s">
        <v>834</v>
      </c>
      <c r="C192" s="1771" t="s">
        <v>835</v>
      </c>
      <c r="D192" s="1771"/>
      <c r="E192" s="1771"/>
      <c r="F192" s="1771"/>
      <c r="G192" s="1771"/>
      <c r="H192" s="1771"/>
      <c r="I192" s="710"/>
      <c r="J192" s="710"/>
      <c r="K192" s="711" t="s">
        <v>0</v>
      </c>
      <c r="L192" s="712">
        <f>G215</f>
        <v>440</v>
      </c>
    </row>
    <row r="193" spans="2:12" ht="15.75">
      <c r="B193" s="641"/>
      <c r="K193" s="786"/>
      <c r="L193" s="712"/>
    </row>
    <row r="194" spans="2:12" ht="15.75">
      <c r="B194" s="641"/>
      <c r="K194" s="786"/>
      <c r="L194" s="712"/>
    </row>
    <row r="195" spans="2:12" ht="15.75">
      <c r="B195" s="641"/>
      <c r="K195" s="786"/>
      <c r="L195" s="712"/>
    </row>
    <row r="196" spans="2:12" ht="15.75">
      <c r="B196" s="641"/>
      <c r="K196" s="786"/>
      <c r="L196" s="712"/>
    </row>
    <row r="197" spans="2:12" ht="15.75">
      <c r="B197" s="641"/>
      <c r="K197" s="786"/>
      <c r="L197" s="712"/>
    </row>
    <row r="198" spans="2:12" ht="15.75">
      <c r="B198" s="641"/>
      <c r="K198" s="786"/>
      <c r="L198" s="712"/>
    </row>
    <row r="199" spans="2:12" ht="15.75">
      <c r="B199" s="641"/>
      <c r="K199" s="786"/>
      <c r="L199" s="712"/>
    </row>
    <row r="200" spans="2:12" ht="15.75">
      <c r="B200" s="641"/>
      <c r="K200" s="786"/>
      <c r="L200" s="712"/>
    </row>
    <row r="201" spans="2:12" ht="15.75">
      <c r="B201" s="641"/>
      <c r="K201" s="786"/>
      <c r="L201" s="712"/>
    </row>
    <row r="202" spans="2:12" ht="15.75">
      <c r="B202" s="641"/>
      <c r="K202" s="786"/>
      <c r="L202" s="712"/>
    </row>
    <row r="203" spans="2:12" ht="15.75">
      <c r="B203" s="641"/>
      <c r="K203" s="786"/>
      <c r="L203" s="712"/>
    </row>
    <row r="204" spans="2:12" ht="15.75">
      <c r="B204" s="641"/>
      <c r="K204" s="786"/>
      <c r="L204" s="712"/>
    </row>
    <row r="205" spans="2:12" ht="15.75">
      <c r="B205" s="641"/>
      <c r="K205" s="786"/>
      <c r="L205" s="712"/>
    </row>
    <row r="206" spans="2:12" ht="15.75">
      <c r="B206" s="641"/>
      <c r="K206" s="786"/>
      <c r="L206" s="712"/>
    </row>
    <row r="207" spans="2:12" ht="15.75">
      <c r="B207" s="641"/>
      <c r="K207" s="786"/>
      <c r="L207" s="712"/>
    </row>
    <row r="208" spans="2:12" ht="15.75">
      <c r="B208" s="641"/>
      <c r="K208" s="786"/>
      <c r="L208" s="712"/>
    </row>
    <row r="209" spans="2:12" ht="15.75">
      <c r="B209" s="641"/>
      <c r="K209" s="786"/>
      <c r="L209" s="712"/>
    </row>
    <row r="210" spans="2:12" ht="15.75">
      <c r="B210" s="641"/>
      <c r="K210" s="786"/>
      <c r="L210" s="712"/>
    </row>
    <row r="211" spans="2:12" ht="16.5" thickBot="1">
      <c r="B211" s="641"/>
      <c r="K211" s="786"/>
      <c r="L211" s="712"/>
    </row>
    <row r="212" spans="2:12" ht="16.5" thickBot="1">
      <c r="B212" s="641"/>
      <c r="C212" s="653"/>
      <c r="D212" s="1772" t="s">
        <v>836</v>
      </c>
      <c r="E212" s="1773"/>
      <c r="F212" s="1773"/>
      <c r="G212" s="1773"/>
      <c r="H212" s="1774"/>
      <c r="K212" s="633"/>
      <c r="L212" s="635"/>
    </row>
    <row r="213" spans="2:12" ht="15.75">
      <c r="B213" s="641"/>
      <c r="C213" s="653"/>
      <c r="D213" s="787" t="s">
        <v>797</v>
      </c>
      <c r="E213" s="788" t="s">
        <v>837</v>
      </c>
      <c r="F213" s="788" t="s">
        <v>732</v>
      </c>
      <c r="G213" s="1871" t="s">
        <v>799</v>
      </c>
      <c r="H213" s="1872"/>
      <c r="K213" s="633"/>
      <c r="L213" s="635"/>
    </row>
    <row r="214" spans="2:12" ht="15">
      <c r="B214" s="641"/>
      <c r="C214" s="642"/>
      <c r="D214" s="717">
        <v>20</v>
      </c>
      <c r="E214" s="717">
        <v>5.5</v>
      </c>
      <c r="F214" s="717">
        <v>4</v>
      </c>
      <c r="G214" s="1873">
        <f>D214*E214*F214</f>
        <v>440</v>
      </c>
      <c r="H214" s="1874"/>
      <c r="K214" s="633"/>
      <c r="L214" s="635"/>
    </row>
    <row r="215" spans="2:12" ht="18">
      <c r="B215" s="641"/>
      <c r="D215" s="1831" t="s">
        <v>21</v>
      </c>
      <c r="E215" s="1832"/>
      <c r="F215" s="1875"/>
      <c r="G215" s="1876">
        <f>G214</f>
        <v>440</v>
      </c>
      <c r="H215" s="1877"/>
      <c r="K215" s="633"/>
      <c r="L215" s="635"/>
    </row>
    <row r="216" spans="2:12">
      <c r="B216" s="641"/>
      <c r="C216" s="640"/>
      <c r="K216" s="633"/>
      <c r="L216" s="645"/>
    </row>
    <row r="217" spans="2:12" ht="15.75" customHeight="1">
      <c r="B217" s="709" t="s">
        <v>838</v>
      </c>
      <c r="C217" s="1771" t="s">
        <v>794</v>
      </c>
      <c r="D217" s="1771"/>
      <c r="E217" s="1771"/>
      <c r="F217" s="1771"/>
      <c r="G217" s="1771"/>
      <c r="H217" s="1771"/>
      <c r="I217" s="710"/>
      <c r="J217" s="710"/>
      <c r="K217" s="711" t="s">
        <v>2</v>
      </c>
      <c r="L217" s="712">
        <f>H267</f>
        <v>146.02000000000001</v>
      </c>
    </row>
    <row r="218" spans="2:12">
      <c r="B218" s="641"/>
      <c r="C218" s="640"/>
      <c r="K218" s="633"/>
      <c r="L218" s="645"/>
    </row>
    <row r="219" spans="2:12">
      <c r="B219" s="641"/>
      <c r="C219" s="640"/>
      <c r="K219" s="633"/>
      <c r="L219" s="645"/>
    </row>
    <row r="220" spans="2:12">
      <c r="B220" s="641"/>
      <c r="C220" s="640"/>
      <c r="K220" s="633"/>
      <c r="L220" s="645"/>
    </row>
    <row r="221" spans="2:12">
      <c r="B221" s="641"/>
      <c r="C221" s="640"/>
      <c r="K221" s="633"/>
      <c r="L221" s="645"/>
    </row>
    <row r="222" spans="2:12">
      <c r="B222" s="641"/>
      <c r="C222" s="640"/>
      <c r="K222" s="633"/>
      <c r="L222" s="645"/>
    </row>
    <row r="223" spans="2:12">
      <c r="B223" s="641"/>
      <c r="C223" s="640"/>
      <c r="K223" s="633"/>
      <c r="L223" s="645"/>
    </row>
    <row r="224" spans="2:12">
      <c r="B224" s="641"/>
      <c r="C224" s="640"/>
      <c r="K224" s="633"/>
      <c r="L224" s="645"/>
    </row>
    <row r="225" spans="2:12">
      <c r="B225" s="641"/>
      <c r="C225" s="640"/>
      <c r="K225" s="633"/>
      <c r="L225" s="645"/>
    </row>
    <row r="226" spans="2:12">
      <c r="B226" s="641"/>
      <c r="C226" s="640"/>
      <c r="K226" s="633"/>
      <c r="L226" s="645"/>
    </row>
    <row r="227" spans="2:12">
      <c r="B227" s="641"/>
      <c r="C227" s="640"/>
      <c r="K227" s="633"/>
      <c r="L227" s="645"/>
    </row>
    <row r="228" spans="2:12">
      <c r="B228" s="641"/>
      <c r="C228" s="640"/>
      <c r="K228" s="633"/>
      <c r="L228" s="645"/>
    </row>
    <row r="229" spans="2:12">
      <c r="B229" s="641"/>
      <c r="C229" s="640"/>
      <c r="K229" s="633"/>
      <c r="L229" s="645"/>
    </row>
    <row r="230" spans="2:12">
      <c r="B230" s="641"/>
      <c r="C230" s="640"/>
      <c r="K230" s="633"/>
      <c r="L230" s="645"/>
    </row>
    <row r="231" spans="2:12">
      <c r="B231" s="641"/>
      <c r="C231" s="640"/>
      <c r="K231" s="633"/>
      <c r="L231" s="645"/>
    </row>
    <row r="232" spans="2:12">
      <c r="B232" s="641"/>
      <c r="C232" s="640"/>
      <c r="K232" s="633"/>
      <c r="L232" s="645"/>
    </row>
    <row r="233" spans="2:12">
      <c r="B233" s="641"/>
      <c r="C233" s="640"/>
      <c r="K233" s="633"/>
      <c r="L233" s="645"/>
    </row>
    <row r="234" spans="2:12">
      <c r="B234" s="641"/>
      <c r="C234" s="640"/>
      <c r="K234" s="633"/>
      <c r="L234" s="645"/>
    </row>
    <row r="235" spans="2:12">
      <c r="B235" s="641"/>
      <c r="C235" s="640"/>
      <c r="K235" s="633"/>
      <c r="L235" s="645"/>
    </row>
    <row r="236" spans="2:12">
      <c r="B236" s="641"/>
      <c r="C236" s="640"/>
      <c r="K236" s="633"/>
      <c r="L236" s="645"/>
    </row>
    <row r="237" spans="2:12">
      <c r="B237" s="641"/>
      <c r="C237" s="640"/>
      <c r="K237" s="633"/>
      <c r="L237" s="645"/>
    </row>
    <row r="238" spans="2:12">
      <c r="B238" s="641"/>
      <c r="C238" s="640"/>
      <c r="K238" s="633"/>
      <c r="L238" s="645"/>
    </row>
    <row r="239" spans="2:12">
      <c r="B239" s="641"/>
      <c r="C239" s="640"/>
      <c r="K239" s="633"/>
      <c r="L239" s="645"/>
    </row>
    <row r="240" spans="2:12">
      <c r="B240" s="641"/>
      <c r="C240" s="640"/>
      <c r="K240" s="633"/>
      <c r="L240" s="645"/>
    </row>
    <row r="241" spans="2:12">
      <c r="B241" s="641"/>
      <c r="C241" s="640"/>
      <c r="K241" s="633"/>
      <c r="L241" s="645"/>
    </row>
    <row r="242" spans="2:12">
      <c r="B242" s="641"/>
      <c r="C242" s="640"/>
      <c r="K242" s="633"/>
      <c r="L242" s="645"/>
    </row>
    <row r="243" spans="2:12" ht="13.5" thickBot="1">
      <c r="B243" s="641"/>
      <c r="C243" s="640"/>
      <c r="K243" s="633"/>
      <c r="L243" s="645"/>
    </row>
    <row r="244" spans="2:12" ht="16.5" thickBot="1">
      <c r="B244" s="641"/>
      <c r="C244" s="642"/>
      <c r="D244" s="1864" t="s">
        <v>839</v>
      </c>
      <c r="E244" s="1865"/>
      <c r="F244" s="1865"/>
      <c r="G244" s="1865"/>
      <c r="H244" s="1866"/>
      <c r="K244" s="633"/>
      <c r="L244" s="635"/>
    </row>
    <row r="245" spans="2:12" ht="15">
      <c r="B245" s="641"/>
      <c r="C245" s="642"/>
      <c r="D245" s="1846" t="s">
        <v>746</v>
      </c>
      <c r="E245" s="1847"/>
      <c r="F245" s="1847"/>
      <c r="G245" s="1847"/>
      <c r="H245" s="1848"/>
      <c r="K245" s="633"/>
      <c r="L245" s="635"/>
    </row>
    <row r="246" spans="2:12" ht="15">
      <c r="B246" s="641"/>
      <c r="C246" s="642"/>
      <c r="D246" s="1867" t="s">
        <v>840</v>
      </c>
      <c r="E246" s="1868"/>
      <c r="F246" s="746" t="s">
        <v>738</v>
      </c>
      <c r="G246" s="746" t="s">
        <v>296</v>
      </c>
      <c r="H246" s="766" t="s">
        <v>21</v>
      </c>
      <c r="K246" s="633"/>
      <c r="L246" s="635"/>
    </row>
    <row r="247" spans="2:12" ht="15">
      <c r="B247" s="641"/>
      <c r="C247" s="642"/>
      <c r="D247" s="1869" t="s">
        <v>841</v>
      </c>
      <c r="E247" s="1870"/>
      <c r="F247" s="748">
        <v>5.15</v>
      </c>
      <c r="G247" s="747">
        <v>0.7</v>
      </c>
      <c r="H247" s="770">
        <f>F247*G247</f>
        <v>3.61</v>
      </c>
      <c r="K247" s="633"/>
      <c r="L247" s="635"/>
    </row>
    <row r="248" spans="2:12" ht="15">
      <c r="B248" s="641"/>
      <c r="C248" s="642"/>
      <c r="D248" s="1860" t="s">
        <v>842</v>
      </c>
      <c r="E248" s="1861"/>
      <c r="F248" s="789">
        <v>4.1500000000000004</v>
      </c>
      <c r="G248" s="754">
        <v>0.7</v>
      </c>
      <c r="H248" s="790">
        <f t="shared" ref="H248:H266" si="0">F248*G248</f>
        <v>2.91</v>
      </c>
      <c r="K248" s="633"/>
      <c r="L248" s="635"/>
    </row>
    <row r="249" spans="2:12" ht="15">
      <c r="B249" s="641"/>
      <c r="C249" s="642"/>
      <c r="D249" s="1860" t="s">
        <v>843</v>
      </c>
      <c r="E249" s="1861"/>
      <c r="F249" s="789">
        <v>4.1500000000000004</v>
      </c>
      <c r="G249" s="754">
        <v>0.7</v>
      </c>
      <c r="H249" s="790">
        <f t="shared" si="0"/>
        <v>2.91</v>
      </c>
      <c r="K249" s="633"/>
      <c r="L249" s="635"/>
    </row>
    <row r="250" spans="2:12" ht="15">
      <c r="B250" s="641"/>
      <c r="C250" s="642"/>
      <c r="D250" s="1860" t="s">
        <v>844</v>
      </c>
      <c r="E250" s="1861"/>
      <c r="F250" s="789">
        <v>5.15</v>
      </c>
      <c r="G250" s="754">
        <v>0.7</v>
      </c>
      <c r="H250" s="790">
        <f t="shared" si="0"/>
        <v>3.61</v>
      </c>
      <c r="K250" s="633"/>
      <c r="L250" s="635"/>
    </row>
    <row r="251" spans="2:12" ht="15">
      <c r="B251" s="641"/>
      <c r="C251" s="642"/>
      <c r="D251" s="1860" t="s">
        <v>845</v>
      </c>
      <c r="E251" s="1861"/>
      <c r="F251" s="789">
        <v>2.15</v>
      </c>
      <c r="G251" s="754">
        <v>5.15</v>
      </c>
      <c r="H251" s="790">
        <f t="shared" si="0"/>
        <v>11.07</v>
      </c>
      <c r="K251" s="633"/>
      <c r="L251" s="635"/>
    </row>
    <row r="252" spans="2:12" ht="15">
      <c r="B252" s="641"/>
      <c r="C252" s="642"/>
      <c r="D252" s="1860" t="s">
        <v>846</v>
      </c>
      <c r="E252" s="1861"/>
      <c r="F252" s="789">
        <v>4.1500000000000004</v>
      </c>
      <c r="G252" s="754">
        <v>2.15</v>
      </c>
      <c r="H252" s="790">
        <f t="shared" si="0"/>
        <v>8.92</v>
      </c>
      <c r="K252" s="633"/>
      <c r="L252" s="635"/>
    </row>
    <row r="253" spans="2:12" ht="15">
      <c r="B253" s="641"/>
      <c r="C253" s="642"/>
      <c r="D253" s="1860" t="s">
        <v>847</v>
      </c>
      <c r="E253" s="1861"/>
      <c r="F253" s="789">
        <v>4.1500000000000004</v>
      </c>
      <c r="G253" s="754">
        <v>2.15</v>
      </c>
      <c r="H253" s="790">
        <f t="shared" si="0"/>
        <v>8.92</v>
      </c>
      <c r="K253" s="633"/>
      <c r="L253" s="635"/>
    </row>
    <row r="254" spans="2:12" ht="15">
      <c r="B254" s="641"/>
      <c r="C254" s="642"/>
      <c r="D254" s="1860" t="s">
        <v>848</v>
      </c>
      <c r="E254" s="1861"/>
      <c r="F254" s="789">
        <v>2.15</v>
      </c>
      <c r="G254" s="754">
        <v>5.15</v>
      </c>
      <c r="H254" s="790">
        <f t="shared" si="0"/>
        <v>11.07</v>
      </c>
      <c r="K254" s="633"/>
      <c r="L254" s="635"/>
    </row>
    <row r="255" spans="2:12" ht="15">
      <c r="B255" s="641"/>
      <c r="C255" s="642"/>
      <c r="D255" s="1860" t="s">
        <v>849</v>
      </c>
      <c r="E255" s="1861"/>
      <c r="F255" s="789">
        <v>5.15</v>
      </c>
      <c r="G255" s="754">
        <v>2.15</v>
      </c>
      <c r="H255" s="790">
        <f t="shared" si="0"/>
        <v>11.07</v>
      </c>
      <c r="K255" s="633"/>
      <c r="L255" s="635"/>
    </row>
    <row r="256" spans="2:12" ht="15">
      <c r="B256" s="641"/>
      <c r="C256" s="642"/>
      <c r="D256" s="1860" t="s">
        <v>850</v>
      </c>
      <c r="E256" s="1861"/>
      <c r="F256" s="789">
        <v>4.1500000000000004</v>
      </c>
      <c r="G256" s="754">
        <v>2.15</v>
      </c>
      <c r="H256" s="790">
        <f t="shared" si="0"/>
        <v>8.92</v>
      </c>
      <c r="K256" s="633"/>
      <c r="L256" s="635"/>
    </row>
    <row r="257" spans="2:17" ht="15">
      <c r="B257" s="641"/>
      <c r="C257" s="642"/>
      <c r="D257" s="1860" t="s">
        <v>851</v>
      </c>
      <c r="E257" s="1861"/>
      <c r="F257" s="789">
        <v>4.1500000000000004</v>
      </c>
      <c r="G257" s="754">
        <v>2.15</v>
      </c>
      <c r="H257" s="790">
        <f t="shared" si="0"/>
        <v>8.92</v>
      </c>
      <c r="K257" s="633"/>
      <c r="L257" s="635"/>
    </row>
    <row r="258" spans="2:17" ht="15">
      <c r="B258" s="641"/>
      <c r="C258" s="642"/>
      <c r="D258" s="1860" t="s">
        <v>852</v>
      </c>
      <c r="E258" s="1861"/>
      <c r="F258" s="789">
        <v>5.15</v>
      </c>
      <c r="G258" s="754">
        <v>2.15</v>
      </c>
      <c r="H258" s="790">
        <f t="shared" si="0"/>
        <v>11.07</v>
      </c>
      <c r="K258" s="633"/>
      <c r="L258" s="635"/>
    </row>
    <row r="259" spans="2:17" ht="15">
      <c r="B259" s="641"/>
      <c r="C259" s="642"/>
      <c r="D259" s="1860" t="s">
        <v>853</v>
      </c>
      <c r="E259" s="1861"/>
      <c r="F259" s="789">
        <v>2.15</v>
      </c>
      <c r="G259" s="754">
        <v>5.15</v>
      </c>
      <c r="H259" s="790">
        <f t="shared" si="0"/>
        <v>11.07</v>
      </c>
      <c r="K259" s="633"/>
      <c r="L259" s="635"/>
    </row>
    <row r="260" spans="2:17" ht="15">
      <c r="B260" s="641"/>
      <c r="C260" s="642"/>
      <c r="D260" s="1860" t="s">
        <v>854</v>
      </c>
      <c r="E260" s="1861"/>
      <c r="F260" s="789">
        <v>4.1500000000000004</v>
      </c>
      <c r="G260" s="754">
        <v>2.15</v>
      </c>
      <c r="H260" s="790">
        <f t="shared" si="0"/>
        <v>8.92</v>
      </c>
      <c r="K260" s="633"/>
      <c r="L260" s="635"/>
    </row>
    <row r="261" spans="2:17" ht="15">
      <c r="B261" s="641"/>
      <c r="C261" s="642"/>
      <c r="D261" s="1860" t="s">
        <v>855</v>
      </c>
      <c r="E261" s="1861"/>
      <c r="F261" s="789">
        <v>4.1500000000000004</v>
      </c>
      <c r="G261" s="754">
        <v>2.15</v>
      </c>
      <c r="H261" s="790">
        <f t="shared" si="0"/>
        <v>8.92</v>
      </c>
      <c r="K261" s="633"/>
      <c r="L261" s="635"/>
    </row>
    <row r="262" spans="2:17" ht="15">
      <c r="B262" s="641"/>
      <c r="C262" s="642"/>
      <c r="D262" s="1860" t="s">
        <v>856</v>
      </c>
      <c r="E262" s="1861"/>
      <c r="F262" s="789">
        <v>2.15</v>
      </c>
      <c r="G262" s="754">
        <v>5.15</v>
      </c>
      <c r="H262" s="790">
        <f t="shared" si="0"/>
        <v>11.07</v>
      </c>
      <c r="K262" s="633"/>
      <c r="L262" s="635"/>
    </row>
    <row r="263" spans="2:17" ht="15">
      <c r="B263" s="641"/>
      <c r="C263" s="642"/>
      <c r="D263" s="1860" t="s">
        <v>857</v>
      </c>
      <c r="E263" s="1861"/>
      <c r="F263" s="789">
        <v>5.15</v>
      </c>
      <c r="G263" s="754">
        <v>0.7</v>
      </c>
      <c r="H263" s="790">
        <f t="shared" si="0"/>
        <v>3.61</v>
      </c>
      <c r="K263" s="633"/>
      <c r="L263" s="635"/>
    </row>
    <row r="264" spans="2:17" ht="15">
      <c r="B264" s="641"/>
      <c r="C264" s="642"/>
      <c r="D264" s="1860" t="s">
        <v>858</v>
      </c>
      <c r="E264" s="1861"/>
      <c r="F264" s="789">
        <v>4.1500000000000004</v>
      </c>
      <c r="G264" s="754">
        <v>0.7</v>
      </c>
      <c r="H264" s="790">
        <f t="shared" si="0"/>
        <v>2.91</v>
      </c>
      <c r="K264" s="633"/>
      <c r="L264" s="635"/>
    </row>
    <row r="265" spans="2:17" ht="15">
      <c r="B265" s="641"/>
      <c r="C265" s="642"/>
      <c r="D265" s="1860" t="s">
        <v>859</v>
      </c>
      <c r="E265" s="1861"/>
      <c r="F265" s="789">
        <v>4.1500000000000004</v>
      </c>
      <c r="G265" s="754">
        <v>0.7</v>
      </c>
      <c r="H265" s="790">
        <f t="shared" si="0"/>
        <v>2.91</v>
      </c>
      <c r="K265" s="633"/>
      <c r="L265" s="635"/>
    </row>
    <row r="266" spans="2:17" ht="15.75" thickBot="1">
      <c r="B266" s="641"/>
      <c r="C266" s="642"/>
      <c r="D266" s="1862" t="s">
        <v>860</v>
      </c>
      <c r="E266" s="1863"/>
      <c r="F266" s="789">
        <v>5.15</v>
      </c>
      <c r="G266" s="754">
        <v>0.7</v>
      </c>
      <c r="H266" s="791">
        <f t="shared" si="0"/>
        <v>3.61</v>
      </c>
      <c r="K266" s="633"/>
      <c r="L266" s="635"/>
    </row>
    <row r="267" spans="2:17" ht="18.75" thickBot="1">
      <c r="B267" s="641"/>
      <c r="D267" s="1843" t="s">
        <v>808</v>
      </c>
      <c r="E267" s="1844"/>
      <c r="F267" s="1844"/>
      <c r="G267" s="1844"/>
      <c r="H267" s="778">
        <f>SUM(H247:H266)</f>
        <v>146.02000000000001</v>
      </c>
      <c r="K267" s="633"/>
      <c r="L267" s="635"/>
    </row>
    <row r="268" spans="2:17">
      <c r="B268" s="779"/>
      <c r="K268" s="649"/>
      <c r="L268" s="650"/>
    </row>
    <row r="269" spans="2:17" ht="33" customHeight="1">
      <c r="B269" s="709" t="s">
        <v>861</v>
      </c>
      <c r="C269" s="1771" t="s">
        <v>829</v>
      </c>
      <c r="D269" s="1771"/>
      <c r="E269" s="1771"/>
      <c r="F269" s="1771"/>
      <c r="G269" s="1771"/>
      <c r="H269" s="1771"/>
      <c r="I269" s="710"/>
      <c r="J269" s="710"/>
      <c r="K269" s="711" t="s">
        <v>763</v>
      </c>
      <c r="L269" s="712">
        <f>G274</f>
        <v>1898.37</v>
      </c>
    </row>
    <row r="270" spans="2:17" ht="15">
      <c r="B270" s="641"/>
      <c r="C270" s="640"/>
      <c r="K270" s="633"/>
      <c r="L270" s="645"/>
      <c r="Q270" s="792">
        <f>L217+L149+L68</f>
        <v>601.17999999999995</v>
      </c>
    </row>
    <row r="271" spans="2:17" s="739" customFormat="1" ht="27.75" customHeight="1">
      <c r="B271" s="740"/>
      <c r="D271" s="1849" t="s">
        <v>862</v>
      </c>
      <c r="E271" s="1850"/>
      <c r="F271" s="1850"/>
      <c r="G271" s="1850"/>
      <c r="H271" s="1851"/>
      <c r="K271" s="742"/>
      <c r="L271" s="743"/>
    </row>
    <row r="272" spans="2:17" s="739" customFormat="1" ht="27.75" customHeight="1">
      <c r="B272" s="740"/>
      <c r="C272" s="744"/>
      <c r="D272" s="1777" t="s">
        <v>863</v>
      </c>
      <c r="E272" s="1852"/>
      <c r="F272" s="1778"/>
      <c r="G272" s="1853">
        <v>2109.3000000000002</v>
      </c>
      <c r="H272" s="1854"/>
      <c r="K272" s="742"/>
      <c r="L272" s="743"/>
      <c r="N272" s="745" t="s">
        <v>812</v>
      </c>
    </row>
    <row r="273" spans="2:17" s="739" customFormat="1" ht="27.75" customHeight="1">
      <c r="B273" s="740"/>
      <c r="D273" s="1855" t="s">
        <v>21</v>
      </c>
      <c r="E273" s="1856"/>
      <c r="F273" s="1857"/>
      <c r="G273" s="1858">
        <f>G272</f>
        <v>2109.3000000000002</v>
      </c>
      <c r="H273" s="1859"/>
      <c r="K273" s="742"/>
      <c r="L273" s="743"/>
      <c r="Q273" s="792">
        <f>L276+L173+L108</f>
        <v>93.37</v>
      </c>
    </row>
    <row r="274" spans="2:17" s="739" customFormat="1" ht="24.75" customHeight="1">
      <c r="B274" s="740"/>
      <c r="D274" s="1795" t="s">
        <v>813</v>
      </c>
      <c r="E274" s="1795"/>
      <c r="F274" s="1795"/>
      <c r="G274" s="1796">
        <f>G273-(G272*0.1)</f>
        <v>1898.37</v>
      </c>
      <c r="H274" s="1796"/>
      <c r="K274" s="742"/>
      <c r="L274" s="743"/>
      <c r="N274" s="745"/>
      <c r="O274" s="745"/>
    </row>
    <row r="275" spans="2:17">
      <c r="B275" s="641"/>
      <c r="C275" s="640"/>
      <c r="K275" s="633"/>
      <c r="L275" s="645"/>
    </row>
    <row r="276" spans="2:17" ht="15.75" customHeight="1">
      <c r="B276" s="709" t="s">
        <v>864</v>
      </c>
      <c r="C276" s="1771" t="s">
        <v>814</v>
      </c>
      <c r="D276" s="1771"/>
      <c r="E276" s="1771"/>
      <c r="F276" s="1771"/>
      <c r="G276" s="1771"/>
      <c r="H276" s="1771"/>
      <c r="I276" s="710"/>
      <c r="J276" s="710"/>
      <c r="K276" s="711" t="s">
        <v>0</v>
      </c>
      <c r="L276" s="712">
        <f>H301</f>
        <v>36.520000000000003</v>
      </c>
    </row>
    <row r="277" spans="2:17" ht="13.5" thickBot="1">
      <c r="B277" s="641"/>
      <c r="C277" s="640"/>
      <c r="K277" s="633"/>
      <c r="L277" s="645"/>
    </row>
    <row r="278" spans="2:17" ht="16.5" thickBot="1">
      <c r="B278" s="641"/>
      <c r="C278" s="642"/>
      <c r="D278" s="1843" t="s">
        <v>865</v>
      </c>
      <c r="E278" s="1844"/>
      <c r="F278" s="1844"/>
      <c r="G278" s="1844"/>
      <c r="H278" s="1845"/>
      <c r="K278" s="633"/>
      <c r="L278" s="635"/>
    </row>
    <row r="279" spans="2:17" ht="15">
      <c r="B279" s="641"/>
      <c r="C279" s="642"/>
      <c r="D279" s="1846" t="s">
        <v>746</v>
      </c>
      <c r="E279" s="1847"/>
      <c r="F279" s="1847"/>
      <c r="G279" s="1847"/>
      <c r="H279" s="1848"/>
      <c r="K279" s="633"/>
      <c r="L279" s="635"/>
    </row>
    <row r="280" spans="2:17" ht="15">
      <c r="B280" s="641"/>
      <c r="C280" s="642"/>
      <c r="D280" s="793" t="s">
        <v>840</v>
      </c>
      <c r="E280" s="794" t="s">
        <v>739</v>
      </c>
      <c r="F280" s="746" t="s">
        <v>738</v>
      </c>
      <c r="G280" s="746" t="s">
        <v>296</v>
      </c>
      <c r="H280" s="766" t="s">
        <v>21</v>
      </c>
      <c r="K280" s="633"/>
      <c r="L280" s="635"/>
    </row>
    <row r="281" spans="2:17" ht="15">
      <c r="B281" s="641"/>
      <c r="C281" s="642"/>
      <c r="D281" s="795" t="s">
        <v>841</v>
      </c>
      <c r="E281" s="796">
        <v>0.25</v>
      </c>
      <c r="F281" s="748">
        <v>5.15</v>
      </c>
      <c r="G281" s="747">
        <v>0.7</v>
      </c>
      <c r="H281" s="770">
        <f>F281*G281*E281</f>
        <v>0.9</v>
      </c>
      <c r="K281" s="633"/>
      <c r="L281" s="635"/>
    </row>
    <row r="282" spans="2:17" ht="15">
      <c r="B282" s="641"/>
      <c r="C282" s="642"/>
      <c r="D282" s="797" t="s">
        <v>842</v>
      </c>
      <c r="E282" s="798">
        <v>0.25</v>
      </c>
      <c r="F282" s="789">
        <v>4.1500000000000004</v>
      </c>
      <c r="G282" s="754">
        <v>0.7</v>
      </c>
      <c r="H282" s="790">
        <f t="shared" ref="H282:H300" si="1">F282*G282*E282</f>
        <v>0.73</v>
      </c>
      <c r="K282" s="633"/>
      <c r="L282" s="635"/>
    </row>
    <row r="283" spans="2:17" ht="15">
      <c r="B283" s="641"/>
      <c r="C283" s="642"/>
      <c r="D283" s="797" t="s">
        <v>843</v>
      </c>
      <c r="E283" s="798">
        <v>0.25</v>
      </c>
      <c r="F283" s="789">
        <v>4.1500000000000004</v>
      </c>
      <c r="G283" s="754">
        <v>0.7</v>
      </c>
      <c r="H283" s="790">
        <f t="shared" si="1"/>
        <v>0.73</v>
      </c>
      <c r="K283" s="633"/>
      <c r="L283" s="635"/>
    </row>
    <row r="284" spans="2:17" ht="15">
      <c r="B284" s="641"/>
      <c r="C284" s="642"/>
      <c r="D284" s="797" t="s">
        <v>844</v>
      </c>
      <c r="E284" s="798">
        <v>0.25</v>
      </c>
      <c r="F284" s="789">
        <v>5.15</v>
      </c>
      <c r="G284" s="754">
        <v>0.7</v>
      </c>
      <c r="H284" s="790">
        <f t="shared" si="1"/>
        <v>0.9</v>
      </c>
      <c r="K284" s="633"/>
      <c r="L284" s="635"/>
    </row>
    <row r="285" spans="2:17" ht="15">
      <c r="B285" s="641"/>
      <c r="C285" s="642"/>
      <c r="D285" s="797" t="s">
        <v>845</v>
      </c>
      <c r="E285" s="798">
        <v>0.25</v>
      </c>
      <c r="F285" s="789">
        <v>2.15</v>
      </c>
      <c r="G285" s="754">
        <v>5.15</v>
      </c>
      <c r="H285" s="790">
        <f t="shared" si="1"/>
        <v>2.77</v>
      </c>
      <c r="K285" s="633"/>
      <c r="L285" s="635"/>
    </row>
    <row r="286" spans="2:17" ht="15">
      <c r="B286" s="641"/>
      <c r="C286" s="642"/>
      <c r="D286" s="797" t="s">
        <v>846</v>
      </c>
      <c r="E286" s="798">
        <v>0.25</v>
      </c>
      <c r="F286" s="789">
        <v>4.1500000000000004</v>
      </c>
      <c r="G286" s="754">
        <v>2.15</v>
      </c>
      <c r="H286" s="790">
        <f t="shared" si="1"/>
        <v>2.23</v>
      </c>
      <c r="K286" s="633"/>
      <c r="L286" s="635"/>
    </row>
    <row r="287" spans="2:17" ht="15">
      <c r="B287" s="641"/>
      <c r="C287" s="642"/>
      <c r="D287" s="797" t="s">
        <v>847</v>
      </c>
      <c r="E287" s="798">
        <v>0.25</v>
      </c>
      <c r="F287" s="789">
        <v>4.1500000000000004</v>
      </c>
      <c r="G287" s="754">
        <v>2.15</v>
      </c>
      <c r="H287" s="790">
        <f t="shared" si="1"/>
        <v>2.23</v>
      </c>
      <c r="K287" s="633"/>
      <c r="L287" s="635"/>
    </row>
    <row r="288" spans="2:17" ht="15">
      <c r="B288" s="641"/>
      <c r="C288" s="642"/>
      <c r="D288" s="797" t="s">
        <v>848</v>
      </c>
      <c r="E288" s="798">
        <v>0.25</v>
      </c>
      <c r="F288" s="789">
        <v>2.15</v>
      </c>
      <c r="G288" s="754">
        <v>5.15</v>
      </c>
      <c r="H288" s="790">
        <f t="shared" si="1"/>
        <v>2.77</v>
      </c>
      <c r="K288" s="633"/>
      <c r="L288" s="635"/>
    </row>
    <row r="289" spans="2:12" ht="15">
      <c r="B289" s="641"/>
      <c r="C289" s="642"/>
      <c r="D289" s="797" t="s">
        <v>849</v>
      </c>
      <c r="E289" s="798">
        <v>0.25</v>
      </c>
      <c r="F289" s="789">
        <v>5.15</v>
      </c>
      <c r="G289" s="754">
        <v>2.15</v>
      </c>
      <c r="H289" s="790">
        <f t="shared" si="1"/>
        <v>2.77</v>
      </c>
      <c r="K289" s="633"/>
      <c r="L289" s="635"/>
    </row>
    <row r="290" spans="2:12" ht="15">
      <c r="B290" s="641"/>
      <c r="C290" s="642"/>
      <c r="D290" s="797" t="s">
        <v>850</v>
      </c>
      <c r="E290" s="798">
        <v>0.25</v>
      </c>
      <c r="F290" s="789">
        <v>4.1500000000000004</v>
      </c>
      <c r="G290" s="754">
        <v>2.15</v>
      </c>
      <c r="H290" s="790">
        <f t="shared" si="1"/>
        <v>2.23</v>
      </c>
      <c r="K290" s="633"/>
      <c r="L290" s="635"/>
    </row>
    <row r="291" spans="2:12" ht="15">
      <c r="B291" s="641"/>
      <c r="C291" s="642"/>
      <c r="D291" s="797" t="s">
        <v>851</v>
      </c>
      <c r="E291" s="798">
        <v>0.25</v>
      </c>
      <c r="F291" s="789">
        <v>4.1500000000000004</v>
      </c>
      <c r="G291" s="754">
        <v>2.15</v>
      </c>
      <c r="H291" s="790">
        <f t="shared" si="1"/>
        <v>2.23</v>
      </c>
      <c r="K291" s="633"/>
      <c r="L291" s="635"/>
    </row>
    <row r="292" spans="2:12" ht="15">
      <c r="B292" s="641"/>
      <c r="C292" s="642"/>
      <c r="D292" s="797" t="s">
        <v>852</v>
      </c>
      <c r="E292" s="798">
        <v>0.25</v>
      </c>
      <c r="F292" s="789">
        <v>5.15</v>
      </c>
      <c r="G292" s="754">
        <v>2.15</v>
      </c>
      <c r="H292" s="790">
        <f t="shared" si="1"/>
        <v>2.77</v>
      </c>
      <c r="K292" s="633"/>
      <c r="L292" s="635"/>
    </row>
    <row r="293" spans="2:12" ht="15">
      <c r="B293" s="641"/>
      <c r="C293" s="642"/>
      <c r="D293" s="797" t="s">
        <v>853</v>
      </c>
      <c r="E293" s="798">
        <v>0.25</v>
      </c>
      <c r="F293" s="789">
        <v>2.15</v>
      </c>
      <c r="G293" s="754">
        <v>5.15</v>
      </c>
      <c r="H293" s="790">
        <f t="shared" si="1"/>
        <v>2.77</v>
      </c>
      <c r="K293" s="633"/>
      <c r="L293" s="635"/>
    </row>
    <row r="294" spans="2:12" ht="15">
      <c r="B294" s="641"/>
      <c r="C294" s="642"/>
      <c r="D294" s="797" t="s">
        <v>854</v>
      </c>
      <c r="E294" s="798">
        <v>0.25</v>
      </c>
      <c r="F294" s="789">
        <v>4.1500000000000004</v>
      </c>
      <c r="G294" s="754">
        <v>2.15</v>
      </c>
      <c r="H294" s="790">
        <f t="shared" si="1"/>
        <v>2.23</v>
      </c>
      <c r="K294" s="633"/>
      <c r="L294" s="635"/>
    </row>
    <row r="295" spans="2:12" ht="15">
      <c r="B295" s="641"/>
      <c r="C295" s="642"/>
      <c r="D295" s="797" t="s">
        <v>855</v>
      </c>
      <c r="E295" s="798">
        <v>0.25</v>
      </c>
      <c r="F295" s="789">
        <v>4.1500000000000004</v>
      </c>
      <c r="G295" s="754">
        <v>2.15</v>
      </c>
      <c r="H295" s="790">
        <f t="shared" si="1"/>
        <v>2.23</v>
      </c>
      <c r="K295" s="633"/>
      <c r="L295" s="635"/>
    </row>
    <row r="296" spans="2:12" ht="15">
      <c r="B296" s="641"/>
      <c r="C296" s="642"/>
      <c r="D296" s="797" t="s">
        <v>856</v>
      </c>
      <c r="E296" s="798">
        <v>0.25</v>
      </c>
      <c r="F296" s="789">
        <v>2.15</v>
      </c>
      <c r="G296" s="754">
        <v>5.15</v>
      </c>
      <c r="H296" s="790">
        <f t="shared" si="1"/>
        <v>2.77</v>
      </c>
      <c r="K296" s="633"/>
      <c r="L296" s="635"/>
    </row>
    <row r="297" spans="2:12" ht="15">
      <c r="B297" s="641"/>
      <c r="C297" s="642"/>
      <c r="D297" s="797" t="s">
        <v>857</v>
      </c>
      <c r="E297" s="798">
        <v>0.25</v>
      </c>
      <c r="F297" s="789">
        <v>5.15</v>
      </c>
      <c r="G297" s="754">
        <v>0.7</v>
      </c>
      <c r="H297" s="790">
        <f t="shared" si="1"/>
        <v>0.9</v>
      </c>
      <c r="K297" s="633"/>
      <c r="L297" s="635"/>
    </row>
    <row r="298" spans="2:12" ht="15">
      <c r="B298" s="641"/>
      <c r="C298" s="642"/>
      <c r="D298" s="797" t="s">
        <v>858</v>
      </c>
      <c r="E298" s="798">
        <v>0.25</v>
      </c>
      <c r="F298" s="789">
        <v>4.1500000000000004</v>
      </c>
      <c r="G298" s="754">
        <v>0.7</v>
      </c>
      <c r="H298" s="790">
        <f t="shared" si="1"/>
        <v>0.73</v>
      </c>
      <c r="K298" s="633"/>
      <c r="L298" s="635"/>
    </row>
    <row r="299" spans="2:12" ht="15">
      <c r="B299" s="641"/>
      <c r="C299" s="642"/>
      <c r="D299" s="797" t="s">
        <v>859</v>
      </c>
      <c r="E299" s="798">
        <v>0.25</v>
      </c>
      <c r="F299" s="789">
        <v>4.1500000000000004</v>
      </c>
      <c r="G299" s="754">
        <v>0.7</v>
      </c>
      <c r="H299" s="790">
        <f t="shared" si="1"/>
        <v>0.73</v>
      </c>
      <c r="K299" s="633"/>
      <c r="L299" s="635"/>
    </row>
    <row r="300" spans="2:12" ht="15.75" thickBot="1">
      <c r="B300" s="641"/>
      <c r="C300" s="642"/>
      <c r="D300" s="799" t="s">
        <v>860</v>
      </c>
      <c r="E300" s="798">
        <v>0.25</v>
      </c>
      <c r="F300" s="789">
        <v>5.15</v>
      </c>
      <c r="G300" s="754">
        <v>0.7</v>
      </c>
      <c r="H300" s="791">
        <f t="shared" si="1"/>
        <v>0.9</v>
      </c>
      <c r="K300" s="633"/>
      <c r="L300" s="635"/>
    </row>
    <row r="301" spans="2:12" ht="18.75" thickBot="1">
      <c r="B301" s="641"/>
      <c r="D301" s="1843" t="s">
        <v>808</v>
      </c>
      <c r="E301" s="1844"/>
      <c r="F301" s="1844"/>
      <c r="G301" s="1844"/>
      <c r="H301" s="778">
        <f>SUM(H281:H300)</f>
        <v>36.520000000000003</v>
      </c>
      <c r="K301" s="633"/>
      <c r="L301" s="635"/>
    </row>
    <row r="302" spans="2:12">
      <c r="B302" s="622"/>
      <c r="C302" s="654"/>
      <c r="K302" s="624"/>
      <c r="L302" s="625"/>
    </row>
    <row r="303" spans="2:12" s="800" customFormat="1" ht="51" customHeight="1">
      <c r="B303" s="709" t="s">
        <v>866</v>
      </c>
      <c r="C303" s="1833" t="s">
        <v>745</v>
      </c>
      <c r="D303" s="1833"/>
      <c r="E303" s="1833"/>
      <c r="F303" s="1833"/>
      <c r="G303" s="1833"/>
      <c r="H303" s="1833"/>
      <c r="I303" s="801"/>
      <c r="J303" s="801"/>
      <c r="K303" s="711" t="s">
        <v>477</v>
      </c>
      <c r="L303" s="712">
        <f>H309</f>
        <v>846</v>
      </c>
    </row>
    <row r="304" spans="2:12" s="800" customFormat="1" ht="252" customHeight="1">
      <c r="B304" s="709"/>
      <c r="C304" s="801"/>
      <c r="D304" s="801"/>
      <c r="E304" s="801"/>
      <c r="F304" s="801"/>
      <c r="G304" s="801"/>
      <c r="H304" s="801"/>
      <c r="I304" s="801"/>
      <c r="J304" s="801"/>
      <c r="K304" s="711"/>
      <c r="L304" s="712"/>
    </row>
    <row r="305" spans="2:12" ht="13.5" thickBot="1">
      <c r="B305" s="622"/>
      <c r="C305" s="654"/>
      <c r="K305" s="624"/>
      <c r="L305" s="625"/>
    </row>
    <row r="306" spans="2:12" s="802" customFormat="1" ht="23.25" customHeight="1" thickBot="1">
      <c r="B306" s="803"/>
      <c r="C306" s="804"/>
      <c r="D306" s="1834" t="s">
        <v>867</v>
      </c>
      <c r="E306" s="1835"/>
      <c r="F306" s="1835"/>
      <c r="G306" s="1835"/>
      <c r="H306" s="1836"/>
      <c r="K306" s="805"/>
      <c r="L306" s="806"/>
    </row>
    <row r="307" spans="2:12" s="802" customFormat="1" ht="47.25" customHeight="1">
      <c r="B307" s="807"/>
      <c r="D307" s="808" t="s">
        <v>868</v>
      </c>
      <c r="E307" s="809" t="s">
        <v>869</v>
      </c>
      <c r="F307" s="1837" t="s">
        <v>870</v>
      </c>
      <c r="G307" s="1838"/>
      <c r="H307" s="810" t="s">
        <v>871</v>
      </c>
      <c r="K307" s="811"/>
      <c r="L307" s="812"/>
    </row>
    <row r="308" spans="2:12" s="813" customFormat="1" ht="23.25" customHeight="1">
      <c r="B308" s="814"/>
      <c r="C308" s="815"/>
      <c r="D308" s="816">
        <v>20</v>
      </c>
      <c r="E308" s="817">
        <v>9.4</v>
      </c>
      <c r="F308" s="1839">
        <v>4.5</v>
      </c>
      <c r="G308" s="1840"/>
      <c r="H308" s="818">
        <f>D308*E308*F308</f>
        <v>846</v>
      </c>
      <c r="K308" s="819"/>
      <c r="L308" s="820"/>
    </row>
    <row r="309" spans="2:12" s="802" customFormat="1" ht="25.5" customHeight="1" thickBot="1">
      <c r="B309" s="807"/>
      <c r="D309" s="1841" t="s">
        <v>21</v>
      </c>
      <c r="E309" s="1842"/>
      <c r="F309" s="1842"/>
      <c r="G309" s="1842"/>
      <c r="H309" s="821">
        <f>H308</f>
        <v>846</v>
      </c>
      <c r="K309" s="811"/>
      <c r="L309" s="812"/>
    </row>
    <row r="310" spans="2:12">
      <c r="B310" s="622"/>
      <c r="C310" s="654"/>
      <c r="K310" s="624"/>
      <c r="L310" s="625"/>
    </row>
    <row r="311" spans="2:12">
      <c r="B311" s="622"/>
      <c r="C311" s="654"/>
      <c r="K311" s="624"/>
      <c r="L311" s="625"/>
    </row>
    <row r="312" spans="2:12" ht="15.75">
      <c r="B312" s="705" t="s">
        <v>872</v>
      </c>
      <c r="C312" s="1770" t="s">
        <v>873</v>
      </c>
      <c r="D312" s="1770"/>
      <c r="E312" s="1770"/>
      <c r="F312" s="1770"/>
      <c r="G312" s="1770"/>
      <c r="H312" s="1770"/>
      <c r="I312" s="706"/>
      <c r="J312" s="706"/>
      <c r="K312" s="707"/>
      <c r="L312" s="708"/>
    </row>
    <row r="313" spans="2:12">
      <c r="B313" s="622"/>
      <c r="C313" s="654"/>
      <c r="K313" s="624"/>
      <c r="L313" s="625"/>
    </row>
    <row r="314" spans="2:12" ht="15.75" customHeight="1">
      <c r="B314" s="709" t="s">
        <v>874</v>
      </c>
      <c r="C314" s="1771" t="s">
        <v>875</v>
      </c>
      <c r="D314" s="1771"/>
      <c r="E314" s="1771"/>
      <c r="F314" s="1771"/>
      <c r="G314" s="1771"/>
      <c r="H314" s="1771"/>
      <c r="I314" s="710"/>
      <c r="J314" s="710"/>
      <c r="K314" s="711" t="s">
        <v>0</v>
      </c>
      <c r="L314" s="712">
        <f>H343</f>
        <v>16.45</v>
      </c>
    </row>
    <row r="315" spans="2:12">
      <c r="B315" s="626"/>
      <c r="C315" s="780"/>
      <c r="K315" s="637"/>
      <c r="L315" s="764"/>
    </row>
    <row r="316" spans="2:12">
      <c r="B316" s="626"/>
      <c r="C316" s="780"/>
      <c r="K316" s="637"/>
      <c r="L316" s="764"/>
    </row>
    <row r="317" spans="2:12">
      <c r="B317" s="626"/>
      <c r="C317" s="780"/>
      <c r="K317" s="637"/>
      <c r="L317" s="764"/>
    </row>
    <row r="318" spans="2:12">
      <c r="B318" s="626"/>
      <c r="C318" s="780"/>
      <c r="K318" s="637"/>
      <c r="L318" s="764"/>
    </row>
    <row r="319" spans="2:12">
      <c r="B319" s="626"/>
      <c r="C319" s="780"/>
      <c r="K319" s="637"/>
      <c r="L319" s="764"/>
    </row>
    <row r="320" spans="2:12">
      <c r="B320" s="626"/>
      <c r="C320" s="780"/>
      <c r="K320" s="637"/>
      <c r="L320" s="764"/>
    </row>
    <row r="321" spans="2:12">
      <c r="B321" s="626"/>
      <c r="C321" s="780"/>
      <c r="K321" s="637"/>
      <c r="L321" s="764"/>
    </row>
    <row r="322" spans="2:12">
      <c r="B322" s="626"/>
      <c r="C322" s="780"/>
      <c r="K322" s="637"/>
      <c r="L322" s="764"/>
    </row>
    <row r="323" spans="2:12">
      <c r="B323" s="626"/>
      <c r="C323" s="780"/>
      <c r="K323" s="637"/>
      <c r="L323" s="764"/>
    </row>
    <row r="324" spans="2:12">
      <c r="B324" s="626"/>
      <c r="C324" s="780"/>
      <c r="K324" s="637"/>
      <c r="L324" s="764"/>
    </row>
    <row r="325" spans="2:12">
      <c r="B325" s="626"/>
      <c r="C325" s="780"/>
      <c r="K325" s="637"/>
      <c r="L325" s="764"/>
    </row>
    <row r="326" spans="2:12">
      <c r="B326" s="626"/>
      <c r="C326" s="780"/>
      <c r="K326" s="637"/>
      <c r="L326" s="764"/>
    </row>
    <row r="327" spans="2:12">
      <c r="B327" s="626"/>
      <c r="C327" s="780"/>
      <c r="K327" s="637"/>
      <c r="L327" s="764"/>
    </row>
    <row r="328" spans="2:12">
      <c r="B328" s="626"/>
      <c r="C328" s="780"/>
      <c r="K328" s="637"/>
      <c r="L328" s="764"/>
    </row>
    <row r="329" spans="2:12">
      <c r="B329" s="626"/>
      <c r="C329" s="780"/>
      <c r="K329" s="637"/>
      <c r="L329" s="764"/>
    </row>
    <row r="330" spans="2:12">
      <c r="B330" s="626"/>
      <c r="C330" s="780"/>
      <c r="K330" s="637"/>
      <c r="L330" s="764"/>
    </row>
    <row r="331" spans="2:12">
      <c r="B331" s="626"/>
      <c r="C331" s="780"/>
      <c r="K331" s="637"/>
      <c r="L331" s="764"/>
    </row>
    <row r="332" spans="2:12">
      <c r="B332" s="626"/>
      <c r="C332" s="780"/>
      <c r="K332" s="637"/>
      <c r="L332" s="764"/>
    </row>
    <row r="333" spans="2:12">
      <c r="B333" s="626"/>
      <c r="C333" s="780"/>
      <c r="K333" s="637"/>
      <c r="L333" s="764"/>
    </row>
    <row r="334" spans="2:12">
      <c r="B334" s="626"/>
      <c r="C334" s="780"/>
      <c r="K334" s="637"/>
      <c r="L334" s="764"/>
    </row>
    <row r="335" spans="2:12">
      <c r="B335" s="626"/>
      <c r="C335" s="780"/>
      <c r="K335" s="637"/>
      <c r="L335" s="764"/>
    </row>
    <row r="336" spans="2:12">
      <c r="B336" s="626"/>
      <c r="C336" s="780"/>
      <c r="K336" s="637"/>
      <c r="L336" s="764"/>
    </row>
    <row r="337" spans="2:12">
      <c r="B337" s="626"/>
      <c r="C337" s="780"/>
      <c r="K337" s="637"/>
      <c r="L337" s="764"/>
    </row>
    <row r="338" spans="2:12">
      <c r="B338" s="626"/>
      <c r="C338" s="780"/>
      <c r="K338" s="637"/>
      <c r="L338" s="764"/>
    </row>
    <row r="339" spans="2:12">
      <c r="B339" s="626"/>
      <c r="C339" s="780"/>
      <c r="K339" s="637"/>
      <c r="L339" s="764"/>
    </row>
    <row r="340" spans="2:12" ht="15.75">
      <c r="B340" s="626"/>
      <c r="D340" s="1828" t="s">
        <v>876</v>
      </c>
      <c r="E340" s="1829"/>
      <c r="F340" s="1829"/>
      <c r="G340" s="1829"/>
      <c r="H340" s="1830"/>
      <c r="K340" s="633"/>
      <c r="L340" s="635"/>
    </row>
    <row r="341" spans="2:12" ht="15.75">
      <c r="B341" s="641"/>
      <c r="D341" s="1775" t="s">
        <v>877</v>
      </c>
      <c r="E341" s="1776"/>
      <c r="F341" s="822" t="s">
        <v>739</v>
      </c>
      <c r="G341" s="822" t="s">
        <v>732</v>
      </c>
      <c r="H341" s="822" t="s">
        <v>871</v>
      </c>
      <c r="K341" s="633"/>
      <c r="L341" s="635"/>
    </row>
    <row r="342" spans="2:12" ht="15">
      <c r="B342" s="641"/>
      <c r="C342" s="642"/>
      <c r="D342" s="1777">
        <v>32.9</v>
      </c>
      <c r="E342" s="1778"/>
      <c r="F342" s="717">
        <v>0.25</v>
      </c>
      <c r="G342" s="823">
        <v>2</v>
      </c>
      <c r="H342" s="823">
        <f>D342*F342*G342</f>
        <v>16.45</v>
      </c>
      <c r="K342" s="633"/>
      <c r="L342" s="635"/>
    </row>
    <row r="343" spans="2:12" ht="18">
      <c r="B343" s="641"/>
      <c r="D343" s="1831" t="s">
        <v>21</v>
      </c>
      <c r="E343" s="1832"/>
      <c r="F343" s="1832"/>
      <c r="G343" s="1832"/>
      <c r="H343" s="824">
        <f>H342</f>
        <v>16.45</v>
      </c>
      <c r="K343" s="633"/>
      <c r="L343" s="635"/>
    </row>
    <row r="344" spans="2:12">
      <c r="B344" s="641"/>
      <c r="K344" s="633"/>
      <c r="L344" s="635"/>
    </row>
    <row r="345" spans="2:12" ht="15.75">
      <c r="B345" s="705" t="s">
        <v>878</v>
      </c>
      <c r="C345" s="1770" t="s">
        <v>740</v>
      </c>
      <c r="D345" s="1770"/>
      <c r="E345" s="1770"/>
      <c r="F345" s="1770"/>
      <c r="G345" s="1770"/>
      <c r="H345" s="1770"/>
      <c r="I345" s="706"/>
      <c r="J345" s="706"/>
      <c r="K345" s="707"/>
      <c r="L345" s="708"/>
    </row>
    <row r="346" spans="2:12">
      <c r="B346" s="622"/>
      <c r="C346" s="654"/>
      <c r="K346" s="624"/>
      <c r="L346" s="625"/>
    </row>
    <row r="347" spans="2:12" ht="15.75" customHeight="1">
      <c r="B347" s="709" t="s">
        <v>879</v>
      </c>
      <c r="C347" s="1771" t="s">
        <v>880</v>
      </c>
      <c r="D347" s="1771"/>
      <c r="E347" s="1771"/>
      <c r="F347" s="1771"/>
      <c r="G347" s="1771"/>
      <c r="H347" s="1771"/>
      <c r="I347" s="710"/>
      <c r="J347" s="710"/>
      <c r="K347" s="711" t="s">
        <v>3</v>
      </c>
      <c r="L347" s="712">
        <f>G374</f>
        <v>360</v>
      </c>
    </row>
    <row r="348" spans="2:12">
      <c r="B348" s="622"/>
      <c r="C348" s="654"/>
      <c r="K348" s="624"/>
      <c r="L348" s="625"/>
    </row>
    <row r="349" spans="2:12">
      <c r="B349" s="638"/>
      <c r="C349" s="639"/>
      <c r="K349" s="629"/>
      <c r="L349" s="630"/>
    </row>
    <row r="350" spans="2:12">
      <c r="B350" s="638"/>
      <c r="C350" s="639"/>
      <c r="K350" s="629"/>
      <c r="L350" s="630"/>
    </row>
    <row r="351" spans="2:12">
      <c r="B351" s="638"/>
      <c r="C351" s="639"/>
      <c r="K351" s="629"/>
      <c r="L351" s="630"/>
    </row>
    <row r="352" spans="2:12">
      <c r="B352" s="638"/>
      <c r="C352" s="639"/>
      <c r="K352" s="629"/>
      <c r="L352" s="630"/>
    </row>
    <row r="353" spans="2:12">
      <c r="B353" s="638"/>
      <c r="C353" s="639"/>
      <c r="K353" s="629"/>
      <c r="L353" s="630"/>
    </row>
    <row r="354" spans="2:12">
      <c r="B354" s="638"/>
      <c r="C354" s="639"/>
      <c r="K354" s="629"/>
      <c r="L354" s="630"/>
    </row>
    <row r="355" spans="2:12">
      <c r="B355" s="638"/>
      <c r="C355" s="639"/>
      <c r="K355" s="629"/>
      <c r="L355" s="630"/>
    </row>
    <row r="356" spans="2:12">
      <c r="B356" s="638"/>
      <c r="C356" s="639"/>
      <c r="K356" s="629"/>
      <c r="L356" s="630"/>
    </row>
    <row r="357" spans="2:12">
      <c r="B357" s="638"/>
      <c r="C357" s="639"/>
      <c r="K357" s="629"/>
      <c r="L357" s="630"/>
    </row>
    <row r="358" spans="2:12">
      <c r="B358" s="638"/>
      <c r="C358" s="639"/>
      <c r="K358" s="629"/>
      <c r="L358" s="630"/>
    </row>
    <row r="359" spans="2:12">
      <c r="B359" s="638"/>
      <c r="C359" s="639"/>
      <c r="K359" s="629"/>
      <c r="L359" s="630"/>
    </row>
    <row r="360" spans="2:12">
      <c r="B360" s="638"/>
      <c r="C360" s="639"/>
      <c r="K360" s="629"/>
      <c r="L360" s="630"/>
    </row>
    <row r="361" spans="2:12">
      <c r="B361" s="638"/>
      <c r="C361" s="639"/>
      <c r="K361" s="629"/>
      <c r="L361" s="630"/>
    </row>
    <row r="362" spans="2:12">
      <c r="B362" s="638"/>
      <c r="C362" s="639"/>
      <c r="K362" s="629"/>
      <c r="L362" s="630"/>
    </row>
    <row r="363" spans="2:12">
      <c r="B363" s="638"/>
      <c r="C363" s="639"/>
      <c r="K363" s="629"/>
      <c r="L363" s="630"/>
    </row>
    <row r="364" spans="2:12">
      <c r="B364" s="638"/>
      <c r="C364" s="639"/>
      <c r="K364" s="629"/>
      <c r="L364" s="630"/>
    </row>
    <row r="365" spans="2:12">
      <c r="B365" s="638"/>
      <c r="C365" s="639"/>
      <c r="K365" s="629"/>
      <c r="L365" s="630"/>
    </row>
    <row r="366" spans="2:12">
      <c r="B366" s="638"/>
      <c r="C366" s="639"/>
      <c r="K366" s="629"/>
      <c r="L366" s="630"/>
    </row>
    <row r="367" spans="2:12">
      <c r="B367" s="638"/>
      <c r="C367" s="639"/>
      <c r="K367" s="629"/>
      <c r="L367" s="630"/>
    </row>
    <row r="368" spans="2:12">
      <c r="B368" s="638"/>
      <c r="C368" s="639"/>
      <c r="K368" s="629"/>
      <c r="L368" s="630"/>
    </row>
    <row r="369" spans="2:12">
      <c r="B369" s="638"/>
      <c r="C369" s="639"/>
      <c r="K369" s="629"/>
      <c r="L369" s="630"/>
    </row>
    <row r="370" spans="2:12" ht="13.5" thickBot="1">
      <c r="B370" s="638"/>
      <c r="C370" s="639"/>
      <c r="K370" s="629"/>
      <c r="L370" s="630"/>
    </row>
    <row r="371" spans="2:12" ht="18">
      <c r="B371" s="638"/>
      <c r="C371" s="1815"/>
      <c r="D371" s="1816" t="s">
        <v>741</v>
      </c>
      <c r="E371" s="1817"/>
      <c r="F371" s="1817"/>
      <c r="G371" s="1818" t="s">
        <v>788</v>
      </c>
      <c r="H371" s="1819"/>
      <c r="K371" s="629"/>
      <c r="L371" s="630"/>
    </row>
    <row r="372" spans="2:12" ht="15.75">
      <c r="B372" s="638"/>
      <c r="C372" s="1815"/>
      <c r="D372" s="1822" t="s">
        <v>793</v>
      </c>
      <c r="E372" s="1823"/>
      <c r="F372" s="713" t="s">
        <v>789</v>
      </c>
      <c r="G372" s="1820"/>
      <c r="H372" s="1821"/>
      <c r="K372" s="629"/>
      <c r="L372" s="630"/>
    </row>
    <row r="373" spans="2:12" ht="18.75" thickBot="1">
      <c r="B373" s="638"/>
      <c r="C373" s="642"/>
      <c r="D373" s="1824" t="s">
        <v>881</v>
      </c>
      <c r="E373" s="1825"/>
      <c r="F373" s="825" t="s">
        <v>882</v>
      </c>
      <c r="G373" s="1826" t="s">
        <v>883</v>
      </c>
      <c r="H373" s="1827"/>
      <c r="K373" s="629"/>
      <c r="L373" s="630"/>
    </row>
    <row r="374" spans="2:12" ht="18.75" thickBot="1">
      <c r="B374" s="641"/>
      <c r="D374" s="1810" t="s">
        <v>884</v>
      </c>
      <c r="E374" s="1811"/>
      <c r="F374" s="1812"/>
      <c r="G374" s="1813">
        <f>36*10</f>
        <v>360</v>
      </c>
      <c r="H374" s="1814"/>
      <c r="K374" s="631"/>
      <c r="L374" s="632"/>
    </row>
    <row r="375" spans="2:12">
      <c r="B375" s="641"/>
      <c r="C375" s="640"/>
      <c r="K375" s="631"/>
      <c r="L375" s="632"/>
    </row>
    <row r="376" spans="2:12" ht="19.5" customHeight="1">
      <c r="B376" s="709" t="s">
        <v>885</v>
      </c>
      <c r="C376" s="1771" t="s">
        <v>778</v>
      </c>
      <c r="D376" s="1771"/>
      <c r="E376" s="1771"/>
      <c r="F376" s="1771"/>
      <c r="G376" s="1771"/>
      <c r="H376" s="1771"/>
      <c r="I376" s="710"/>
      <c r="J376" s="710"/>
      <c r="K376" s="711" t="s">
        <v>779</v>
      </c>
      <c r="L376" s="712">
        <v>1</v>
      </c>
    </row>
    <row r="377" spans="2:12">
      <c r="B377" s="779"/>
      <c r="K377" s="649"/>
      <c r="L377" s="650"/>
    </row>
    <row r="378" spans="2:12" ht="15.75">
      <c r="B378" s="705" t="s">
        <v>886</v>
      </c>
      <c r="C378" s="1770" t="s">
        <v>780</v>
      </c>
      <c r="D378" s="1770"/>
      <c r="E378" s="1770"/>
      <c r="F378" s="1770"/>
      <c r="G378" s="1770"/>
      <c r="H378" s="1770"/>
      <c r="I378" s="706"/>
      <c r="J378" s="706"/>
      <c r="K378" s="707"/>
      <c r="L378" s="708"/>
    </row>
    <row r="379" spans="2:12">
      <c r="B379" s="762"/>
      <c r="L379" s="764"/>
    </row>
    <row r="380" spans="2:12" ht="15.75" customHeight="1">
      <c r="B380" s="709" t="s">
        <v>887</v>
      </c>
      <c r="C380" s="1771" t="s">
        <v>794</v>
      </c>
      <c r="D380" s="1771"/>
      <c r="E380" s="1771"/>
      <c r="F380" s="1771"/>
      <c r="G380" s="1771"/>
      <c r="H380" s="1771"/>
      <c r="I380" s="710"/>
      <c r="J380" s="710"/>
      <c r="K380" s="711" t="s">
        <v>2</v>
      </c>
      <c r="L380" s="712">
        <f>H389</f>
        <v>213.18</v>
      </c>
    </row>
    <row r="381" spans="2:12" ht="16.5" thickBot="1">
      <c r="B381" s="762"/>
      <c r="K381" s="786"/>
      <c r="L381" s="764"/>
    </row>
    <row r="382" spans="2:12" ht="16.5" thickBot="1">
      <c r="B382" s="641"/>
      <c r="D382" s="1772" t="s">
        <v>888</v>
      </c>
      <c r="E382" s="1773"/>
      <c r="F382" s="1773"/>
      <c r="G382" s="1773"/>
      <c r="H382" s="1774"/>
      <c r="K382" s="633"/>
      <c r="L382" s="635"/>
    </row>
    <row r="383" spans="2:12" ht="15.75">
      <c r="B383" s="641"/>
      <c r="D383" s="1779" t="s">
        <v>889</v>
      </c>
      <c r="E383" s="1780"/>
      <c r="F383" s="1780"/>
      <c r="G383" s="1780"/>
      <c r="H383" s="1781"/>
      <c r="K383" s="633"/>
      <c r="L383" s="635"/>
    </row>
    <row r="384" spans="2:12" ht="15.75">
      <c r="B384" s="641"/>
      <c r="D384" s="1782" t="s">
        <v>890</v>
      </c>
      <c r="E384" s="1786"/>
      <c r="F384" s="1776"/>
      <c r="G384" s="822" t="s">
        <v>739</v>
      </c>
      <c r="H384" s="827" t="s">
        <v>871</v>
      </c>
      <c r="K384" s="633"/>
      <c r="L384" s="635"/>
    </row>
    <row r="385" spans="2:16" ht="15">
      <c r="B385" s="641"/>
      <c r="C385" s="642"/>
      <c r="D385" s="1808" t="s">
        <v>891</v>
      </c>
      <c r="E385" s="1809"/>
      <c r="F385" s="828">
        <f>9.4 + 9.4 + 0.29 + 0.29</f>
        <v>19.38</v>
      </c>
      <c r="G385" s="823">
        <v>5.5</v>
      </c>
      <c r="H385" s="829">
        <f>F385*G385</f>
        <v>106.59</v>
      </c>
      <c r="K385" s="633"/>
      <c r="L385" s="635"/>
    </row>
    <row r="386" spans="2:16" ht="15.75">
      <c r="B386" s="641"/>
      <c r="C386" s="642"/>
      <c r="D386" s="1783" t="s">
        <v>892</v>
      </c>
      <c r="E386" s="1784"/>
      <c r="F386" s="1784"/>
      <c r="G386" s="1784"/>
      <c r="H386" s="1785"/>
      <c r="K386" s="633"/>
      <c r="L386" s="635"/>
    </row>
    <row r="387" spans="2:16" ht="15.75">
      <c r="B387" s="641"/>
      <c r="C387" s="642"/>
      <c r="D387" s="1782" t="s">
        <v>890</v>
      </c>
      <c r="E387" s="1786"/>
      <c r="F387" s="1776"/>
      <c r="G387" s="822" t="s">
        <v>739</v>
      </c>
      <c r="H387" s="827" t="s">
        <v>871</v>
      </c>
      <c r="K387" s="633"/>
      <c r="L387" s="635"/>
    </row>
    <row r="388" spans="2:16" ht="15.75" thickBot="1">
      <c r="B388" s="641"/>
      <c r="C388" s="642"/>
      <c r="D388" s="1808" t="s">
        <v>891</v>
      </c>
      <c r="E388" s="1809"/>
      <c r="F388" s="828">
        <f>9.4 + 9.4 + 0.29 + 0.29</f>
        <v>19.38</v>
      </c>
      <c r="G388" s="823">
        <v>5.5</v>
      </c>
      <c r="H388" s="829">
        <f>F388*G388</f>
        <v>106.59</v>
      </c>
      <c r="K388" s="633"/>
      <c r="L388" s="635"/>
    </row>
    <row r="389" spans="2:16" ht="18.75" thickBot="1">
      <c r="B389" s="641"/>
      <c r="D389" s="1768" t="s">
        <v>21</v>
      </c>
      <c r="E389" s="1769"/>
      <c r="F389" s="1769"/>
      <c r="G389" s="1797"/>
      <c r="H389" s="830">
        <f>H385+H388</f>
        <v>213.18</v>
      </c>
      <c r="K389" s="633"/>
      <c r="L389" s="635"/>
    </row>
    <row r="390" spans="2:16">
      <c r="B390" s="641"/>
      <c r="C390" s="640"/>
      <c r="K390" s="633"/>
      <c r="L390" s="645"/>
    </row>
    <row r="391" spans="2:16">
      <c r="B391" s="641"/>
      <c r="C391" s="831"/>
      <c r="K391" s="633"/>
      <c r="L391" s="635"/>
    </row>
    <row r="392" spans="2:16" ht="33.75" customHeight="1">
      <c r="B392" s="709" t="s">
        <v>893</v>
      </c>
      <c r="C392" s="1771" t="s">
        <v>829</v>
      </c>
      <c r="D392" s="1771"/>
      <c r="E392" s="1771"/>
      <c r="F392" s="1771"/>
      <c r="G392" s="1771"/>
      <c r="H392" s="1771"/>
      <c r="I392" s="710"/>
      <c r="J392" s="710"/>
      <c r="K392" s="711" t="s">
        <v>763</v>
      </c>
      <c r="L392" s="712">
        <f>G397</f>
        <v>847.85</v>
      </c>
    </row>
    <row r="393" spans="2:16" ht="13.5" thickBot="1">
      <c r="B393" s="762"/>
      <c r="C393" s="780"/>
      <c r="K393" s="627"/>
      <c r="L393" s="628"/>
    </row>
    <row r="394" spans="2:16" ht="16.5" thickBot="1">
      <c r="B394" s="641"/>
      <c r="D394" s="1772" t="s">
        <v>894</v>
      </c>
      <c r="E394" s="1773"/>
      <c r="F394" s="1773"/>
      <c r="G394" s="1773"/>
      <c r="H394" s="1774"/>
      <c r="K394" s="633"/>
      <c r="L394" s="635"/>
    </row>
    <row r="395" spans="2:16" s="832" customFormat="1" ht="24.75" customHeight="1">
      <c r="B395" s="833"/>
      <c r="C395" s="834"/>
      <c r="D395" s="1803" t="s">
        <v>895</v>
      </c>
      <c r="E395" s="1804"/>
      <c r="F395" s="1805"/>
      <c r="G395" s="1806">
        <v>942.05</v>
      </c>
      <c r="H395" s="1807"/>
      <c r="K395" s="835"/>
      <c r="L395" s="836"/>
      <c r="O395" s="1798" t="s">
        <v>812</v>
      </c>
      <c r="P395" s="1798"/>
    </row>
    <row r="396" spans="2:16" ht="18.75" thickBot="1">
      <c r="B396" s="641"/>
      <c r="D396" s="1766" t="s">
        <v>21</v>
      </c>
      <c r="E396" s="1767"/>
      <c r="F396" s="1792"/>
      <c r="G396" s="1793">
        <f>G395</f>
        <v>942.05</v>
      </c>
      <c r="H396" s="1794"/>
      <c r="K396" s="633"/>
      <c r="L396" s="635"/>
      <c r="O396" s="1798"/>
      <c r="P396" s="1798"/>
    </row>
    <row r="397" spans="2:16" s="739" customFormat="1" ht="24.75" customHeight="1">
      <c r="B397" s="740"/>
      <c r="D397" s="1795" t="s">
        <v>813</v>
      </c>
      <c r="E397" s="1795"/>
      <c r="F397" s="1795"/>
      <c r="G397" s="1796">
        <f>G396-(G395*0.1)</f>
        <v>847.85</v>
      </c>
      <c r="H397" s="1796"/>
      <c r="K397" s="742"/>
      <c r="L397" s="743"/>
      <c r="N397" s="745"/>
      <c r="O397" s="745"/>
    </row>
    <row r="398" spans="2:16">
      <c r="B398" s="641"/>
      <c r="C398" s="640"/>
      <c r="K398" s="633"/>
      <c r="L398" s="645"/>
    </row>
    <row r="399" spans="2:16">
      <c r="B399" s="641"/>
      <c r="C399" s="640"/>
      <c r="K399" s="633"/>
      <c r="L399" s="645"/>
    </row>
    <row r="400" spans="2:16" ht="15.75" customHeight="1">
      <c r="B400" s="709" t="s">
        <v>896</v>
      </c>
      <c r="C400" s="1771" t="s">
        <v>814</v>
      </c>
      <c r="D400" s="1771"/>
      <c r="E400" s="1771"/>
      <c r="F400" s="1771"/>
      <c r="G400" s="1771"/>
      <c r="H400" s="1771"/>
      <c r="I400" s="710"/>
      <c r="J400" s="710"/>
      <c r="K400" s="711" t="s">
        <v>0</v>
      </c>
      <c r="L400" s="712">
        <f>H409</f>
        <v>25.86</v>
      </c>
    </row>
    <row r="401" spans="2:12" ht="13.5" thickBot="1">
      <c r="B401" s="762"/>
      <c r="C401" s="780"/>
      <c r="K401" s="627"/>
      <c r="L401" s="628"/>
    </row>
    <row r="402" spans="2:12" ht="16.5" thickBot="1">
      <c r="B402" s="641"/>
      <c r="D402" s="1772" t="s">
        <v>897</v>
      </c>
      <c r="E402" s="1773"/>
      <c r="F402" s="1773"/>
      <c r="G402" s="1773"/>
      <c r="H402" s="1774"/>
      <c r="K402" s="633"/>
      <c r="L402" s="635"/>
    </row>
    <row r="403" spans="2:12" ht="15.75">
      <c r="B403" s="641"/>
      <c r="D403" s="1779" t="s">
        <v>889</v>
      </c>
      <c r="E403" s="1780"/>
      <c r="F403" s="1780"/>
      <c r="G403" s="1780"/>
      <c r="H403" s="1781"/>
      <c r="K403" s="633"/>
      <c r="L403" s="635"/>
    </row>
    <row r="404" spans="2:12" ht="15.75">
      <c r="B404" s="641"/>
      <c r="D404" s="837" t="s">
        <v>738</v>
      </c>
      <c r="E404" s="1800" t="s">
        <v>739</v>
      </c>
      <c r="F404" s="1800"/>
      <c r="G404" s="822" t="s">
        <v>296</v>
      </c>
      <c r="H404" s="827" t="s">
        <v>871</v>
      </c>
      <c r="K404" s="633"/>
      <c r="L404" s="635"/>
    </row>
    <row r="405" spans="2:12" ht="15">
      <c r="B405" s="641"/>
      <c r="C405" s="642"/>
      <c r="D405" s="838">
        <v>9.4</v>
      </c>
      <c r="E405" s="1799">
        <v>5.5</v>
      </c>
      <c r="F405" s="1789"/>
      <c r="G405" s="717">
        <v>0.25</v>
      </c>
      <c r="H405" s="829">
        <f>D405*E405*G405</f>
        <v>12.93</v>
      </c>
      <c r="K405" s="633"/>
      <c r="L405" s="635"/>
    </row>
    <row r="406" spans="2:12" ht="15.75">
      <c r="B406" s="641"/>
      <c r="C406" s="642"/>
      <c r="D406" s="1783" t="s">
        <v>892</v>
      </c>
      <c r="E406" s="1784"/>
      <c r="F406" s="1784"/>
      <c r="G406" s="1784"/>
      <c r="H406" s="1785"/>
      <c r="K406" s="633"/>
      <c r="L406" s="635"/>
    </row>
    <row r="407" spans="2:12" ht="15.75">
      <c r="B407" s="641"/>
      <c r="C407" s="642"/>
      <c r="D407" s="837" t="s">
        <v>738</v>
      </c>
      <c r="E407" s="1800" t="s">
        <v>739</v>
      </c>
      <c r="F407" s="1800"/>
      <c r="G407" s="822" t="s">
        <v>296</v>
      </c>
      <c r="H407" s="827" t="s">
        <v>871</v>
      </c>
      <c r="K407" s="633"/>
      <c r="L407" s="635"/>
    </row>
    <row r="408" spans="2:12" ht="15.75" thickBot="1">
      <c r="B408" s="641"/>
      <c r="C408" s="642"/>
      <c r="D408" s="840">
        <v>9.4</v>
      </c>
      <c r="E408" s="1801">
        <v>5.5</v>
      </c>
      <c r="F408" s="1802"/>
      <c r="G408" s="841">
        <v>0.25</v>
      </c>
      <c r="H408" s="842">
        <f>D408*E408*G408</f>
        <v>12.93</v>
      </c>
      <c r="K408" s="633"/>
      <c r="L408" s="635"/>
    </row>
    <row r="409" spans="2:12" ht="18.75" thickBot="1">
      <c r="B409" s="641"/>
      <c r="D409" s="1768" t="s">
        <v>21</v>
      </c>
      <c r="E409" s="1769"/>
      <c r="F409" s="1769"/>
      <c r="G409" s="1769"/>
      <c r="H409" s="830">
        <f>H405+H408</f>
        <v>25.86</v>
      </c>
      <c r="K409" s="633"/>
      <c r="L409" s="635"/>
    </row>
    <row r="410" spans="2:12">
      <c r="B410" s="641"/>
      <c r="C410" s="640"/>
      <c r="K410" s="633"/>
      <c r="L410" s="645"/>
    </row>
    <row r="411" spans="2:12" ht="15.75">
      <c r="B411" s="705" t="s">
        <v>898</v>
      </c>
      <c r="C411" s="1770" t="s">
        <v>899</v>
      </c>
      <c r="D411" s="1770"/>
      <c r="E411" s="1770"/>
      <c r="F411" s="1770"/>
      <c r="G411" s="1770"/>
      <c r="H411" s="1770"/>
      <c r="I411" s="706"/>
      <c r="J411" s="706"/>
      <c r="K411" s="707"/>
      <c r="L411" s="708"/>
    </row>
    <row r="412" spans="2:12">
      <c r="B412" s="762"/>
      <c r="L412" s="764"/>
    </row>
    <row r="413" spans="2:12" ht="15.75" customHeight="1">
      <c r="B413" s="709" t="s">
        <v>900</v>
      </c>
      <c r="C413" s="1771" t="s">
        <v>794</v>
      </c>
      <c r="D413" s="1771"/>
      <c r="E413" s="1771"/>
      <c r="F413" s="1771"/>
      <c r="G413" s="1771"/>
      <c r="H413" s="1771"/>
      <c r="I413" s="710"/>
      <c r="J413" s="710"/>
      <c r="K413" s="711" t="s">
        <v>2</v>
      </c>
      <c r="L413" s="712">
        <f>H444</f>
        <v>219.56</v>
      </c>
    </row>
    <row r="414" spans="2:12" ht="15.75">
      <c r="B414" s="641"/>
      <c r="K414" s="786"/>
      <c r="L414" s="764"/>
    </row>
    <row r="415" spans="2:12" ht="15.75">
      <c r="B415" s="641"/>
      <c r="K415" s="786"/>
      <c r="L415" s="764"/>
    </row>
    <row r="416" spans="2:12" ht="15.75">
      <c r="B416" s="641"/>
      <c r="K416" s="786"/>
      <c r="L416" s="764"/>
    </row>
    <row r="417" spans="2:12" ht="15.75">
      <c r="B417" s="641"/>
      <c r="K417" s="786"/>
      <c r="L417" s="764"/>
    </row>
    <row r="418" spans="2:12" ht="15.75">
      <c r="B418" s="641"/>
      <c r="K418" s="786"/>
      <c r="L418" s="764"/>
    </row>
    <row r="419" spans="2:12" ht="15.75">
      <c r="B419" s="641"/>
      <c r="K419" s="786"/>
      <c r="L419" s="764"/>
    </row>
    <row r="420" spans="2:12" ht="15.75">
      <c r="B420" s="641"/>
      <c r="K420" s="786"/>
      <c r="L420" s="764"/>
    </row>
    <row r="421" spans="2:12" ht="15.75">
      <c r="B421" s="641"/>
      <c r="K421" s="786"/>
      <c r="L421" s="764"/>
    </row>
    <row r="422" spans="2:12" ht="15.75">
      <c r="B422" s="641"/>
      <c r="K422" s="786"/>
      <c r="L422" s="764"/>
    </row>
    <row r="423" spans="2:12" ht="15.75">
      <c r="B423" s="641"/>
      <c r="K423" s="786"/>
      <c r="L423" s="764"/>
    </row>
    <row r="424" spans="2:12" ht="15.75">
      <c r="B424" s="641"/>
      <c r="K424" s="786"/>
      <c r="L424" s="764"/>
    </row>
    <row r="425" spans="2:12" ht="15.75">
      <c r="B425" s="641"/>
      <c r="K425" s="786"/>
      <c r="L425" s="764"/>
    </row>
    <row r="426" spans="2:12" ht="15.75">
      <c r="B426" s="641"/>
      <c r="K426" s="786"/>
      <c r="L426" s="764"/>
    </row>
    <row r="427" spans="2:12" ht="15.75">
      <c r="B427" s="641"/>
      <c r="K427" s="786"/>
      <c r="L427" s="764"/>
    </row>
    <row r="428" spans="2:12" ht="15.75">
      <c r="B428" s="641"/>
      <c r="K428" s="786"/>
      <c r="L428" s="764"/>
    </row>
    <row r="429" spans="2:12" ht="15.75">
      <c r="B429" s="641"/>
      <c r="K429" s="786"/>
      <c r="L429" s="764"/>
    </row>
    <row r="430" spans="2:12" ht="15.75">
      <c r="B430" s="641"/>
      <c r="K430" s="786"/>
      <c r="L430" s="764"/>
    </row>
    <row r="431" spans="2:12" ht="15.75">
      <c r="B431" s="641"/>
      <c r="K431" s="786"/>
      <c r="L431" s="764"/>
    </row>
    <row r="432" spans="2:12" ht="15.75">
      <c r="B432" s="641"/>
      <c r="K432" s="786"/>
      <c r="L432" s="764"/>
    </row>
    <row r="433" spans="2:12" ht="15.75">
      <c r="B433" s="641"/>
      <c r="K433" s="786"/>
      <c r="L433" s="764"/>
    </row>
    <row r="434" spans="2:12" ht="15.75">
      <c r="B434" s="641"/>
      <c r="K434" s="786"/>
      <c r="L434" s="764"/>
    </row>
    <row r="435" spans="2:12" ht="15.75">
      <c r="B435" s="641"/>
      <c r="K435" s="786"/>
      <c r="L435" s="764"/>
    </row>
    <row r="436" spans="2:12" ht="16.5" thickBot="1">
      <c r="B436" s="641"/>
      <c r="K436" s="786"/>
      <c r="L436" s="764"/>
    </row>
    <row r="437" spans="2:12" ht="16.5" thickBot="1">
      <c r="B437" s="641"/>
      <c r="D437" s="1772" t="s">
        <v>901</v>
      </c>
      <c r="E437" s="1773"/>
      <c r="F437" s="1773"/>
      <c r="G437" s="1773"/>
      <c r="H437" s="1774"/>
      <c r="K437" s="633"/>
      <c r="L437" s="635"/>
    </row>
    <row r="438" spans="2:12" ht="15.75">
      <c r="B438" s="641"/>
      <c r="D438" s="1779" t="s">
        <v>889</v>
      </c>
      <c r="E438" s="1780"/>
      <c r="F438" s="1780"/>
      <c r="G438" s="1780"/>
      <c r="H438" s="1781"/>
      <c r="K438" s="633"/>
      <c r="L438" s="635"/>
    </row>
    <row r="439" spans="2:12" ht="15.75">
      <c r="B439" s="641"/>
      <c r="D439" s="1782" t="s">
        <v>890</v>
      </c>
      <c r="E439" s="1786"/>
      <c r="F439" s="822" t="s">
        <v>739</v>
      </c>
      <c r="G439" s="822" t="s">
        <v>732</v>
      </c>
      <c r="H439" s="827" t="s">
        <v>871</v>
      </c>
      <c r="K439" s="633"/>
      <c r="L439" s="635"/>
    </row>
    <row r="440" spans="2:12" ht="15">
      <c r="B440" s="641"/>
      <c r="C440" s="642"/>
      <c r="D440" s="843" t="s">
        <v>902</v>
      </c>
      <c r="E440" s="828">
        <f>4.7 + 4.7 + 0.29 + 0.29</f>
        <v>9.98</v>
      </c>
      <c r="F440" s="823">
        <v>5.5</v>
      </c>
      <c r="G440" s="844">
        <v>2</v>
      </c>
      <c r="H440" s="829">
        <f>F440*G440*E440</f>
        <v>109.78</v>
      </c>
      <c r="K440" s="633"/>
      <c r="L440" s="635"/>
    </row>
    <row r="441" spans="2:12" ht="15.75">
      <c r="B441" s="641"/>
      <c r="C441" s="642"/>
      <c r="D441" s="1783" t="s">
        <v>892</v>
      </c>
      <c r="E441" s="1784"/>
      <c r="F441" s="1784"/>
      <c r="G441" s="1784"/>
      <c r="H441" s="1785"/>
      <c r="K441" s="633"/>
      <c r="L441" s="635"/>
    </row>
    <row r="442" spans="2:12" ht="15.75">
      <c r="B442" s="641"/>
      <c r="C442" s="642"/>
      <c r="D442" s="1782" t="s">
        <v>890</v>
      </c>
      <c r="E442" s="1786"/>
      <c r="F442" s="822" t="s">
        <v>739</v>
      </c>
      <c r="G442" s="822" t="s">
        <v>732</v>
      </c>
      <c r="H442" s="827" t="s">
        <v>871</v>
      </c>
      <c r="K442" s="633"/>
      <c r="L442" s="635"/>
    </row>
    <row r="443" spans="2:12" ht="15.75" thickBot="1">
      <c r="B443" s="641"/>
      <c r="C443" s="642"/>
      <c r="D443" s="843" t="s">
        <v>902</v>
      </c>
      <c r="E443" s="828">
        <f>4.7 + 4.7 + 0.29 + 0.29</f>
        <v>9.98</v>
      </c>
      <c r="F443" s="823">
        <v>5.5</v>
      </c>
      <c r="G443" s="844">
        <v>2</v>
      </c>
      <c r="H443" s="829">
        <f>F443*G443*E443</f>
        <v>109.78</v>
      </c>
      <c r="K443" s="633"/>
      <c r="L443" s="635"/>
    </row>
    <row r="444" spans="2:12" ht="18.75" thickBot="1">
      <c r="B444" s="641"/>
      <c r="D444" s="1768" t="s">
        <v>21</v>
      </c>
      <c r="E444" s="1769"/>
      <c r="F444" s="1769"/>
      <c r="G444" s="1797"/>
      <c r="H444" s="830">
        <f>H440+H443</f>
        <v>219.56</v>
      </c>
      <c r="K444" s="633"/>
      <c r="L444" s="635"/>
    </row>
    <row r="445" spans="2:12">
      <c r="B445" s="641"/>
      <c r="C445" s="640"/>
      <c r="K445" s="633"/>
      <c r="L445" s="645"/>
    </row>
    <row r="446" spans="2:12">
      <c r="B446" s="641"/>
      <c r="C446" s="831"/>
      <c r="K446" s="633"/>
      <c r="L446" s="635"/>
    </row>
    <row r="447" spans="2:12" ht="33" customHeight="1">
      <c r="B447" s="709" t="s">
        <v>903</v>
      </c>
      <c r="C447" s="1771" t="s">
        <v>829</v>
      </c>
      <c r="D447" s="1771"/>
      <c r="E447" s="1771"/>
      <c r="F447" s="1771"/>
      <c r="G447" s="1771"/>
      <c r="H447" s="1771"/>
      <c r="I447" s="710"/>
      <c r="J447" s="710"/>
      <c r="K447" s="711" t="s">
        <v>763</v>
      </c>
      <c r="L447" s="712">
        <f>G453</f>
        <v>2293.89</v>
      </c>
    </row>
    <row r="448" spans="2:12" ht="3.2" customHeight="1">
      <c r="B448" s="709"/>
      <c r="C448" s="710"/>
      <c r="D448" s="710"/>
      <c r="E448" s="710"/>
      <c r="F448" s="710"/>
      <c r="G448" s="710"/>
      <c r="H448" s="710"/>
      <c r="I448" s="710"/>
      <c r="J448" s="710"/>
      <c r="K448" s="711"/>
      <c r="L448" s="712"/>
    </row>
    <row r="449" spans="2:16" ht="13.5" thickBot="1">
      <c r="B449" s="762"/>
      <c r="C449" s="780"/>
      <c r="K449" s="627"/>
      <c r="L449" s="628"/>
    </row>
    <row r="450" spans="2:16" ht="16.5" thickBot="1">
      <c r="B450" s="641"/>
      <c r="D450" s="1772" t="s">
        <v>904</v>
      </c>
      <c r="E450" s="1773"/>
      <c r="F450" s="1773"/>
      <c r="G450" s="1773"/>
      <c r="H450" s="1774"/>
      <c r="K450" s="633"/>
      <c r="L450" s="635"/>
    </row>
    <row r="451" spans="2:16" ht="15">
      <c r="B451" s="641"/>
      <c r="C451" s="642"/>
      <c r="D451" s="1787" t="s">
        <v>905</v>
      </c>
      <c r="E451" s="1788"/>
      <c r="F451" s="1789"/>
      <c r="G451" s="1790">
        <v>2548.77</v>
      </c>
      <c r="H451" s="1791"/>
      <c r="K451" s="633"/>
      <c r="L451" s="635"/>
    </row>
    <row r="452" spans="2:16" ht="18.75" thickBot="1">
      <c r="B452" s="641"/>
      <c r="D452" s="1766" t="s">
        <v>21</v>
      </c>
      <c r="E452" s="1767"/>
      <c r="F452" s="1792"/>
      <c r="G452" s="1793">
        <f>G451</f>
        <v>2548.77</v>
      </c>
      <c r="H452" s="1794"/>
      <c r="K452" s="633"/>
      <c r="L452" s="635"/>
    </row>
    <row r="453" spans="2:16" s="739" customFormat="1" ht="24.75" customHeight="1">
      <c r="B453" s="740"/>
      <c r="D453" s="1795" t="s">
        <v>813</v>
      </c>
      <c r="E453" s="1795"/>
      <c r="F453" s="1795"/>
      <c r="G453" s="1796">
        <f>G452-(G451*0.1)</f>
        <v>2293.89</v>
      </c>
      <c r="H453" s="1796"/>
      <c r="K453" s="742"/>
      <c r="L453" s="743"/>
      <c r="N453" s="745"/>
      <c r="O453" s="745"/>
    </row>
    <row r="454" spans="2:16">
      <c r="B454" s="641"/>
      <c r="C454" s="640"/>
      <c r="H454" s="846"/>
      <c r="K454" s="633"/>
      <c r="L454" s="645"/>
      <c r="O454" s="1798" t="s">
        <v>812</v>
      </c>
      <c r="P454" s="1798"/>
    </row>
    <row r="455" spans="2:16">
      <c r="B455" s="641"/>
      <c r="C455" s="640"/>
      <c r="K455" s="633"/>
      <c r="L455" s="645"/>
      <c r="O455" s="1798"/>
      <c r="P455" s="1798"/>
    </row>
    <row r="456" spans="2:16" ht="15.75" customHeight="1">
      <c r="B456" s="709" t="s">
        <v>906</v>
      </c>
      <c r="C456" s="1771" t="s">
        <v>814</v>
      </c>
      <c r="D456" s="1771"/>
      <c r="E456" s="1771"/>
      <c r="F456" s="1771"/>
      <c r="G456" s="1771"/>
      <c r="H456" s="1771"/>
      <c r="I456" s="710"/>
      <c r="J456" s="710"/>
      <c r="K456" s="711" t="s">
        <v>0</v>
      </c>
      <c r="L456" s="712">
        <f>H465</f>
        <v>25.86</v>
      </c>
    </row>
    <row r="457" spans="2:16" ht="13.5" thickBot="1">
      <c r="B457" s="762"/>
      <c r="C457" s="780"/>
      <c r="K457" s="627"/>
      <c r="L457" s="628"/>
    </row>
    <row r="458" spans="2:16" ht="16.5" thickBot="1">
      <c r="B458" s="641"/>
      <c r="D458" s="1772" t="s">
        <v>907</v>
      </c>
      <c r="E458" s="1773"/>
      <c r="F458" s="1773"/>
      <c r="G458" s="1773"/>
      <c r="H458" s="1774"/>
      <c r="K458" s="633"/>
      <c r="L458" s="635"/>
    </row>
    <row r="459" spans="2:16" ht="15.75">
      <c r="B459" s="641"/>
      <c r="D459" s="1779" t="s">
        <v>889</v>
      </c>
      <c r="E459" s="1780"/>
      <c r="F459" s="1780"/>
      <c r="G459" s="1780"/>
      <c r="H459" s="1781"/>
      <c r="K459" s="633"/>
      <c r="L459" s="635"/>
    </row>
    <row r="460" spans="2:16" ht="15.75">
      <c r="B460" s="641"/>
      <c r="D460" s="837" t="s">
        <v>738</v>
      </c>
      <c r="E460" s="822" t="s">
        <v>739</v>
      </c>
      <c r="F460" s="822" t="s">
        <v>296</v>
      </c>
      <c r="G460" s="822" t="s">
        <v>732</v>
      </c>
      <c r="H460" s="827" t="s">
        <v>871</v>
      </c>
      <c r="K460" s="633"/>
      <c r="L460" s="635"/>
    </row>
    <row r="461" spans="2:16" ht="15">
      <c r="B461" s="641"/>
      <c r="C461" s="642"/>
      <c r="D461" s="838">
        <v>4.7</v>
      </c>
      <c r="E461" s="847">
        <v>5.5</v>
      </c>
      <c r="F461" s="717">
        <v>0.25</v>
      </c>
      <c r="G461" s="848">
        <v>2</v>
      </c>
      <c r="H461" s="829">
        <f>D461*E461*F461*G461</f>
        <v>12.93</v>
      </c>
      <c r="K461" s="633"/>
      <c r="L461" s="635"/>
    </row>
    <row r="462" spans="2:16" ht="15.75">
      <c r="B462" s="641"/>
      <c r="C462" s="642"/>
      <c r="D462" s="1783" t="s">
        <v>892</v>
      </c>
      <c r="E462" s="1784"/>
      <c r="F462" s="1784"/>
      <c r="G462" s="1784"/>
      <c r="H462" s="1785"/>
      <c r="K462" s="633"/>
      <c r="L462" s="635"/>
    </row>
    <row r="463" spans="2:16" ht="15.75">
      <c r="B463" s="641"/>
      <c r="C463" s="642"/>
      <c r="D463" s="837" t="s">
        <v>738</v>
      </c>
      <c r="E463" s="822" t="s">
        <v>739</v>
      </c>
      <c r="F463" s="822" t="s">
        <v>296</v>
      </c>
      <c r="G463" s="822" t="s">
        <v>732</v>
      </c>
      <c r="H463" s="827" t="s">
        <v>871</v>
      </c>
      <c r="K463" s="633"/>
      <c r="L463" s="635"/>
    </row>
    <row r="464" spans="2:16" ht="15.75" thickBot="1">
      <c r="B464" s="641"/>
      <c r="C464" s="642"/>
      <c r="D464" s="838">
        <v>4.7</v>
      </c>
      <c r="E464" s="847">
        <v>5.5</v>
      </c>
      <c r="F464" s="717">
        <v>0.25</v>
      </c>
      <c r="G464" s="848">
        <v>2</v>
      </c>
      <c r="H464" s="829">
        <f>D464*E464*F464*G464</f>
        <v>12.93</v>
      </c>
      <c r="K464" s="633"/>
      <c r="L464" s="635"/>
    </row>
    <row r="465" spans="2:12" ht="18.75" thickBot="1">
      <c r="B465" s="641"/>
      <c r="D465" s="1768" t="s">
        <v>21</v>
      </c>
      <c r="E465" s="1769"/>
      <c r="F465" s="1769"/>
      <c r="G465" s="1769"/>
      <c r="H465" s="830">
        <f>H461+H464</f>
        <v>25.86</v>
      </c>
      <c r="K465" s="633"/>
      <c r="L465" s="635"/>
    </row>
    <row r="466" spans="2:12">
      <c r="B466" s="626"/>
      <c r="C466" s="636"/>
      <c r="K466" s="633"/>
      <c r="L466" s="635"/>
    </row>
    <row r="467" spans="2:12">
      <c r="B467" s="626"/>
      <c r="C467" s="636"/>
      <c r="K467" s="633"/>
      <c r="L467" s="635"/>
    </row>
    <row r="468" spans="2:12" ht="15.75">
      <c r="B468" s="705" t="s">
        <v>908</v>
      </c>
      <c r="C468" s="1770" t="s">
        <v>909</v>
      </c>
      <c r="D468" s="1770"/>
      <c r="E468" s="1770"/>
      <c r="F468" s="1770"/>
      <c r="G468" s="1770"/>
      <c r="H468" s="1770"/>
      <c r="I468" s="706"/>
      <c r="J468" s="706"/>
      <c r="K468" s="707"/>
      <c r="L468" s="708"/>
    </row>
    <row r="469" spans="2:12">
      <c r="B469" s="762"/>
      <c r="L469" s="764"/>
    </row>
    <row r="470" spans="2:12" ht="15.75" customHeight="1">
      <c r="B470" s="709" t="s">
        <v>910</v>
      </c>
      <c r="C470" s="1771" t="s">
        <v>794</v>
      </c>
      <c r="D470" s="1771"/>
      <c r="E470" s="1771"/>
      <c r="F470" s="1771"/>
      <c r="G470" s="1771"/>
      <c r="H470" s="1771"/>
      <c r="I470" s="710"/>
      <c r="J470" s="710"/>
      <c r="K470" s="711" t="s">
        <v>2</v>
      </c>
      <c r="L470" s="712">
        <f>H505</f>
        <v>97.15</v>
      </c>
    </row>
    <row r="471" spans="2:12" ht="15.75">
      <c r="B471" s="762"/>
      <c r="K471" s="786"/>
      <c r="L471" s="764"/>
    </row>
    <row r="472" spans="2:12" ht="15.75">
      <c r="B472" s="762"/>
      <c r="K472" s="786"/>
      <c r="L472" s="764"/>
    </row>
    <row r="473" spans="2:12" ht="15.75">
      <c r="B473" s="762"/>
      <c r="K473" s="786"/>
      <c r="L473" s="764"/>
    </row>
    <row r="474" spans="2:12" ht="15.75">
      <c r="B474" s="762"/>
      <c r="K474" s="786"/>
      <c r="L474" s="764"/>
    </row>
    <row r="475" spans="2:12" ht="15.75">
      <c r="B475" s="762"/>
      <c r="K475" s="786"/>
      <c r="L475" s="764"/>
    </row>
    <row r="476" spans="2:12" ht="15.75">
      <c r="B476" s="762"/>
      <c r="K476" s="786"/>
      <c r="L476" s="764"/>
    </row>
    <row r="477" spans="2:12" ht="15.75">
      <c r="B477" s="762"/>
      <c r="K477" s="786"/>
      <c r="L477" s="764"/>
    </row>
    <row r="478" spans="2:12" ht="15.75">
      <c r="B478" s="762"/>
      <c r="K478" s="786"/>
      <c r="L478" s="764"/>
    </row>
    <row r="479" spans="2:12" ht="15.75">
      <c r="B479" s="762"/>
      <c r="K479" s="786"/>
      <c r="L479" s="764"/>
    </row>
    <row r="480" spans="2:12" ht="15.75">
      <c r="B480" s="762"/>
      <c r="K480" s="786"/>
      <c r="L480" s="764"/>
    </row>
    <row r="481" spans="2:15" ht="15.75">
      <c r="B481" s="762"/>
      <c r="K481" s="786"/>
      <c r="L481" s="764"/>
    </row>
    <row r="482" spans="2:15" ht="15.75">
      <c r="B482" s="762"/>
      <c r="K482" s="786"/>
      <c r="L482" s="764"/>
    </row>
    <row r="483" spans="2:15" ht="15.75">
      <c r="B483" s="762"/>
      <c r="K483" s="786"/>
      <c r="L483" s="764"/>
    </row>
    <row r="484" spans="2:15" ht="15.75">
      <c r="B484" s="762"/>
      <c r="K484" s="786"/>
      <c r="L484" s="764"/>
    </row>
    <row r="485" spans="2:15" ht="15.75">
      <c r="B485" s="762"/>
      <c r="K485" s="786"/>
      <c r="L485" s="764"/>
    </row>
    <row r="486" spans="2:15" ht="15.75">
      <c r="B486" s="762"/>
      <c r="K486" s="786"/>
      <c r="L486" s="764"/>
    </row>
    <row r="487" spans="2:15" ht="15.75">
      <c r="B487" s="762"/>
      <c r="K487" s="786"/>
      <c r="L487" s="764"/>
    </row>
    <row r="488" spans="2:15" ht="15.75">
      <c r="B488" s="762"/>
      <c r="K488" s="786"/>
      <c r="L488" s="764"/>
    </row>
    <row r="489" spans="2:15" ht="15.75">
      <c r="B489" s="762"/>
      <c r="K489" s="786"/>
      <c r="L489" s="764"/>
    </row>
    <row r="490" spans="2:15" ht="15.75">
      <c r="B490" s="762"/>
      <c r="K490" s="786"/>
      <c r="L490" s="764"/>
    </row>
    <row r="491" spans="2:15" ht="15.75">
      <c r="B491" s="762"/>
      <c r="K491" s="786"/>
      <c r="L491" s="764"/>
    </row>
    <row r="492" spans="2:15" ht="15.75">
      <c r="B492" s="762"/>
      <c r="K492" s="786"/>
      <c r="L492" s="764"/>
    </row>
    <row r="493" spans="2:15" ht="15.75">
      <c r="B493" s="762"/>
      <c r="K493" s="786"/>
      <c r="L493" s="764"/>
      <c r="O493" s="648"/>
    </row>
    <row r="494" spans="2:15" ht="15.75">
      <c r="B494" s="762"/>
      <c r="K494" s="786"/>
      <c r="L494" s="764"/>
    </row>
    <row r="495" spans="2:15" ht="15.75">
      <c r="B495" s="762"/>
      <c r="K495" s="786"/>
      <c r="L495" s="764"/>
    </row>
    <row r="496" spans="2:15" ht="15.75">
      <c r="B496" s="762"/>
      <c r="K496" s="786"/>
      <c r="L496" s="764"/>
    </row>
    <row r="497" spans="2:12" ht="16.5" thickBot="1">
      <c r="B497" s="762"/>
      <c r="K497" s="786"/>
      <c r="L497" s="764"/>
    </row>
    <row r="498" spans="2:12" ht="16.5" thickBot="1">
      <c r="B498" s="641"/>
      <c r="D498" s="1772" t="s">
        <v>911</v>
      </c>
      <c r="E498" s="1773"/>
      <c r="F498" s="1773"/>
      <c r="G498" s="1773"/>
      <c r="H498" s="1774"/>
      <c r="K498" s="633"/>
      <c r="L498" s="635"/>
    </row>
    <row r="499" spans="2:12" ht="15.75">
      <c r="B499" s="641"/>
      <c r="D499" s="1779" t="s">
        <v>765</v>
      </c>
      <c r="E499" s="1780"/>
      <c r="F499" s="1780"/>
      <c r="G499" s="1780"/>
      <c r="H499" s="1781"/>
      <c r="K499" s="633"/>
      <c r="L499" s="635"/>
    </row>
    <row r="500" spans="2:12" ht="15.75">
      <c r="B500" s="641"/>
      <c r="C500" s="644"/>
      <c r="D500" s="1782" t="s">
        <v>912</v>
      </c>
      <c r="E500" s="1786"/>
      <c r="F500" s="822" t="s">
        <v>739</v>
      </c>
      <c r="G500" s="822" t="s">
        <v>732</v>
      </c>
      <c r="H500" s="827" t="s">
        <v>871</v>
      </c>
      <c r="K500" s="633"/>
      <c r="L500" s="635"/>
    </row>
    <row r="501" spans="2:12" ht="15">
      <c r="B501" s="641"/>
      <c r="C501" s="642"/>
      <c r="D501" s="843" t="s">
        <v>913</v>
      </c>
      <c r="E501" s="828">
        <f>0.2 +0.2 + 0.28 + 0.28</f>
        <v>0.96</v>
      </c>
      <c r="F501" s="823">
        <v>1.1000000000000001</v>
      </c>
      <c r="G501" s="844">
        <v>20</v>
      </c>
      <c r="H501" s="829">
        <f>F501*G501*E501</f>
        <v>21.12</v>
      </c>
      <c r="K501" s="633"/>
      <c r="L501" s="635"/>
    </row>
    <row r="502" spans="2:12" ht="15.75">
      <c r="B502" s="641"/>
      <c r="C502" s="642"/>
      <c r="D502" s="1783" t="s">
        <v>914</v>
      </c>
      <c r="E502" s="1784"/>
      <c r="F502" s="1784"/>
      <c r="G502" s="1784"/>
      <c r="H502" s="1785"/>
      <c r="K502" s="633"/>
      <c r="L502" s="635"/>
    </row>
    <row r="503" spans="2:12" ht="15.75">
      <c r="B503" s="641"/>
      <c r="C503" s="642"/>
      <c r="D503" s="1782" t="s">
        <v>912</v>
      </c>
      <c r="E503" s="1786"/>
      <c r="F503" s="822" t="s">
        <v>738</v>
      </c>
      <c r="G503" s="822" t="s">
        <v>732</v>
      </c>
      <c r="H503" s="827" t="s">
        <v>871</v>
      </c>
      <c r="K503" s="633"/>
      <c r="L503" s="635"/>
    </row>
    <row r="504" spans="2:12" ht="15.75" thickBot="1">
      <c r="B504" s="641"/>
      <c r="C504" s="642"/>
      <c r="D504" s="843" t="s">
        <v>913</v>
      </c>
      <c r="E504" s="828">
        <f>0.2 +0.2 + 0.28 + 0.28</f>
        <v>0.96</v>
      </c>
      <c r="F504" s="823">
        <v>2.2000000000000002</v>
      </c>
      <c r="G504" s="844">
        <f>9*4</f>
        <v>36</v>
      </c>
      <c r="H504" s="829">
        <f>F504*G504*E504</f>
        <v>76.03</v>
      </c>
      <c r="K504" s="633"/>
      <c r="L504" s="635"/>
    </row>
    <row r="505" spans="2:12" ht="18.75" thickBot="1">
      <c r="B505" s="641"/>
      <c r="C505" s="644"/>
      <c r="D505" s="1768" t="s">
        <v>21</v>
      </c>
      <c r="E505" s="1769"/>
      <c r="F505" s="1769"/>
      <c r="G505" s="1797"/>
      <c r="H505" s="830">
        <f>H501+H504</f>
        <v>97.15</v>
      </c>
      <c r="K505" s="633"/>
      <c r="L505" s="635"/>
    </row>
    <row r="506" spans="2:12">
      <c r="B506" s="641"/>
      <c r="C506" s="640"/>
      <c r="K506" s="633"/>
      <c r="L506" s="645"/>
    </row>
    <row r="507" spans="2:12" ht="30.75" customHeight="1">
      <c r="B507" s="709" t="s">
        <v>915</v>
      </c>
      <c r="C507" s="1771" t="s">
        <v>829</v>
      </c>
      <c r="D507" s="1771"/>
      <c r="E507" s="1771"/>
      <c r="F507" s="1771"/>
      <c r="G507" s="1771"/>
      <c r="H507" s="1771"/>
      <c r="I507" s="710"/>
      <c r="J507" s="710"/>
      <c r="K507" s="711" t="s">
        <v>763</v>
      </c>
      <c r="L507" s="712">
        <f>G513</f>
        <v>200.08</v>
      </c>
    </row>
    <row r="508" spans="2:12" ht="408.75" customHeight="1">
      <c r="B508" s="709"/>
      <c r="C508" s="710"/>
      <c r="D508" s="710"/>
      <c r="E508" s="710"/>
      <c r="F508" s="710"/>
      <c r="G508" s="710"/>
      <c r="H508" s="710"/>
      <c r="I508" s="710"/>
      <c r="J508" s="710"/>
      <c r="K508" s="711"/>
      <c r="L508" s="712"/>
    </row>
    <row r="509" spans="2:12" ht="360.75" customHeight="1" thickBot="1">
      <c r="B509" s="762"/>
      <c r="C509" s="780"/>
      <c r="K509" s="627"/>
      <c r="L509" s="628"/>
    </row>
    <row r="510" spans="2:12" ht="16.5" thickBot="1">
      <c r="B510" s="641"/>
      <c r="C510" s="644"/>
      <c r="D510" s="1772" t="s">
        <v>904</v>
      </c>
      <c r="E510" s="1773"/>
      <c r="F510" s="1773"/>
      <c r="G510" s="1773"/>
      <c r="H510" s="1774"/>
      <c r="K510" s="633"/>
      <c r="L510" s="635"/>
    </row>
    <row r="511" spans="2:12" ht="15">
      <c r="B511" s="641"/>
      <c r="C511" s="642"/>
      <c r="D511" s="1787" t="s">
        <v>916</v>
      </c>
      <c r="E511" s="1788"/>
      <c r="F511" s="1789"/>
      <c r="G511" s="1790">
        <v>222.31</v>
      </c>
      <c r="H511" s="1791"/>
      <c r="K511" s="633"/>
      <c r="L511" s="635"/>
    </row>
    <row r="512" spans="2:12" ht="18.75" thickBot="1">
      <c r="B512" s="641"/>
      <c r="C512" s="644"/>
      <c r="D512" s="1766" t="s">
        <v>21</v>
      </c>
      <c r="E512" s="1767"/>
      <c r="F512" s="1792"/>
      <c r="G512" s="1793">
        <f>G511</f>
        <v>222.31</v>
      </c>
      <c r="H512" s="1794"/>
      <c r="K512" s="633"/>
      <c r="L512" s="635"/>
    </row>
    <row r="513" spans="2:15" s="739" customFormat="1" ht="24.75" customHeight="1">
      <c r="B513" s="740"/>
      <c r="D513" s="1795" t="s">
        <v>813</v>
      </c>
      <c r="E513" s="1795"/>
      <c r="F513" s="1795"/>
      <c r="G513" s="1796">
        <f>G512-(G511*0.1)</f>
        <v>200.08</v>
      </c>
      <c r="H513" s="1796"/>
      <c r="K513" s="742"/>
      <c r="L513" s="743"/>
      <c r="N513" s="745"/>
      <c r="O513" s="745"/>
    </row>
    <row r="514" spans="2:15">
      <c r="B514" s="641"/>
      <c r="C514" s="640"/>
      <c r="K514" s="633"/>
      <c r="L514" s="645"/>
    </row>
    <row r="515" spans="2:15" ht="14.25" customHeight="1">
      <c r="B515" s="641"/>
      <c r="C515" s="640"/>
      <c r="K515" s="633"/>
      <c r="L515" s="645"/>
    </row>
    <row r="516" spans="2:15" ht="15.75" customHeight="1">
      <c r="B516" s="709" t="s">
        <v>917</v>
      </c>
      <c r="C516" s="1771" t="s">
        <v>814</v>
      </c>
      <c r="D516" s="1771"/>
      <c r="E516" s="1771"/>
      <c r="F516" s="1771"/>
      <c r="G516" s="1771"/>
      <c r="H516" s="1771"/>
      <c r="I516" s="710"/>
      <c r="J516" s="710"/>
      <c r="K516" s="711" t="s">
        <v>0</v>
      </c>
      <c r="L516" s="712">
        <f>H541</f>
        <v>4.05</v>
      </c>
    </row>
    <row r="517" spans="2:15">
      <c r="B517" s="762"/>
      <c r="C517" s="780"/>
      <c r="K517" s="627"/>
      <c r="L517" s="628"/>
    </row>
    <row r="518" spans="2:15">
      <c r="B518" s="762"/>
      <c r="C518" s="780"/>
      <c r="K518" s="627"/>
      <c r="L518" s="628"/>
    </row>
    <row r="519" spans="2:15">
      <c r="B519" s="762"/>
      <c r="C519" s="780"/>
      <c r="K519" s="627"/>
      <c r="L519" s="628"/>
    </row>
    <row r="520" spans="2:15">
      <c r="B520" s="762"/>
      <c r="C520" s="780"/>
      <c r="K520" s="627"/>
      <c r="L520" s="628"/>
    </row>
    <row r="521" spans="2:15">
      <c r="B521" s="762"/>
      <c r="C521" s="780"/>
      <c r="K521" s="627"/>
      <c r="L521" s="628"/>
    </row>
    <row r="522" spans="2:15">
      <c r="B522" s="762"/>
      <c r="C522" s="780"/>
      <c r="K522" s="627"/>
      <c r="L522" s="628"/>
    </row>
    <row r="523" spans="2:15">
      <c r="B523" s="762"/>
      <c r="C523" s="780"/>
      <c r="K523" s="627"/>
      <c r="L523" s="628"/>
    </row>
    <row r="524" spans="2:15">
      <c r="B524" s="762"/>
      <c r="C524" s="780"/>
      <c r="K524" s="627"/>
      <c r="L524" s="628"/>
    </row>
    <row r="525" spans="2:15">
      <c r="B525" s="762"/>
      <c r="C525" s="780"/>
      <c r="K525" s="627"/>
      <c r="L525" s="628"/>
    </row>
    <row r="526" spans="2:15">
      <c r="B526" s="762"/>
      <c r="C526" s="780"/>
      <c r="K526" s="627"/>
      <c r="L526" s="628"/>
    </row>
    <row r="527" spans="2:15">
      <c r="B527" s="762"/>
      <c r="C527" s="780"/>
      <c r="K527" s="627"/>
      <c r="L527" s="628"/>
    </row>
    <row r="528" spans="2:15">
      <c r="B528" s="762"/>
      <c r="C528" s="780"/>
      <c r="K528" s="627"/>
      <c r="L528" s="628"/>
    </row>
    <row r="529" spans="2:12">
      <c r="B529" s="762"/>
      <c r="C529" s="780"/>
      <c r="K529" s="627"/>
      <c r="L529" s="628"/>
    </row>
    <row r="530" spans="2:12">
      <c r="B530" s="762"/>
      <c r="C530" s="780"/>
      <c r="K530" s="627"/>
      <c r="L530" s="628"/>
    </row>
    <row r="531" spans="2:12">
      <c r="B531" s="762"/>
      <c r="C531" s="780"/>
      <c r="K531" s="627"/>
      <c r="L531" s="628"/>
    </row>
    <row r="532" spans="2:12">
      <c r="B532" s="762"/>
      <c r="C532" s="780"/>
      <c r="K532" s="627"/>
      <c r="L532" s="628"/>
    </row>
    <row r="533" spans="2:12" ht="13.5" thickBot="1">
      <c r="B533" s="762"/>
      <c r="C533" s="780"/>
      <c r="K533" s="627"/>
      <c r="L533" s="628"/>
    </row>
    <row r="534" spans="2:12" ht="16.5" thickBot="1">
      <c r="B534" s="641"/>
      <c r="C534" s="644"/>
      <c r="D534" s="1772" t="s">
        <v>907</v>
      </c>
      <c r="E534" s="1773"/>
      <c r="F534" s="1773"/>
      <c r="G534" s="1773"/>
      <c r="H534" s="1774"/>
      <c r="K534" s="633"/>
      <c r="L534" s="635"/>
    </row>
    <row r="535" spans="2:12" ht="15.75">
      <c r="B535" s="641"/>
      <c r="C535" s="644"/>
      <c r="D535" s="1779" t="s">
        <v>765</v>
      </c>
      <c r="E535" s="1780"/>
      <c r="F535" s="1780"/>
      <c r="G535" s="1780"/>
      <c r="H535" s="1781"/>
      <c r="K535" s="633"/>
      <c r="L535" s="635"/>
    </row>
    <row r="536" spans="2:12" ht="15.75">
      <c r="B536" s="641"/>
      <c r="C536" s="644"/>
      <c r="D536" s="1782" t="s">
        <v>918</v>
      </c>
      <c r="E536" s="1776"/>
      <c r="F536" s="822" t="s">
        <v>739</v>
      </c>
      <c r="G536" s="822" t="s">
        <v>732</v>
      </c>
      <c r="H536" s="827" t="s">
        <v>871</v>
      </c>
      <c r="K536" s="633"/>
      <c r="L536" s="635"/>
    </row>
    <row r="537" spans="2:12" ht="15">
      <c r="B537" s="641"/>
      <c r="C537" s="642"/>
      <c r="D537" s="838">
        <v>0.2</v>
      </c>
      <c r="E537" s="839">
        <v>0.2</v>
      </c>
      <c r="F537" s="717">
        <v>1.1000000000000001</v>
      </c>
      <c r="G537" s="848">
        <v>20</v>
      </c>
      <c r="H537" s="829">
        <f>D537*E537*F537*G537</f>
        <v>0.88</v>
      </c>
      <c r="K537" s="633"/>
      <c r="L537" s="635"/>
    </row>
    <row r="538" spans="2:12" ht="15.75">
      <c r="B538" s="641"/>
      <c r="C538" s="642"/>
      <c r="D538" s="1783" t="s">
        <v>914</v>
      </c>
      <c r="E538" s="1784"/>
      <c r="F538" s="1784"/>
      <c r="G538" s="1784"/>
      <c r="H538" s="1785"/>
      <c r="K538" s="633"/>
      <c r="L538" s="635"/>
    </row>
    <row r="539" spans="2:12" ht="15.75">
      <c r="B539" s="641"/>
      <c r="C539" s="642"/>
      <c r="D539" s="1782" t="s">
        <v>919</v>
      </c>
      <c r="E539" s="1786"/>
      <c r="F539" s="822" t="s">
        <v>738</v>
      </c>
      <c r="G539" s="822" t="s">
        <v>732</v>
      </c>
      <c r="H539" s="827" t="s">
        <v>871</v>
      </c>
      <c r="K539" s="633"/>
      <c r="L539" s="635"/>
    </row>
    <row r="540" spans="2:12" ht="15.75" thickBot="1">
      <c r="B540" s="641"/>
      <c r="C540" s="642"/>
      <c r="D540" s="838">
        <v>0.2</v>
      </c>
      <c r="E540" s="839">
        <v>0.2</v>
      </c>
      <c r="F540" s="717">
        <v>2.2000000000000002</v>
      </c>
      <c r="G540" s="848">
        <v>36</v>
      </c>
      <c r="H540" s="829">
        <f>D540*E540*F540*G540</f>
        <v>3.17</v>
      </c>
      <c r="K540" s="633"/>
      <c r="L540" s="635"/>
    </row>
    <row r="541" spans="2:12" ht="18.75" thickBot="1">
      <c r="B541" s="641"/>
      <c r="C541" s="644"/>
      <c r="D541" s="1768" t="s">
        <v>21</v>
      </c>
      <c r="E541" s="1769"/>
      <c r="F541" s="1769"/>
      <c r="G541" s="1769"/>
      <c r="H541" s="830">
        <f>H537+H540</f>
        <v>4.05</v>
      </c>
      <c r="K541" s="633"/>
      <c r="L541" s="635"/>
    </row>
    <row r="542" spans="2:12">
      <c r="B542" s="626"/>
      <c r="C542" s="636"/>
      <c r="K542" s="633"/>
      <c r="L542" s="635"/>
    </row>
    <row r="543" spans="2:12" ht="15.75">
      <c r="B543" s="705" t="s">
        <v>920</v>
      </c>
      <c r="C543" s="1770" t="s">
        <v>921</v>
      </c>
      <c r="D543" s="1770"/>
      <c r="E543" s="1770"/>
      <c r="F543" s="1770"/>
      <c r="G543" s="1770"/>
      <c r="H543" s="1770"/>
      <c r="I543" s="706"/>
      <c r="J543" s="706"/>
      <c r="K543" s="707"/>
      <c r="L543" s="708"/>
    </row>
    <row r="544" spans="2:12">
      <c r="B544" s="641"/>
      <c r="C544" s="831"/>
      <c r="K544" s="633"/>
      <c r="L544" s="635"/>
    </row>
    <row r="545" spans="2:12" ht="15.75" customHeight="1">
      <c r="B545" s="709" t="s">
        <v>922</v>
      </c>
      <c r="C545" s="1771" t="s">
        <v>784</v>
      </c>
      <c r="D545" s="1771"/>
      <c r="E545" s="1771"/>
      <c r="F545" s="1771"/>
      <c r="G545" s="1771"/>
      <c r="H545" s="1771"/>
      <c r="I545" s="710"/>
      <c r="J545" s="710"/>
      <c r="K545" s="711" t="s">
        <v>923</v>
      </c>
      <c r="L545" s="712">
        <f>H550</f>
        <v>188</v>
      </c>
    </row>
    <row r="546" spans="2:12" ht="16.5" thickBot="1">
      <c r="B546" s="762"/>
      <c r="K546" s="786"/>
      <c r="L546" s="764"/>
    </row>
    <row r="547" spans="2:12" ht="16.5" thickBot="1">
      <c r="B547" s="762"/>
      <c r="C547" s="780"/>
      <c r="D547" s="1772" t="s">
        <v>867</v>
      </c>
      <c r="E547" s="1773"/>
      <c r="F547" s="1773"/>
      <c r="G547" s="1773"/>
      <c r="H547" s="1774"/>
      <c r="K547" s="627"/>
      <c r="L547" s="628"/>
    </row>
    <row r="548" spans="2:12" ht="15.75">
      <c r="B548" s="641"/>
      <c r="C548" s="644"/>
      <c r="D548" s="826" t="s">
        <v>738</v>
      </c>
      <c r="E548" s="1775" t="s">
        <v>296</v>
      </c>
      <c r="F548" s="1776"/>
      <c r="G548" s="822" t="s">
        <v>732</v>
      </c>
      <c r="H548" s="827" t="s">
        <v>871</v>
      </c>
      <c r="K548" s="633"/>
      <c r="L548" s="635"/>
    </row>
    <row r="549" spans="2:12" ht="15">
      <c r="B549" s="641"/>
      <c r="C549" s="642"/>
      <c r="D549" s="845">
        <v>20</v>
      </c>
      <c r="E549" s="1777">
        <v>9.4</v>
      </c>
      <c r="F549" s="1778"/>
      <c r="G549" s="849">
        <v>1</v>
      </c>
      <c r="H549" s="829">
        <f>D549*E549*G549</f>
        <v>188</v>
      </c>
      <c r="K549" s="633"/>
      <c r="L549" s="635"/>
    </row>
    <row r="550" spans="2:12" ht="18.75" thickBot="1">
      <c r="B550" s="641"/>
      <c r="C550" s="644"/>
      <c r="D550" s="1766" t="s">
        <v>21</v>
      </c>
      <c r="E550" s="1767"/>
      <c r="F550" s="1767"/>
      <c r="G550" s="1767"/>
      <c r="H550" s="821">
        <f>H549</f>
        <v>188</v>
      </c>
      <c r="K550" s="633"/>
      <c r="L550" s="635"/>
    </row>
    <row r="551" spans="2:12" ht="13.5" thickBot="1">
      <c r="B551" s="850"/>
      <c r="C551" s="651"/>
      <c r="D551" s="651"/>
      <c r="E551" s="651"/>
      <c r="F551" s="651"/>
      <c r="G551" s="651"/>
      <c r="H551" s="651"/>
      <c r="I551" s="651"/>
      <c r="J551" s="651"/>
      <c r="K551" s="652"/>
      <c r="L551" s="851"/>
    </row>
    <row r="552" spans="2:12">
      <c r="E552" s="621" t="s">
        <v>754</v>
      </c>
    </row>
  </sheetData>
  <mergeCells count="230">
    <mergeCell ref="B1:L1"/>
    <mergeCell ref="B2:L2"/>
    <mergeCell ref="B3:L3"/>
    <mergeCell ref="C4:H4"/>
    <mergeCell ref="C5:H5"/>
    <mergeCell ref="C7:H7"/>
    <mergeCell ref="D40:F40"/>
    <mergeCell ref="G40:H40"/>
    <mergeCell ref="C42:H42"/>
    <mergeCell ref="C68:H68"/>
    <mergeCell ref="D70:H70"/>
    <mergeCell ref="D71:H71"/>
    <mergeCell ref="C9:H9"/>
    <mergeCell ref="C37:C38"/>
    <mergeCell ref="D37:F37"/>
    <mergeCell ref="G37:H38"/>
    <mergeCell ref="D38:E38"/>
    <mergeCell ref="D39:E39"/>
    <mergeCell ref="G39:H39"/>
    <mergeCell ref="D81:H81"/>
    <mergeCell ref="D82:H82"/>
    <mergeCell ref="D83:E83"/>
    <mergeCell ref="D84:E84"/>
    <mergeCell ref="D85:H85"/>
    <mergeCell ref="D86:E86"/>
    <mergeCell ref="D72:H72"/>
    <mergeCell ref="D73:H73"/>
    <mergeCell ref="D74:E74"/>
    <mergeCell ref="D75:E75"/>
    <mergeCell ref="D76:H76"/>
    <mergeCell ref="D77:E77"/>
    <mergeCell ref="D95:E95"/>
    <mergeCell ref="D98:G98"/>
    <mergeCell ref="C100:H100"/>
    <mergeCell ref="D102:H102"/>
    <mergeCell ref="D103:F103"/>
    <mergeCell ref="G103:H103"/>
    <mergeCell ref="D89:H89"/>
    <mergeCell ref="D90:H90"/>
    <mergeCell ref="D91:H91"/>
    <mergeCell ref="D92:E92"/>
    <mergeCell ref="D93:E93"/>
    <mergeCell ref="D94:H94"/>
    <mergeCell ref="D110:H110"/>
    <mergeCell ref="D115:G115"/>
    <mergeCell ref="C117:H117"/>
    <mergeCell ref="C119:H119"/>
    <mergeCell ref="D121:H121"/>
    <mergeCell ref="D122:F122"/>
    <mergeCell ref="G122:H122"/>
    <mergeCell ref="N103:O104"/>
    <mergeCell ref="D104:F104"/>
    <mergeCell ref="G104:H104"/>
    <mergeCell ref="D105:F105"/>
    <mergeCell ref="G105:H105"/>
    <mergeCell ref="C108:H108"/>
    <mergeCell ref="D151:H151"/>
    <mergeCell ref="D152:H152"/>
    <mergeCell ref="D153:H153"/>
    <mergeCell ref="D154:E154"/>
    <mergeCell ref="D158:H158"/>
    <mergeCell ref="D159:H159"/>
    <mergeCell ref="D123:F123"/>
    <mergeCell ref="G123:H123"/>
    <mergeCell ref="D124:F124"/>
    <mergeCell ref="G124:H124"/>
    <mergeCell ref="C126:H126"/>
    <mergeCell ref="C149:H149"/>
    <mergeCell ref="D170:F170"/>
    <mergeCell ref="G170:H170"/>
    <mergeCell ref="D171:F171"/>
    <mergeCell ref="G171:H171"/>
    <mergeCell ref="C173:H173"/>
    <mergeCell ref="D175:H175"/>
    <mergeCell ref="D160:E160"/>
    <mergeCell ref="D164:G164"/>
    <mergeCell ref="C166:H166"/>
    <mergeCell ref="D168:H168"/>
    <mergeCell ref="D169:F169"/>
    <mergeCell ref="G169:H169"/>
    <mergeCell ref="C192:H192"/>
    <mergeCell ref="D212:H212"/>
    <mergeCell ref="G213:H213"/>
    <mergeCell ref="G214:H214"/>
    <mergeCell ref="D215:F215"/>
    <mergeCell ref="G215:H215"/>
    <mergeCell ref="D176:H176"/>
    <mergeCell ref="D177:H177"/>
    <mergeCell ref="D182:H182"/>
    <mergeCell ref="D183:H183"/>
    <mergeCell ref="D188:G188"/>
    <mergeCell ref="C190:H190"/>
    <mergeCell ref="D249:E249"/>
    <mergeCell ref="D250:E250"/>
    <mergeCell ref="D251:E251"/>
    <mergeCell ref="D252:E252"/>
    <mergeCell ref="D253:E253"/>
    <mergeCell ref="D254:E254"/>
    <mergeCell ref="C217:H217"/>
    <mergeCell ref="D244:H244"/>
    <mergeCell ref="D245:H245"/>
    <mergeCell ref="D246:E246"/>
    <mergeCell ref="D247:E247"/>
    <mergeCell ref="D248:E248"/>
    <mergeCell ref="D261:E261"/>
    <mergeCell ref="D262:E262"/>
    <mergeCell ref="D263:E263"/>
    <mergeCell ref="D264:E264"/>
    <mergeCell ref="D265:E265"/>
    <mergeCell ref="D266:E266"/>
    <mergeCell ref="D255:E255"/>
    <mergeCell ref="D256:E256"/>
    <mergeCell ref="D257:E257"/>
    <mergeCell ref="D258:E258"/>
    <mergeCell ref="D259:E259"/>
    <mergeCell ref="D260:E260"/>
    <mergeCell ref="D274:F274"/>
    <mergeCell ref="G274:H274"/>
    <mergeCell ref="C276:H276"/>
    <mergeCell ref="D278:H278"/>
    <mergeCell ref="D279:H279"/>
    <mergeCell ref="D301:G301"/>
    <mergeCell ref="D267:G267"/>
    <mergeCell ref="C269:H269"/>
    <mergeCell ref="D271:H271"/>
    <mergeCell ref="D272:F272"/>
    <mergeCell ref="G272:H272"/>
    <mergeCell ref="D273:F273"/>
    <mergeCell ref="G273:H273"/>
    <mergeCell ref="C314:H314"/>
    <mergeCell ref="D340:H340"/>
    <mergeCell ref="D341:E341"/>
    <mergeCell ref="D342:E342"/>
    <mergeCell ref="D343:G343"/>
    <mergeCell ref="C345:H345"/>
    <mergeCell ref="C303:H303"/>
    <mergeCell ref="D306:H306"/>
    <mergeCell ref="F307:G307"/>
    <mergeCell ref="F308:G308"/>
    <mergeCell ref="D309:G309"/>
    <mergeCell ref="C312:H312"/>
    <mergeCell ref="D374:F374"/>
    <mergeCell ref="G374:H374"/>
    <mergeCell ref="C376:H376"/>
    <mergeCell ref="C378:H378"/>
    <mergeCell ref="C380:H380"/>
    <mergeCell ref="D382:H382"/>
    <mergeCell ref="C347:H347"/>
    <mergeCell ref="C371:C372"/>
    <mergeCell ref="D371:F371"/>
    <mergeCell ref="G371:H372"/>
    <mergeCell ref="D372:E372"/>
    <mergeCell ref="D373:E373"/>
    <mergeCell ref="G373:H373"/>
    <mergeCell ref="D389:G389"/>
    <mergeCell ref="C392:H392"/>
    <mergeCell ref="D394:H394"/>
    <mergeCell ref="D395:F395"/>
    <mergeCell ref="G395:H395"/>
    <mergeCell ref="O395:P396"/>
    <mergeCell ref="D396:F396"/>
    <mergeCell ref="G396:H396"/>
    <mergeCell ref="D383:H383"/>
    <mergeCell ref="D384:F384"/>
    <mergeCell ref="D385:E385"/>
    <mergeCell ref="D386:H386"/>
    <mergeCell ref="D387:F387"/>
    <mergeCell ref="D388:E388"/>
    <mergeCell ref="E405:F405"/>
    <mergeCell ref="D406:H406"/>
    <mergeCell ref="E407:F407"/>
    <mergeCell ref="E408:F408"/>
    <mergeCell ref="D409:G409"/>
    <mergeCell ref="C411:H411"/>
    <mergeCell ref="D397:F397"/>
    <mergeCell ref="G397:H397"/>
    <mergeCell ref="C400:H400"/>
    <mergeCell ref="D402:H402"/>
    <mergeCell ref="D403:H403"/>
    <mergeCell ref="E404:F404"/>
    <mergeCell ref="D444:G444"/>
    <mergeCell ref="C447:H447"/>
    <mergeCell ref="D450:H450"/>
    <mergeCell ref="D451:F451"/>
    <mergeCell ref="G451:H451"/>
    <mergeCell ref="D452:F452"/>
    <mergeCell ref="G452:H452"/>
    <mergeCell ref="C413:H413"/>
    <mergeCell ref="D437:H437"/>
    <mergeCell ref="D438:H438"/>
    <mergeCell ref="D439:E439"/>
    <mergeCell ref="D441:H441"/>
    <mergeCell ref="D442:E442"/>
    <mergeCell ref="D462:H462"/>
    <mergeCell ref="D465:G465"/>
    <mergeCell ref="C468:H468"/>
    <mergeCell ref="C470:H470"/>
    <mergeCell ref="D498:H498"/>
    <mergeCell ref="D499:H499"/>
    <mergeCell ref="D453:F453"/>
    <mergeCell ref="G453:H453"/>
    <mergeCell ref="O454:P455"/>
    <mergeCell ref="C456:H456"/>
    <mergeCell ref="D458:H458"/>
    <mergeCell ref="D459:H459"/>
    <mergeCell ref="D511:F511"/>
    <mergeCell ref="G511:H511"/>
    <mergeCell ref="D512:F512"/>
    <mergeCell ref="G512:H512"/>
    <mergeCell ref="D513:F513"/>
    <mergeCell ref="G513:H513"/>
    <mergeCell ref="D500:E500"/>
    <mergeCell ref="D502:H502"/>
    <mergeCell ref="D503:E503"/>
    <mergeCell ref="D505:G505"/>
    <mergeCell ref="C507:H507"/>
    <mergeCell ref="D510:H510"/>
    <mergeCell ref="D550:G550"/>
    <mergeCell ref="D541:G541"/>
    <mergeCell ref="C543:H543"/>
    <mergeCell ref="C545:H545"/>
    <mergeCell ref="D547:H547"/>
    <mergeCell ref="E548:F548"/>
    <mergeCell ref="E549:F549"/>
    <mergeCell ref="C516:H516"/>
    <mergeCell ref="D534:H534"/>
    <mergeCell ref="D535:H535"/>
    <mergeCell ref="D536:E536"/>
    <mergeCell ref="D538:H538"/>
    <mergeCell ref="D539:E539"/>
  </mergeCells>
  <pageMargins left="0.511811024" right="0.511811024" top="0.78740157499999996" bottom="0.78740157499999996" header="0.31496062000000002" footer="0.3149606200000000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2"/>
  <dimension ref="A1:N48"/>
  <sheetViews>
    <sheetView showGridLines="0" zoomScale="90" zoomScaleNormal="90" workbookViewId="0">
      <selection activeCell="C4" sqref="C4"/>
    </sheetView>
  </sheetViews>
  <sheetFormatPr defaultColWidth="9" defaultRowHeight="15"/>
  <cols>
    <col min="1" max="1" width="0.42578125" style="656" customWidth="1"/>
    <col min="2" max="2" width="8.42578125" style="694" customWidth="1"/>
    <col min="3" max="3" width="82.140625" style="694" customWidth="1"/>
    <col min="4" max="4" width="5.42578125" style="694" bestFit="1" customWidth="1"/>
    <col min="5" max="5" width="9" style="694"/>
    <col min="6" max="7" width="7.5703125" style="694" customWidth="1"/>
    <col min="8" max="8" width="11.140625" style="694" customWidth="1"/>
    <col min="9" max="11" width="0" style="656" hidden="1" customWidth="1"/>
    <col min="12" max="12" width="13.5703125" style="656" hidden="1" customWidth="1"/>
    <col min="13" max="13" width="0.42578125" style="656" customWidth="1"/>
    <col min="14" max="14" width="16.140625" style="656" customWidth="1"/>
    <col min="15" max="16384" width="9" style="656"/>
  </cols>
  <sheetData>
    <row r="1" spans="1:14" ht="30.2" customHeight="1">
      <c r="A1" s="655"/>
      <c r="B1" s="1927" t="s">
        <v>925</v>
      </c>
      <c r="C1" s="1928"/>
      <c r="D1" s="1928"/>
      <c r="E1" s="1928"/>
      <c r="F1" s="1928"/>
      <c r="G1" s="1928"/>
      <c r="H1" s="1929"/>
      <c r="L1" s="1930">
        <v>2020</v>
      </c>
    </row>
    <row r="2" spans="1:14" ht="28.5">
      <c r="A2" s="657"/>
      <c r="B2" s="658" t="s">
        <v>924</v>
      </c>
      <c r="C2" s="659"/>
      <c r="D2" s="659"/>
      <c r="E2" s="659"/>
      <c r="F2" s="659"/>
      <c r="G2" s="659"/>
      <c r="H2" s="660"/>
      <c r="L2" s="1930"/>
    </row>
    <row r="3" spans="1:14" ht="45">
      <c r="A3" s="661"/>
      <c r="B3" s="662" t="s">
        <v>926</v>
      </c>
      <c r="C3" s="663" t="s">
        <v>5</v>
      </c>
      <c r="D3" s="664" t="s">
        <v>756</v>
      </c>
      <c r="E3" s="665" t="s">
        <v>742</v>
      </c>
      <c r="F3" s="662" t="s">
        <v>757</v>
      </c>
      <c r="G3" s="662" t="s">
        <v>758</v>
      </c>
      <c r="H3" s="666" t="s">
        <v>759</v>
      </c>
      <c r="I3" s="656">
        <v>325</v>
      </c>
      <c r="N3" s="667"/>
    </row>
    <row r="4" spans="1:14">
      <c r="A4" s="661"/>
      <c r="B4" s="668"/>
      <c r="C4" s="669" t="s">
        <v>735</v>
      </c>
      <c r="D4" s="668"/>
      <c r="E4" s="668"/>
      <c r="F4" s="668"/>
      <c r="G4" s="668"/>
      <c r="H4" s="668">
        <f>SUBTOTAL(9,H5:H5)</f>
        <v>13178.8</v>
      </c>
      <c r="L4" s="670"/>
    </row>
    <row r="5" spans="1:14" ht="28.5">
      <c r="A5" s="671"/>
      <c r="B5" s="672">
        <v>99059</v>
      </c>
      <c r="C5" s="673" t="s">
        <v>760</v>
      </c>
      <c r="D5" s="674" t="s">
        <v>3</v>
      </c>
      <c r="E5" s="676">
        <f>'MC-PONTE'!L9</f>
        <v>188</v>
      </c>
      <c r="F5" s="675">
        <v>55</v>
      </c>
      <c r="G5" s="676">
        <f>F5*(1+ORÇAMENTO!$J$16)</f>
        <v>70.099999999999994</v>
      </c>
      <c r="H5" s="676">
        <f>ROUND(G5*E5,2)</f>
        <v>13178.8</v>
      </c>
      <c r="J5" s="656">
        <v>24.276479999999999</v>
      </c>
      <c r="K5" s="656">
        <f>J5/1.2644</f>
        <v>19.2</v>
      </c>
      <c r="L5" s="677">
        <v>37.79</v>
      </c>
    </row>
    <row r="6" spans="1:14">
      <c r="A6" s="661"/>
      <c r="B6" s="678"/>
      <c r="C6" s="679" t="s">
        <v>744</v>
      </c>
      <c r="D6" s="678"/>
      <c r="E6" s="678"/>
      <c r="F6" s="678"/>
      <c r="G6" s="678"/>
      <c r="H6" s="678">
        <f>SUBTOTAL(9,H7:H9)</f>
        <v>52094.59</v>
      </c>
      <c r="K6" s="656">
        <f t="shared" ref="K6:K42" si="0">J6/1.2644</f>
        <v>0</v>
      </c>
      <c r="L6" s="680"/>
    </row>
    <row r="7" spans="1:14" ht="42.75">
      <c r="A7" s="671"/>
      <c r="B7" s="672">
        <v>96537</v>
      </c>
      <c r="C7" s="673" t="s">
        <v>761</v>
      </c>
      <c r="D7" s="674" t="s">
        <v>737</v>
      </c>
      <c r="E7" s="676">
        <f>'MC-PONTE'!L68</f>
        <v>61.2</v>
      </c>
      <c r="F7" s="675">
        <v>192.31</v>
      </c>
      <c r="G7" s="676">
        <f>F7*(1+ORÇAMENTO!$J$16)</f>
        <v>245.12</v>
      </c>
      <c r="H7" s="676">
        <f>ROUND(G7*E7,2)</f>
        <v>15001.34</v>
      </c>
      <c r="J7" s="656">
        <v>28.752455999999999</v>
      </c>
      <c r="K7" s="656">
        <f t="shared" si="0"/>
        <v>22.74</v>
      </c>
      <c r="L7" s="677">
        <v>129.5</v>
      </c>
    </row>
    <row r="8" spans="1:14" ht="28.5">
      <c r="A8" s="671"/>
      <c r="B8" s="672">
        <v>96543</v>
      </c>
      <c r="C8" s="673" t="s">
        <v>762</v>
      </c>
      <c r="D8" s="674" t="s">
        <v>763</v>
      </c>
      <c r="E8" s="676">
        <f>'MC-PONTE'!L100</f>
        <v>1185.75</v>
      </c>
      <c r="F8" s="675">
        <v>16.739999999999998</v>
      </c>
      <c r="G8" s="676">
        <f>F8*(1+ORÇAMENTO!$J$16)</f>
        <v>21.34</v>
      </c>
      <c r="H8" s="676">
        <f>ROUND(G8*E8,2)</f>
        <v>25303.91</v>
      </c>
      <c r="J8" s="656">
        <v>7.91</v>
      </c>
      <c r="K8" s="656">
        <f t="shared" si="0"/>
        <v>6.2559316671939298</v>
      </c>
      <c r="L8" s="677">
        <v>12.73</v>
      </c>
    </row>
    <row r="9" spans="1:14" ht="42.75">
      <c r="A9" s="671"/>
      <c r="B9" s="672">
        <v>96557</v>
      </c>
      <c r="C9" s="673" t="s">
        <v>764</v>
      </c>
      <c r="D9" s="674" t="s">
        <v>193</v>
      </c>
      <c r="E9" s="676">
        <f>'MC-PONTE'!L108</f>
        <v>10.27</v>
      </c>
      <c r="F9" s="675">
        <v>900.63</v>
      </c>
      <c r="G9" s="676">
        <f>F9*(1+ORÇAMENTO!$J$16)</f>
        <v>1147.94</v>
      </c>
      <c r="H9" s="676">
        <f>ROUND(G9*E9,2)</f>
        <v>11789.34</v>
      </c>
      <c r="J9" s="656">
        <v>635.25984800000003</v>
      </c>
      <c r="K9" s="656">
        <f t="shared" si="0"/>
        <v>502.42</v>
      </c>
      <c r="L9" s="677">
        <v>528.88</v>
      </c>
    </row>
    <row r="10" spans="1:14" ht="24.75" hidden="1" customHeight="1">
      <c r="A10" s="661"/>
      <c r="B10" s="678"/>
      <c r="C10" s="679" t="s">
        <v>765</v>
      </c>
      <c r="D10" s="678"/>
      <c r="E10" s="678"/>
      <c r="F10" s="678"/>
      <c r="G10" s="678"/>
      <c r="H10" s="678">
        <f>SUBTOTAL(9,H11)</f>
        <v>0</v>
      </c>
      <c r="K10" s="656">
        <f t="shared" si="0"/>
        <v>0</v>
      </c>
      <c r="L10" s="680"/>
    </row>
    <row r="11" spans="1:14" hidden="1">
      <c r="A11" s="671"/>
      <c r="B11" s="672"/>
      <c r="C11" s="673" t="s">
        <v>766</v>
      </c>
      <c r="D11" s="674"/>
      <c r="E11" s="676"/>
      <c r="F11" s="675"/>
      <c r="G11" s="676"/>
      <c r="H11" s="676"/>
      <c r="J11" s="656">
        <v>6.6886760000000001</v>
      </c>
      <c r="K11" s="656">
        <f t="shared" si="0"/>
        <v>5.29</v>
      </c>
      <c r="L11" s="680"/>
    </row>
    <row r="12" spans="1:14">
      <c r="A12" s="661"/>
      <c r="B12" s="678"/>
      <c r="C12" s="679" t="s">
        <v>767</v>
      </c>
      <c r="D12" s="678"/>
      <c r="E12" s="678"/>
      <c r="F12" s="678"/>
      <c r="G12" s="678"/>
      <c r="H12" s="678">
        <f>SUBTOTAL(9,H13:H15)</f>
        <v>165446.62</v>
      </c>
      <c r="K12" s="656">
        <f t="shared" si="0"/>
        <v>0</v>
      </c>
      <c r="L12" s="680"/>
    </row>
    <row r="13" spans="1:14" ht="28.5">
      <c r="A13" s="671"/>
      <c r="B13" s="672">
        <v>92266</v>
      </c>
      <c r="C13" s="673" t="s">
        <v>768</v>
      </c>
      <c r="D13" s="674" t="s">
        <v>2</v>
      </c>
      <c r="E13" s="676">
        <f>'MC-PONTE'!L149</f>
        <v>393.96</v>
      </c>
      <c r="F13" s="675">
        <v>169.03</v>
      </c>
      <c r="G13" s="676">
        <f>F13*(1+ORÇAMENTO!$J$16)</f>
        <v>215.45</v>
      </c>
      <c r="H13" s="676">
        <f>ROUND(G13*E13,2)</f>
        <v>84878.68</v>
      </c>
      <c r="J13" s="656">
        <v>56.09</v>
      </c>
      <c r="K13" s="656">
        <f t="shared" si="0"/>
        <v>44.360961720974402</v>
      </c>
      <c r="L13" s="677">
        <v>100.73</v>
      </c>
    </row>
    <row r="14" spans="1:14" ht="42.75">
      <c r="A14" s="671"/>
      <c r="B14" s="672">
        <v>92777</v>
      </c>
      <c r="C14" s="673" t="s">
        <v>769</v>
      </c>
      <c r="D14" s="674" t="s">
        <v>763</v>
      </c>
      <c r="E14" s="676">
        <f>'MC-PONTE'!L166+'MC-PONTE'!L119</f>
        <v>3224.74</v>
      </c>
      <c r="F14" s="675">
        <v>12.81</v>
      </c>
      <c r="G14" s="676">
        <f>F14*(1+ORÇAMENTO!$J$16)</f>
        <v>16.329999999999998</v>
      </c>
      <c r="H14" s="676">
        <f>ROUND(G14*E14,2)</f>
        <v>52660</v>
      </c>
      <c r="J14" s="656">
        <v>6.6886760000000001</v>
      </c>
      <c r="K14" s="656">
        <f t="shared" si="0"/>
        <v>5.29</v>
      </c>
      <c r="L14" s="677">
        <v>10.52</v>
      </c>
    </row>
    <row r="15" spans="1:14" ht="42.75">
      <c r="A15" s="671"/>
      <c r="B15" s="672">
        <v>1525</v>
      </c>
      <c r="C15" s="673" t="s">
        <v>770</v>
      </c>
      <c r="D15" s="674" t="s">
        <v>0</v>
      </c>
      <c r="E15" s="676">
        <f>'MC-PONTE'!L173</f>
        <v>46.58</v>
      </c>
      <c r="F15" s="675">
        <v>470.06</v>
      </c>
      <c r="G15" s="676">
        <f>F15*(1+ORÇAMENTO!$J$16)</f>
        <v>599.14</v>
      </c>
      <c r="H15" s="676">
        <f>ROUND(G15*E15,2)</f>
        <v>27907.94</v>
      </c>
      <c r="J15" s="656">
        <v>635.25984800000003</v>
      </c>
      <c r="K15" s="656">
        <f t="shared" si="0"/>
        <v>502.42</v>
      </c>
      <c r="L15" s="677">
        <v>446.66</v>
      </c>
    </row>
    <row r="16" spans="1:14">
      <c r="A16" s="661"/>
      <c r="B16" s="678"/>
      <c r="C16" s="679" t="s">
        <v>771</v>
      </c>
      <c r="D16" s="678"/>
      <c r="E16" s="678"/>
      <c r="F16" s="678"/>
      <c r="G16" s="678"/>
      <c r="H16" s="678">
        <f>SUBTOTAL(9,H17:H21)</f>
        <v>151258.09</v>
      </c>
      <c r="K16" s="656">
        <f t="shared" si="0"/>
        <v>0</v>
      </c>
      <c r="L16" s="680"/>
    </row>
    <row r="17" spans="1:12" ht="42.75">
      <c r="A17" s="671"/>
      <c r="B17" s="672">
        <v>101593</v>
      </c>
      <c r="C17" s="673" t="s">
        <v>772</v>
      </c>
      <c r="D17" s="674" t="s">
        <v>737</v>
      </c>
      <c r="E17" s="676">
        <f>'MC-PONTE'!L192</f>
        <v>440</v>
      </c>
      <c r="F17" s="675">
        <v>89.22</v>
      </c>
      <c r="G17" s="676">
        <f>F17*(1+ORÇAMENTO!$J$16)</f>
        <v>113.72</v>
      </c>
      <c r="H17" s="676">
        <f>ROUND(G17*E17,2)</f>
        <v>50036.800000000003</v>
      </c>
      <c r="J17" s="656">
        <v>50.8</v>
      </c>
      <c r="K17" s="656">
        <f t="shared" si="0"/>
        <v>40.177159126858598</v>
      </c>
      <c r="L17" s="677">
        <v>56.11</v>
      </c>
    </row>
    <row r="18" spans="1:12" ht="28.5">
      <c r="A18" s="671"/>
      <c r="B18" s="672">
        <v>92268</v>
      </c>
      <c r="C18" s="673" t="s">
        <v>773</v>
      </c>
      <c r="D18" s="674" t="s">
        <v>2</v>
      </c>
      <c r="E18" s="676">
        <f>'MC-PONTE'!L217</f>
        <v>146.02000000000001</v>
      </c>
      <c r="F18" s="675">
        <v>96.5</v>
      </c>
      <c r="G18" s="676">
        <f>F18*(1+ORÇAMENTO!$J$16)</f>
        <v>123</v>
      </c>
      <c r="H18" s="676">
        <f>ROUND(G18*E18,2)</f>
        <v>17960.46</v>
      </c>
      <c r="J18" s="656">
        <v>28.752455999999999</v>
      </c>
      <c r="K18" s="656">
        <f t="shared" si="0"/>
        <v>22.74</v>
      </c>
      <c r="L18" s="677">
        <v>52.16</v>
      </c>
    </row>
    <row r="19" spans="1:12" ht="42.75">
      <c r="A19" s="671"/>
      <c r="B19" s="672">
        <v>92777</v>
      </c>
      <c r="C19" s="673" t="s">
        <v>769</v>
      </c>
      <c r="D19" s="674" t="s">
        <v>763</v>
      </c>
      <c r="E19" s="676">
        <f>'MC-PONTE'!L269</f>
        <v>1898.37</v>
      </c>
      <c r="F19" s="675">
        <f>F14</f>
        <v>12.81</v>
      </c>
      <c r="G19" s="676">
        <f>F19*(1+ORÇAMENTO!$J$16)</f>
        <v>16.329999999999998</v>
      </c>
      <c r="H19" s="676">
        <f>ROUND(G19*E19,2)</f>
        <v>31000.38</v>
      </c>
      <c r="J19" s="681">
        <v>7.91</v>
      </c>
      <c r="K19" s="656">
        <f t="shared" si="0"/>
        <v>6.2559316671939298</v>
      </c>
      <c r="L19" s="677">
        <v>10.52</v>
      </c>
    </row>
    <row r="20" spans="1:12" ht="42.75">
      <c r="A20" s="671"/>
      <c r="B20" s="672">
        <v>1525</v>
      </c>
      <c r="C20" s="673" t="s">
        <v>770</v>
      </c>
      <c r="D20" s="674" t="s">
        <v>0</v>
      </c>
      <c r="E20" s="676">
        <f>'MC-PONTE'!L276</f>
        <v>36.520000000000003</v>
      </c>
      <c r="F20" s="675">
        <f>F15</f>
        <v>470.06</v>
      </c>
      <c r="G20" s="676">
        <f>F20*(1+ORÇAMENTO!$J$16)</f>
        <v>599.14</v>
      </c>
      <c r="H20" s="676">
        <f>ROUND(G20*E20,2)</f>
        <v>21880.59</v>
      </c>
      <c r="J20" s="681">
        <v>635.26</v>
      </c>
      <c r="K20" s="656">
        <f t="shared" si="0"/>
        <v>502.42012021512198</v>
      </c>
      <c r="L20" s="677">
        <v>446.66</v>
      </c>
    </row>
    <row r="21" spans="1:12" ht="27.2" customHeight="1">
      <c r="A21" s="671"/>
      <c r="B21" s="672">
        <v>101793</v>
      </c>
      <c r="C21" s="673" t="s">
        <v>774</v>
      </c>
      <c r="D21" s="674" t="s">
        <v>477</v>
      </c>
      <c r="E21" s="676">
        <f>'MC-PONTE'!L303</f>
        <v>846</v>
      </c>
      <c r="F21" s="675">
        <v>28.17</v>
      </c>
      <c r="G21" s="676">
        <f>F21*(1+ORÇAMENTO!$J$16)</f>
        <v>35.909999999999997</v>
      </c>
      <c r="H21" s="676">
        <f>ROUND(G21*E21,2)</f>
        <v>30379.86</v>
      </c>
      <c r="J21" s="681">
        <v>27.49</v>
      </c>
      <c r="K21" s="656">
        <f t="shared" si="0"/>
        <v>21.7415374881367</v>
      </c>
      <c r="L21" s="677">
        <v>18.46</v>
      </c>
    </row>
    <row r="22" spans="1:12">
      <c r="A22" s="661"/>
      <c r="B22" s="678"/>
      <c r="C22" s="679" t="s">
        <v>775</v>
      </c>
      <c r="D22" s="678"/>
      <c r="E22" s="678"/>
      <c r="F22" s="678"/>
      <c r="G22" s="678"/>
      <c r="H22" s="678">
        <f>SUBTOTAL(9,H23:H25)</f>
        <v>37437.019999999997</v>
      </c>
      <c r="K22" s="656">
        <f t="shared" si="0"/>
        <v>0</v>
      </c>
      <c r="L22" s="680"/>
    </row>
    <row r="23" spans="1:12" ht="28.5">
      <c r="A23" s="671"/>
      <c r="B23" s="672">
        <v>92268</v>
      </c>
      <c r="C23" s="673" t="s">
        <v>773</v>
      </c>
      <c r="D23" s="674" t="s">
        <v>2</v>
      </c>
      <c r="E23" s="676">
        <f>(2.6+9.4+2.6)*0.2*2</f>
        <v>5.84</v>
      </c>
      <c r="F23" s="675">
        <f>F18</f>
        <v>96.5</v>
      </c>
      <c r="G23" s="676">
        <f>F23*(1+ORÇAMENTO!$J$16)</f>
        <v>123</v>
      </c>
      <c r="H23" s="676">
        <f>ROUND(G23*E23,2)</f>
        <v>718.32</v>
      </c>
      <c r="J23" s="656">
        <v>2134.81</v>
      </c>
      <c r="K23" s="656">
        <f t="shared" si="0"/>
        <v>1688.3976589686799</v>
      </c>
      <c r="L23" s="677">
        <v>52.16</v>
      </c>
    </row>
    <row r="24" spans="1:12" ht="42.75">
      <c r="A24" s="671"/>
      <c r="B24" s="672">
        <v>92777</v>
      </c>
      <c r="C24" s="673" t="s">
        <v>769</v>
      </c>
      <c r="D24" s="674" t="s">
        <v>763</v>
      </c>
      <c r="E24" s="676">
        <f>E25*100</f>
        <v>1645</v>
      </c>
      <c r="F24" s="675">
        <f>F19</f>
        <v>12.81</v>
      </c>
      <c r="G24" s="676">
        <f>F24*(1+ORÇAMENTO!$J$16)</f>
        <v>16.329999999999998</v>
      </c>
      <c r="H24" s="676">
        <f>ROUND(G24*E24,2)</f>
        <v>26862.85</v>
      </c>
      <c r="K24" s="656">
        <f t="shared" si="0"/>
        <v>0</v>
      </c>
      <c r="L24" s="677">
        <v>10.52</v>
      </c>
    </row>
    <row r="25" spans="1:12" ht="42.75">
      <c r="A25" s="671"/>
      <c r="B25" s="672">
        <v>1525</v>
      </c>
      <c r="C25" s="673" t="s">
        <v>770</v>
      </c>
      <c r="D25" s="674" t="s">
        <v>477</v>
      </c>
      <c r="E25" s="676">
        <f>'MC-PONTE'!L314</f>
        <v>16.45</v>
      </c>
      <c r="F25" s="675">
        <f>F20</f>
        <v>470.06</v>
      </c>
      <c r="G25" s="676">
        <f>F25*(1+ORÇAMENTO!$J$16)</f>
        <v>599.14</v>
      </c>
      <c r="H25" s="676">
        <f>ROUND(G25*E25,2)</f>
        <v>9855.85</v>
      </c>
      <c r="K25" s="656">
        <f t="shared" si="0"/>
        <v>0</v>
      </c>
      <c r="L25" s="677">
        <v>446.66</v>
      </c>
    </row>
    <row r="26" spans="1:12">
      <c r="A26" s="661"/>
      <c r="B26" s="678"/>
      <c r="C26" s="679" t="s">
        <v>776</v>
      </c>
      <c r="D26" s="678"/>
      <c r="E26" s="678"/>
      <c r="F26" s="678"/>
      <c r="G26" s="678"/>
      <c r="H26" s="678">
        <f>SUBTOTAL(9,H27:H28)</f>
        <v>169811.20000000001</v>
      </c>
      <c r="K26" s="656">
        <f t="shared" si="0"/>
        <v>0</v>
      </c>
      <c r="L26" s="680"/>
    </row>
    <row r="27" spans="1:12" ht="57">
      <c r="A27" s="671"/>
      <c r="B27" s="672">
        <v>41333</v>
      </c>
      <c r="C27" s="673" t="s">
        <v>777</v>
      </c>
      <c r="D27" s="674" t="s">
        <v>3</v>
      </c>
      <c r="E27" s="676">
        <f>'MC-PONTE'!L347</f>
        <v>360</v>
      </c>
      <c r="F27" s="675">
        <v>331.19</v>
      </c>
      <c r="G27" s="676">
        <f>F27*(1+ORÇAMENTO!$J$16)</f>
        <v>422.13</v>
      </c>
      <c r="H27" s="676">
        <f>ROUND(G27*E27,2)</f>
        <v>151966.79999999999</v>
      </c>
      <c r="J27" s="656">
        <v>161.83000000000001</v>
      </c>
      <c r="K27" s="656">
        <f t="shared" si="0"/>
        <v>127.989560265739</v>
      </c>
      <c r="L27" s="677">
        <v>66.37</v>
      </c>
    </row>
    <row r="28" spans="1:12" ht="24.75" customHeight="1">
      <c r="A28" s="671"/>
      <c r="B28" s="682">
        <v>41496</v>
      </c>
      <c r="C28" s="673" t="s">
        <v>778</v>
      </c>
      <c r="D28" s="674" t="s">
        <v>779</v>
      </c>
      <c r="E28" s="676">
        <v>1</v>
      </c>
      <c r="F28" s="675">
        <v>14000</v>
      </c>
      <c r="G28" s="676">
        <f>F28*(1+ORÇAMENTO!$J$16)</f>
        <v>17844.400000000001</v>
      </c>
      <c r="H28" s="676">
        <f>ROUND(G28*E28,2)</f>
        <v>17844.400000000001</v>
      </c>
      <c r="J28" s="656">
        <v>1638.03</v>
      </c>
      <c r="K28" s="656">
        <f t="shared" si="0"/>
        <v>1295.4998418222101</v>
      </c>
      <c r="L28" s="677">
        <v>1295.5</v>
      </c>
    </row>
    <row r="29" spans="1:12">
      <c r="A29" s="661"/>
      <c r="B29" s="678"/>
      <c r="C29" s="679" t="s">
        <v>780</v>
      </c>
      <c r="D29" s="678"/>
      <c r="E29" s="678"/>
      <c r="F29" s="678"/>
      <c r="G29" s="678"/>
      <c r="H29" s="678">
        <f>SUBTOTAL(9,H30:H32)</f>
        <v>75268.78</v>
      </c>
      <c r="K29" s="656">
        <f t="shared" si="0"/>
        <v>0</v>
      </c>
      <c r="L29" s="680"/>
    </row>
    <row r="30" spans="1:12" ht="24.75" customHeight="1">
      <c r="A30" s="671"/>
      <c r="B30" s="672">
        <v>92266</v>
      </c>
      <c r="C30" s="673" t="s">
        <v>768</v>
      </c>
      <c r="D30" s="674" t="s">
        <v>2</v>
      </c>
      <c r="E30" s="676">
        <f>'MC-PONTE'!L380</f>
        <v>213.18</v>
      </c>
      <c r="F30" s="675">
        <f>F13</f>
        <v>169.03</v>
      </c>
      <c r="G30" s="676">
        <f>F30*(1+ORÇAMENTO!$J$16)</f>
        <v>215.45</v>
      </c>
      <c r="H30" s="676">
        <f>ROUND(G30*E30,2)</f>
        <v>45929.63</v>
      </c>
      <c r="J30" s="656">
        <v>56.09</v>
      </c>
      <c r="K30" s="656">
        <f t="shared" si="0"/>
        <v>44.360961720974402</v>
      </c>
      <c r="L30" s="677">
        <v>52.16</v>
      </c>
    </row>
    <row r="31" spans="1:12" ht="42.75">
      <c r="A31" s="671"/>
      <c r="B31" s="672">
        <v>92777</v>
      </c>
      <c r="C31" s="673" t="s">
        <v>769</v>
      </c>
      <c r="D31" s="674" t="s">
        <v>763</v>
      </c>
      <c r="E31" s="676">
        <f>'MC-PONTE'!L392</f>
        <v>847.85</v>
      </c>
      <c r="F31" s="675">
        <f>F24</f>
        <v>12.81</v>
      </c>
      <c r="G31" s="676">
        <f>F31*(1+ORÇAMENTO!$J$16)</f>
        <v>16.329999999999998</v>
      </c>
      <c r="H31" s="676">
        <f>ROUND(G31*E31,2)</f>
        <v>13845.39</v>
      </c>
      <c r="J31" s="656">
        <v>7.91</v>
      </c>
      <c r="K31" s="656">
        <f t="shared" si="0"/>
        <v>6.2559316671939298</v>
      </c>
      <c r="L31" s="677">
        <v>10.52</v>
      </c>
    </row>
    <row r="32" spans="1:12" ht="42.75">
      <c r="A32" s="671"/>
      <c r="B32" s="672">
        <v>1525</v>
      </c>
      <c r="C32" s="673" t="s">
        <v>770</v>
      </c>
      <c r="D32" s="674" t="s">
        <v>0</v>
      </c>
      <c r="E32" s="676">
        <f>'MC-PONTE'!L400</f>
        <v>25.86</v>
      </c>
      <c r="F32" s="675">
        <f>F25</f>
        <v>470.06</v>
      </c>
      <c r="G32" s="676">
        <f>F32*(1+ORÇAMENTO!$J$16)</f>
        <v>599.14</v>
      </c>
      <c r="H32" s="676">
        <f>ROUND(G32*E32,2)</f>
        <v>15493.76</v>
      </c>
      <c r="J32" s="656">
        <v>635.25984800000003</v>
      </c>
      <c r="K32" s="656">
        <f t="shared" si="0"/>
        <v>502.42</v>
      </c>
      <c r="L32" s="677">
        <v>446.66</v>
      </c>
    </row>
    <row r="33" spans="1:14">
      <c r="A33" s="661"/>
      <c r="B33" s="678"/>
      <c r="C33" s="679" t="s">
        <v>781</v>
      </c>
      <c r="D33" s="678"/>
      <c r="E33" s="678"/>
      <c r="F33" s="678"/>
      <c r="G33" s="678"/>
      <c r="H33" s="678">
        <f>SUBTOTAL(9,H34:H36)</f>
        <v>100257.18</v>
      </c>
      <c r="K33" s="656">
        <f t="shared" si="0"/>
        <v>0</v>
      </c>
      <c r="L33" s="680"/>
    </row>
    <row r="34" spans="1:14" ht="28.5">
      <c r="A34" s="671"/>
      <c r="B34" s="672">
        <v>92266</v>
      </c>
      <c r="C34" s="673" t="s">
        <v>768</v>
      </c>
      <c r="D34" s="674" t="s">
        <v>2</v>
      </c>
      <c r="E34" s="676">
        <f>'MC-PONTE'!L413</f>
        <v>219.56</v>
      </c>
      <c r="F34" s="675">
        <f>F30</f>
        <v>169.03</v>
      </c>
      <c r="G34" s="676">
        <f>F34*(1+ORÇAMENTO!$J$16)</f>
        <v>215.45</v>
      </c>
      <c r="H34" s="676">
        <f>ROUND(G34*E34,2)</f>
        <v>47304.2</v>
      </c>
      <c r="J34" s="656">
        <v>56.09</v>
      </c>
      <c r="K34" s="656">
        <f t="shared" si="0"/>
        <v>44.360961720974402</v>
      </c>
      <c r="L34" s="677">
        <v>52.16</v>
      </c>
    </row>
    <row r="35" spans="1:14" ht="42.75">
      <c r="A35" s="671"/>
      <c r="B35" s="672">
        <v>92777</v>
      </c>
      <c r="C35" s="673" t="s">
        <v>769</v>
      </c>
      <c r="D35" s="674" t="s">
        <v>763</v>
      </c>
      <c r="E35" s="676">
        <f>'MC-PONTE'!L447</f>
        <v>2293.89</v>
      </c>
      <c r="F35" s="675">
        <f>F31</f>
        <v>12.81</v>
      </c>
      <c r="G35" s="676">
        <f>F35*(1+ORÇAMENTO!$J$16)</f>
        <v>16.329999999999998</v>
      </c>
      <c r="H35" s="676">
        <f>ROUND(G35*E35,2)</f>
        <v>37459.22</v>
      </c>
      <c r="J35" s="656">
        <v>7.91</v>
      </c>
      <c r="K35" s="656">
        <f t="shared" si="0"/>
        <v>6.2559316671939298</v>
      </c>
      <c r="L35" s="677">
        <v>10.52</v>
      </c>
      <c r="N35" s="656">
        <f>E35/E36</f>
        <v>88.704176334106705</v>
      </c>
    </row>
    <row r="36" spans="1:14" ht="42.75">
      <c r="A36" s="671"/>
      <c r="B36" s="672">
        <v>1525</v>
      </c>
      <c r="C36" s="673" t="s">
        <v>770</v>
      </c>
      <c r="D36" s="674" t="s">
        <v>0</v>
      </c>
      <c r="E36" s="676">
        <f>'MC-PONTE'!L456</f>
        <v>25.86</v>
      </c>
      <c r="F36" s="675">
        <f>F32</f>
        <v>470.06</v>
      </c>
      <c r="G36" s="676">
        <f>F36*(1+ORÇAMENTO!$J$16)</f>
        <v>599.14</v>
      </c>
      <c r="H36" s="676">
        <f>ROUND(G36*E36,2)</f>
        <v>15493.76</v>
      </c>
      <c r="J36" s="656">
        <v>635.25984800000003</v>
      </c>
      <c r="K36" s="656">
        <f t="shared" si="0"/>
        <v>502.42</v>
      </c>
      <c r="L36" s="677">
        <v>446.66</v>
      </c>
    </row>
    <row r="37" spans="1:14">
      <c r="A37" s="661"/>
      <c r="B37" s="678"/>
      <c r="C37" s="679" t="s">
        <v>782</v>
      </c>
      <c r="D37" s="678"/>
      <c r="E37" s="678"/>
      <c r="F37" s="678"/>
      <c r="G37" s="678"/>
      <c r="H37" s="678">
        <f>SUBTOTAL(9,H38:H40)</f>
        <v>26624.799999999999</v>
      </c>
      <c r="K37" s="656">
        <f t="shared" si="0"/>
        <v>0</v>
      </c>
      <c r="L37" s="680"/>
    </row>
    <row r="38" spans="1:14" ht="28.5">
      <c r="A38" s="671"/>
      <c r="B38" s="672">
        <v>92266</v>
      </c>
      <c r="C38" s="673" t="s">
        <v>768</v>
      </c>
      <c r="D38" s="674" t="s">
        <v>2</v>
      </c>
      <c r="E38" s="676">
        <f>'MC-PONTE'!L470</f>
        <v>97.15</v>
      </c>
      <c r="F38" s="675">
        <f>F34</f>
        <v>169.03</v>
      </c>
      <c r="G38" s="676">
        <f>F38*(1+ORÇAMENTO!$J$16)</f>
        <v>215.45</v>
      </c>
      <c r="H38" s="676">
        <f>ROUND(G38*E38,2)</f>
        <v>20930.97</v>
      </c>
      <c r="J38" s="656">
        <v>56.09</v>
      </c>
      <c r="K38" s="656">
        <f t="shared" si="0"/>
        <v>44.360961720974402</v>
      </c>
      <c r="L38" s="677">
        <v>52.16</v>
      </c>
    </row>
    <row r="39" spans="1:14" ht="42.75">
      <c r="A39" s="671"/>
      <c r="B39" s="672">
        <v>92777</v>
      </c>
      <c r="C39" s="673" t="s">
        <v>769</v>
      </c>
      <c r="D39" s="674" t="s">
        <v>763</v>
      </c>
      <c r="E39" s="676">
        <f>'MC-PONTE'!L507</f>
        <v>200.08</v>
      </c>
      <c r="F39" s="675">
        <f>F35</f>
        <v>12.81</v>
      </c>
      <c r="G39" s="676">
        <f>F39*(1+ORÇAMENTO!$J$16)</f>
        <v>16.329999999999998</v>
      </c>
      <c r="H39" s="676">
        <f>ROUND(G39*E39,2)</f>
        <v>3267.31</v>
      </c>
      <c r="J39" s="656">
        <v>7.91</v>
      </c>
      <c r="K39" s="656">
        <f t="shared" si="0"/>
        <v>6.2559316671939298</v>
      </c>
      <c r="L39" s="677">
        <v>10.52</v>
      </c>
    </row>
    <row r="40" spans="1:14" ht="42.75">
      <c r="A40" s="671"/>
      <c r="B40" s="672">
        <v>1525</v>
      </c>
      <c r="C40" s="673" t="s">
        <v>770</v>
      </c>
      <c r="D40" s="674" t="s">
        <v>0</v>
      </c>
      <c r="E40" s="676">
        <f>'MC-PONTE'!L516</f>
        <v>4.05</v>
      </c>
      <c r="F40" s="675">
        <f>F36</f>
        <v>470.06</v>
      </c>
      <c r="G40" s="676">
        <f>F40*(1+ORÇAMENTO!$J$16)</f>
        <v>599.14</v>
      </c>
      <c r="H40" s="676">
        <f>ROUND(G40*E40,2)</f>
        <v>2426.52</v>
      </c>
      <c r="J40" s="656">
        <v>635.25984800000003</v>
      </c>
      <c r="K40" s="656">
        <f t="shared" si="0"/>
        <v>502.42</v>
      </c>
      <c r="L40" s="677">
        <v>446.66</v>
      </c>
    </row>
    <row r="41" spans="1:14">
      <c r="A41" s="661"/>
      <c r="B41" s="678"/>
      <c r="C41" s="679" t="s">
        <v>783</v>
      </c>
      <c r="D41" s="678"/>
      <c r="E41" s="678"/>
      <c r="F41" s="678"/>
      <c r="G41" s="678"/>
      <c r="H41" s="678">
        <f>SUBTOTAL(9,H42)</f>
        <v>594.08000000000004</v>
      </c>
      <c r="K41" s="656">
        <f t="shared" si="0"/>
        <v>0</v>
      </c>
      <c r="L41" s="680"/>
    </row>
    <row r="42" spans="1:14" ht="24.75" customHeight="1" thickBot="1">
      <c r="A42" s="683"/>
      <c r="B42" s="684">
        <v>99811</v>
      </c>
      <c r="C42" s="685" t="s">
        <v>784</v>
      </c>
      <c r="D42" s="686" t="s">
        <v>2</v>
      </c>
      <c r="E42" s="687">
        <f>'MC-PONTE'!L545</f>
        <v>188</v>
      </c>
      <c r="F42" s="688">
        <v>2.48</v>
      </c>
      <c r="G42" s="676">
        <f>F42*(1+ORÇAMENTO!$J$16)</f>
        <v>3.16</v>
      </c>
      <c r="H42" s="676">
        <f>ROUND(G42*E42,2)</f>
        <v>594.08000000000004</v>
      </c>
      <c r="J42" s="656">
        <v>2.14</v>
      </c>
      <c r="K42" s="656">
        <f t="shared" si="0"/>
        <v>1.69250237266688</v>
      </c>
      <c r="L42" s="689"/>
    </row>
    <row r="43" spans="1:14" ht="26.45" customHeight="1">
      <c r="B43" s="690"/>
      <c r="C43" s="691" t="s">
        <v>354</v>
      </c>
      <c r="D43" s="692"/>
      <c r="E43" s="692"/>
      <c r="F43" s="692"/>
      <c r="G43" s="693"/>
      <c r="H43" s="665">
        <f>SUBTOTAL(9,H4:H42)</f>
        <v>791971.16</v>
      </c>
    </row>
    <row r="44" spans="1:14" ht="2.85" customHeight="1"/>
    <row r="46" spans="1:14">
      <c r="H46" s="695">
        <f>H41+H37+H33+H29+H26+H22+H16+H12+H6+H4</f>
        <v>791971.16</v>
      </c>
    </row>
    <row r="47" spans="1:14">
      <c r="H47" s="696">
        <f>SUMPRODUCT(E5:E42,F5:F42)</f>
        <v>621322.34</v>
      </c>
    </row>
    <row r="48" spans="1:14">
      <c r="H48" s="694">
        <f>H47*1.25</f>
        <v>776652.92500000005</v>
      </c>
    </row>
  </sheetData>
  <mergeCells count="2">
    <mergeCell ref="B1:H1"/>
    <mergeCell ref="L1:L2"/>
  </mergeCells>
  <pageMargins left="0.511811024" right="0.511811024" top="0.78740157499999996" bottom="0.78740157499999996" header="0.31496062000000002" footer="0.3149606200000000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13">
    <tabColor theme="7" tint="0.39997558519241921"/>
  </sheetPr>
  <dimension ref="A1:J44"/>
  <sheetViews>
    <sheetView view="pageBreakPreview" zoomScale="72" zoomScaleNormal="100" zoomScaleSheetLayoutView="72" workbookViewId="0">
      <selection sqref="A1:G2"/>
    </sheetView>
  </sheetViews>
  <sheetFormatPr defaultColWidth="9.140625" defaultRowHeight="14.25"/>
  <cols>
    <col min="1" max="1" width="12.140625" style="235" bestFit="1" customWidth="1"/>
    <col min="2" max="2" width="10.7109375" style="235" customWidth="1"/>
    <col min="3" max="3" width="40.7109375" style="235" customWidth="1"/>
    <col min="4" max="4" width="10.7109375" style="235" customWidth="1"/>
    <col min="5" max="7" width="14.7109375" style="235" customWidth="1"/>
    <col min="8" max="8" width="11" style="235" customWidth="1"/>
    <col min="9" max="9" width="10.42578125" style="235" bestFit="1" customWidth="1"/>
    <col min="10" max="10" width="11.7109375" style="235" bestFit="1" customWidth="1"/>
    <col min="11" max="16384" width="9.140625" style="235"/>
  </cols>
  <sheetData>
    <row r="1" spans="1:10" s="232" customFormat="1" ht="15" customHeight="1">
      <c r="A1" s="1937"/>
      <c r="B1" s="1938"/>
      <c r="C1" s="1938"/>
      <c r="D1" s="1938"/>
      <c r="E1" s="1938"/>
      <c r="F1" s="1938"/>
      <c r="G1" s="1939"/>
    </row>
    <row r="2" spans="1:10" s="232" customFormat="1" ht="45.75" customHeight="1">
      <c r="A2" s="1940"/>
      <c r="B2" s="1941"/>
      <c r="C2" s="1941"/>
      <c r="D2" s="1941"/>
      <c r="E2" s="1941"/>
      <c r="F2" s="1941"/>
      <c r="G2" s="1942"/>
    </row>
    <row r="3" spans="1:10" s="232" customFormat="1" ht="15" customHeight="1">
      <c r="A3" s="1977" t="s">
        <v>17</v>
      </c>
      <c r="B3" s="1978"/>
      <c r="C3" s="1978"/>
      <c r="D3" s="1978"/>
      <c r="E3" s="1978"/>
      <c r="F3" s="1978"/>
      <c r="G3" s="1979"/>
    </row>
    <row r="4" spans="1:10" s="232" customFormat="1" ht="15" customHeight="1">
      <c r="A4" s="1940" t="s">
        <v>185</v>
      </c>
      <c r="B4" s="1941"/>
      <c r="C4" s="1941"/>
      <c r="D4" s="1941"/>
      <c r="E4" s="1941"/>
      <c r="F4" s="1941"/>
      <c r="G4" s="1942"/>
    </row>
    <row r="5" spans="1:10" s="232" customFormat="1" ht="15" customHeight="1">
      <c r="A5" s="1940" t="s">
        <v>16</v>
      </c>
      <c r="B5" s="1941"/>
      <c r="C5" s="1941"/>
      <c r="D5" s="1941"/>
      <c r="E5" s="1941"/>
      <c r="F5" s="1941"/>
      <c r="G5" s="1942"/>
    </row>
    <row r="6" spans="1:10" s="232" customFormat="1" ht="15" customHeight="1">
      <c r="A6" s="523"/>
      <c r="B6" s="530"/>
      <c r="C6" s="530"/>
      <c r="D6" s="530"/>
      <c r="E6" s="530"/>
      <c r="F6" s="530"/>
      <c r="G6" s="524"/>
    </row>
    <row r="7" spans="1:10" s="234" customFormat="1">
      <c r="A7" s="531" t="s">
        <v>654</v>
      </c>
      <c r="B7" s="1980" t="s">
        <v>3494</v>
      </c>
      <c r="C7" s="1981"/>
      <c r="D7" s="1981"/>
      <c r="E7" s="1981"/>
      <c r="F7" s="1981"/>
      <c r="G7" s="1982"/>
    </row>
    <row r="8" spans="1:10" s="232" customFormat="1" ht="15" customHeight="1" thickBot="1">
      <c r="A8" s="233"/>
      <c r="B8" s="1983"/>
      <c r="C8" s="1983"/>
      <c r="D8" s="1983"/>
      <c r="E8" s="1983"/>
      <c r="F8" s="1983"/>
      <c r="G8" s="1984"/>
    </row>
    <row r="9" spans="1:10" s="234" customFormat="1" ht="24" customHeight="1" thickTop="1">
      <c r="A9" s="525" t="s">
        <v>183</v>
      </c>
      <c r="B9" s="527" t="s">
        <v>655</v>
      </c>
      <c r="C9" s="1974" t="s">
        <v>656</v>
      </c>
      <c r="D9" s="1975"/>
      <c r="E9" s="1975"/>
      <c r="F9" s="1976"/>
      <c r="G9" s="308" t="s">
        <v>531</v>
      </c>
    </row>
    <row r="10" spans="1:10" s="234" customFormat="1" ht="15" thickBot="1">
      <c r="A10" s="526" t="str">
        <f>ORÇAMENTO!E21</f>
        <v>I</v>
      </c>
      <c r="B10" s="528">
        <v>45261</v>
      </c>
      <c r="C10" s="1962" t="str">
        <f>ORÇAMENTO!F21</f>
        <v>Administração da obra</v>
      </c>
      <c r="D10" s="1963"/>
      <c r="E10" s="1963"/>
      <c r="F10" s="1964"/>
      <c r="G10" s="155" t="s">
        <v>1030</v>
      </c>
    </row>
    <row r="11" spans="1:10" s="234" customFormat="1" ht="12.75" customHeight="1" thickTop="1">
      <c r="A11" s="1965"/>
      <c r="B11" s="1966"/>
      <c r="C11" s="1966"/>
      <c r="D11" s="1966"/>
      <c r="E11" s="1966"/>
      <c r="F11" s="1966"/>
      <c r="G11" s="1967"/>
    </row>
    <row r="12" spans="1:10" s="171" customFormat="1" ht="20.100000000000001" customHeight="1">
      <c r="A12" s="241" t="s">
        <v>33</v>
      </c>
      <c r="B12" s="242" t="s">
        <v>252</v>
      </c>
      <c r="C12" s="243" t="s">
        <v>652</v>
      </c>
      <c r="D12" s="242" t="s">
        <v>35</v>
      </c>
      <c r="E12" s="243" t="s">
        <v>149</v>
      </c>
      <c r="F12" s="244" t="s">
        <v>36</v>
      </c>
      <c r="G12" s="245" t="s">
        <v>657</v>
      </c>
      <c r="H12" s="165"/>
    </row>
    <row r="13" spans="1:10" s="234" customFormat="1" ht="20.100000000000001" customHeight="1">
      <c r="A13" s="1968" t="s">
        <v>32</v>
      </c>
      <c r="B13" s="1969"/>
      <c r="C13" s="1969"/>
      <c r="D13" s="1969"/>
      <c r="E13" s="1969"/>
      <c r="F13" s="1969"/>
      <c r="G13" s="1970"/>
    </row>
    <row r="14" spans="1:10" s="234" customFormat="1" ht="23.25" customHeight="1">
      <c r="A14" s="533">
        <v>1</v>
      </c>
      <c r="B14" s="439" t="s">
        <v>1012</v>
      </c>
      <c r="C14" s="534" t="s">
        <v>1013</v>
      </c>
      <c r="D14" s="439" t="s">
        <v>222</v>
      </c>
      <c r="E14" s="553">
        <v>112.4</v>
      </c>
      <c r="F14" s="535">
        <v>129.94999999999999</v>
      </c>
      <c r="G14" s="536">
        <f>E14*F14</f>
        <v>14606.38</v>
      </c>
      <c r="H14" s="1286"/>
      <c r="I14" s="1286"/>
      <c r="J14" s="1286"/>
    </row>
    <row r="15" spans="1:10" s="234" customFormat="1" ht="23.25" customHeight="1">
      <c r="A15" s="533">
        <v>2</v>
      </c>
      <c r="B15" s="439" t="s">
        <v>1014</v>
      </c>
      <c r="C15" s="534" t="s">
        <v>1015</v>
      </c>
      <c r="D15" s="439" t="s">
        <v>222</v>
      </c>
      <c r="E15" s="553">
        <v>112.4</v>
      </c>
      <c r="F15" s="535">
        <v>24.26</v>
      </c>
      <c r="G15" s="536">
        <f>E15*F15</f>
        <v>2726.82</v>
      </c>
      <c r="H15" s="1286"/>
      <c r="I15" s="1286"/>
      <c r="J15" s="1286"/>
    </row>
    <row r="16" spans="1:10" s="234" customFormat="1" ht="23.25" customHeight="1">
      <c r="A16" s="533">
        <f>A15+1</f>
        <v>3</v>
      </c>
      <c r="B16" s="439" t="s">
        <v>1016</v>
      </c>
      <c r="C16" s="534" t="s">
        <v>1017</v>
      </c>
      <c r="D16" s="439" t="s">
        <v>222</v>
      </c>
      <c r="E16" s="553">
        <v>269.77999999999997</v>
      </c>
      <c r="F16" s="535">
        <v>32.08</v>
      </c>
      <c r="G16" s="536">
        <f t="shared" ref="G16:G23" si="0">E16*F16</f>
        <v>8654.5400000000009</v>
      </c>
      <c r="H16" s="1286"/>
      <c r="I16" s="1286"/>
      <c r="J16" s="1286"/>
    </row>
    <row r="17" spans="1:10" s="234" customFormat="1" ht="23.25" customHeight="1">
      <c r="A17" s="533">
        <f t="shared" ref="A17:A23" si="1">A16+1</f>
        <v>4</v>
      </c>
      <c r="B17" s="439">
        <v>100289</v>
      </c>
      <c r="C17" s="534" t="s">
        <v>1018</v>
      </c>
      <c r="D17" s="439" t="s">
        <v>222</v>
      </c>
      <c r="E17" s="553">
        <v>669.76</v>
      </c>
      <c r="F17" s="535">
        <v>19.72</v>
      </c>
      <c r="G17" s="536">
        <f t="shared" si="0"/>
        <v>13207.67</v>
      </c>
      <c r="H17" s="1286"/>
      <c r="I17" s="1286"/>
      <c r="J17" s="1286"/>
    </row>
    <row r="18" spans="1:10" s="234" customFormat="1" ht="23.25" customHeight="1">
      <c r="A18" s="533">
        <f t="shared" si="1"/>
        <v>5</v>
      </c>
      <c r="B18" s="439" t="s">
        <v>1019</v>
      </c>
      <c r="C18" s="534" t="s">
        <v>1020</v>
      </c>
      <c r="D18" s="439" t="s">
        <v>222</v>
      </c>
      <c r="E18" s="553">
        <v>112.4</v>
      </c>
      <c r="F18" s="535">
        <v>18.11</v>
      </c>
      <c r="G18" s="536">
        <f t="shared" si="0"/>
        <v>2035.56</v>
      </c>
      <c r="H18" s="1286"/>
      <c r="I18" s="1286"/>
      <c r="J18" s="1286"/>
    </row>
    <row r="19" spans="1:10" s="234" customFormat="1" ht="23.25" customHeight="1">
      <c r="A19" s="533">
        <f t="shared" si="1"/>
        <v>6</v>
      </c>
      <c r="B19" s="439" t="s">
        <v>1021</v>
      </c>
      <c r="C19" s="534" t="s">
        <v>1022</v>
      </c>
      <c r="D19" s="439" t="s">
        <v>222</v>
      </c>
      <c r="E19" s="553">
        <v>112.4</v>
      </c>
      <c r="F19" s="535">
        <v>20.53</v>
      </c>
      <c r="G19" s="536">
        <f t="shared" si="0"/>
        <v>2307.5700000000002</v>
      </c>
      <c r="H19" s="1286"/>
      <c r="I19" s="1286"/>
      <c r="J19" s="1286"/>
    </row>
    <row r="20" spans="1:10" s="234" customFormat="1" ht="23.25" hidden="1" customHeight="1">
      <c r="A20" s="533">
        <f t="shared" si="1"/>
        <v>7</v>
      </c>
      <c r="B20" s="439"/>
      <c r="C20" s="534"/>
      <c r="D20" s="439"/>
      <c r="E20" s="553"/>
      <c r="F20" s="535">
        <v>1.18</v>
      </c>
      <c r="G20" s="536">
        <f t="shared" si="0"/>
        <v>0</v>
      </c>
      <c r="H20" s="1286"/>
      <c r="I20" s="1286"/>
      <c r="J20" s="1286"/>
    </row>
    <row r="21" spans="1:10" s="234" customFormat="1" ht="23.25" hidden="1" customHeight="1">
      <c r="A21" s="533">
        <f t="shared" si="1"/>
        <v>8</v>
      </c>
      <c r="B21" s="439"/>
      <c r="C21" s="534"/>
      <c r="D21" s="439"/>
      <c r="E21" s="553"/>
      <c r="F21" s="535">
        <v>22.32</v>
      </c>
      <c r="G21" s="536">
        <f t="shared" si="0"/>
        <v>0</v>
      </c>
      <c r="H21" s="1286"/>
      <c r="I21" s="1286"/>
      <c r="J21" s="1286"/>
    </row>
    <row r="22" spans="1:10" s="234" customFormat="1" ht="23.25" hidden="1" customHeight="1">
      <c r="A22" s="533">
        <f t="shared" si="1"/>
        <v>9</v>
      </c>
      <c r="B22" s="439"/>
      <c r="C22" s="534"/>
      <c r="D22" s="439"/>
      <c r="E22" s="553"/>
      <c r="F22" s="535"/>
      <c r="G22" s="536">
        <f t="shared" si="0"/>
        <v>0</v>
      </c>
      <c r="H22" s="1286"/>
      <c r="I22" s="1286"/>
      <c r="J22" s="1286"/>
    </row>
    <row r="23" spans="1:10" s="234" customFormat="1" ht="23.25" hidden="1" customHeight="1">
      <c r="A23" s="533">
        <f t="shared" si="1"/>
        <v>10</v>
      </c>
      <c r="B23" s="439"/>
      <c r="C23" s="534"/>
      <c r="D23" s="439"/>
      <c r="E23" s="553"/>
      <c r="F23" s="535"/>
      <c r="G23" s="536">
        <f t="shared" si="0"/>
        <v>0</v>
      </c>
      <c r="H23" s="1286"/>
      <c r="I23" s="1286"/>
      <c r="J23" s="1286"/>
    </row>
    <row r="24" spans="1:10" s="234" customFormat="1" ht="20.100000000000001" customHeight="1">
      <c r="A24" s="1953" t="s">
        <v>528</v>
      </c>
      <c r="B24" s="1954"/>
      <c r="C24" s="1954"/>
      <c r="D24" s="1954"/>
      <c r="E24" s="1954"/>
      <c r="F24" s="1954"/>
      <c r="G24" s="537">
        <f>SUM(G14:G23)</f>
        <v>43538.54</v>
      </c>
      <c r="H24" s="1286"/>
      <c r="I24" s="1286"/>
      <c r="J24" s="1286"/>
    </row>
    <row r="25" spans="1:10" s="234" customFormat="1" ht="20.100000000000001" customHeight="1">
      <c r="A25" s="1971" t="s">
        <v>43</v>
      </c>
      <c r="B25" s="1972"/>
      <c r="C25" s="1972"/>
      <c r="D25" s="1972"/>
      <c r="E25" s="1972"/>
      <c r="F25" s="1972"/>
      <c r="G25" s="1973"/>
      <c r="H25" s="1286"/>
      <c r="I25" s="1286"/>
      <c r="J25" s="1286"/>
    </row>
    <row r="26" spans="1:10" s="234" customFormat="1" ht="20.100000000000001" customHeight="1">
      <c r="A26" s="533"/>
      <c r="B26" s="538"/>
      <c r="C26" s="539"/>
      <c r="D26" s="540"/>
      <c r="E26" s="541"/>
      <c r="F26" s="542"/>
      <c r="G26" s="536">
        <f>E26*F26</f>
        <v>0</v>
      </c>
      <c r="H26" s="1286"/>
      <c r="I26" s="1286"/>
      <c r="J26" s="1286"/>
    </row>
    <row r="27" spans="1:10" s="234" customFormat="1" ht="20.100000000000001" customHeight="1">
      <c r="A27" s="1953" t="s">
        <v>529</v>
      </c>
      <c r="B27" s="1954"/>
      <c r="C27" s="1954"/>
      <c r="D27" s="1954"/>
      <c r="E27" s="1954"/>
      <c r="F27" s="1954"/>
      <c r="G27" s="537">
        <f>SUM(G26:G26)</f>
        <v>0</v>
      </c>
      <c r="H27" s="1286"/>
      <c r="I27" s="1286"/>
      <c r="J27" s="1286"/>
    </row>
    <row r="28" spans="1:10" s="234" customFormat="1" ht="20.100000000000001" customHeight="1">
      <c r="A28" s="1950" t="s">
        <v>1028</v>
      </c>
      <c r="B28" s="1951"/>
      <c r="C28" s="1951"/>
      <c r="D28" s="1951"/>
      <c r="E28" s="1951"/>
      <c r="F28" s="1951"/>
      <c r="G28" s="1952"/>
      <c r="H28" s="1286"/>
      <c r="I28" s="1286"/>
      <c r="J28" s="1286"/>
    </row>
    <row r="29" spans="1:10" s="234" customFormat="1" ht="36">
      <c r="A29" s="533">
        <v>1</v>
      </c>
      <c r="B29" s="538" t="s">
        <v>1023</v>
      </c>
      <c r="C29" s="543" t="s">
        <v>1024</v>
      </c>
      <c r="D29" s="540" t="s">
        <v>1025</v>
      </c>
      <c r="E29" s="544">
        <v>3829.5</v>
      </c>
      <c r="F29" s="542">
        <v>1.18</v>
      </c>
      <c r="G29" s="536">
        <f>E29*F29</f>
        <v>4518.8100000000004</v>
      </c>
      <c r="H29" s="1286"/>
      <c r="I29" s="1286"/>
      <c r="J29" s="1286"/>
    </row>
    <row r="30" spans="1:10" s="234" customFormat="1" ht="24">
      <c r="A30" s="533">
        <v>2</v>
      </c>
      <c r="B30" s="538" t="s">
        <v>1026</v>
      </c>
      <c r="C30" s="543" t="s">
        <v>1027</v>
      </c>
      <c r="D30" s="540" t="s">
        <v>193</v>
      </c>
      <c r="E30" s="544">
        <v>73.05</v>
      </c>
      <c r="F30" s="542">
        <v>22.32</v>
      </c>
      <c r="G30" s="536">
        <f>E30*F30</f>
        <v>1630.48</v>
      </c>
      <c r="H30" s="1286"/>
      <c r="I30" s="1286"/>
      <c r="J30" s="1286"/>
    </row>
    <row r="31" spans="1:10" s="234" customFormat="1" ht="20.100000000000001" customHeight="1">
      <c r="A31" s="1953" t="s">
        <v>530</v>
      </c>
      <c r="B31" s="1954"/>
      <c r="C31" s="1954"/>
      <c r="D31" s="1954"/>
      <c r="E31" s="1954"/>
      <c r="F31" s="1954"/>
      <c r="G31" s="537">
        <f>SUM(G29:G30)</f>
        <v>6149.29</v>
      </c>
    </row>
    <row r="32" spans="1:10" s="171" customFormat="1" ht="20.100000000000001" customHeight="1">
      <c r="A32" s="1955" t="s">
        <v>47</v>
      </c>
      <c r="B32" s="1956"/>
      <c r="C32" s="1956"/>
      <c r="D32" s="1956"/>
      <c r="E32" s="1956"/>
      <c r="F32" s="1956"/>
      <c r="G32" s="1957"/>
      <c r="H32" s="165"/>
    </row>
    <row r="33" spans="1:10" s="171" customFormat="1" ht="20.100000000000001" customHeight="1">
      <c r="A33" s="156" t="s">
        <v>33</v>
      </c>
      <c r="B33" s="157"/>
      <c r="C33" s="157" t="s">
        <v>48</v>
      </c>
      <c r="D33" s="1958" t="s">
        <v>658</v>
      </c>
      <c r="E33" s="1959"/>
      <c r="F33" s="1959"/>
      <c r="G33" s="1960"/>
      <c r="H33" s="165"/>
    </row>
    <row r="34" spans="1:10" s="171" customFormat="1" ht="20.100000000000001" customHeight="1">
      <c r="A34" s="156" t="s">
        <v>49</v>
      </c>
      <c r="B34" s="157"/>
      <c r="C34" s="157" t="s">
        <v>50</v>
      </c>
      <c r="D34" s="1943" t="s">
        <v>51</v>
      </c>
      <c r="E34" s="1943"/>
      <c r="F34" s="1943"/>
      <c r="G34" s="158">
        <f>G24</f>
        <v>43538.54</v>
      </c>
      <c r="H34" s="165"/>
    </row>
    <row r="35" spans="1:10" s="171" customFormat="1" ht="20.100000000000001" customHeight="1">
      <c r="A35" s="156" t="s">
        <v>52</v>
      </c>
      <c r="B35" s="157"/>
      <c r="C35" s="157" t="s">
        <v>53</v>
      </c>
      <c r="D35" s="1943" t="s">
        <v>54</v>
      </c>
      <c r="E35" s="1943"/>
      <c r="F35" s="1943"/>
      <c r="G35" s="158">
        <f>G27</f>
        <v>0</v>
      </c>
      <c r="H35" s="165"/>
    </row>
    <row r="36" spans="1:10" s="171" customFormat="1" ht="20.100000000000001" customHeight="1">
      <c r="A36" s="156" t="s">
        <v>14</v>
      </c>
      <c r="B36" s="157"/>
      <c r="C36" s="157" t="s">
        <v>1029</v>
      </c>
      <c r="D36" s="1943" t="s">
        <v>56</v>
      </c>
      <c r="E36" s="1943"/>
      <c r="F36" s="1943"/>
      <c r="G36" s="158">
        <f>G31</f>
        <v>6149.29</v>
      </c>
      <c r="H36" s="165"/>
    </row>
    <row r="37" spans="1:10" s="171" customFormat="1" ht="20.100000000000001" customHeight="1">
      <c r="A37" s="156" t="s">
        <v>7</v>
      </c>
      <c r="B37" s="157"/>
      <c r="C37" s="545" t="s">
        <v>57</v>
      </c>
      <c r="D37" s="1944" t="s">
        <v>58</v>
      </c>
      <c r="E37" s="1944"/>
      <c r="F37" s="1944"/>
      <c r="G37" s="546">
        <f>G34+G35+G36</f>
        <v>49687.83</v>
      </c>
      <c r="H37" s="165"/>
      <c r="I37" s="1285"/>
      <c r="J37" s="1287"/>
    </row>
    <row r="38" spans="1:10" s="171" customFormat="1" ht="20.100000000000001" customHeight="1">
      <c r="A38" s="156"/>
      <c r="B38" s="157"/>
      <c r="C38" s="545"/>
      <c r="D38" s="1945" t="s">
        <v>196</v>
      </c>
      <c r="E38" s="1946"/>
      <c r="F38" s="547">
        <v>0.27460000000000001</v>
      </c>
      <c r="G38" s="159">
        <f>G37*F38</f>
        <v>13644.28</v>
      </c>
      <c r="H38" s="165"/>
    </row>
    <row r="39" spans="1:10" s="171" customFormat="1" ht="20.100000000000001" customHeight="1" thickBot="1">
      <c r="A39" s="1947" t="s">
        <v>60</v>
      </c>
      <c r="B39" s="1948"/>
      <c r="C39" s="1948"/>
      <c r="D39" s="1948"/>
      <c r="E39" s="1948"/>
      <c r="F39" s="1949"/>
      <c r="G39" s="160">
        <f>G37+G38</f>
        <v>63332.11</v>
      </c>
      <c r="H39" s="165"/>
    </row>
    <row r="40" spans="1:10" s="234" customFormat="1" ht="20.100000000000001" customHeight="1">
      <c r="A40" s="548"/>
      <c r="B40" s="549"/>
      <c r="C40" s="549"/>
      <c r="D40" s="550"/>
      <c r="E40" s="549"/>
      <c r="F40" s="549"/>
      <c r="G40" s="551"/>
    </row>
    <row r="41" spans="1:10" ht="20.100000000000001" customHeight="1">
      <c r="A41" s="1961" t="s">
        <v>659</v>
      </c>
      <c r="B41" s="1961"/>
      <c r="C41" s="1961"/>
      <c r="D41" s="1961"/>
      <c r="E41" s="1961"/>
      <c r="F41" s="1961"/>
      <c r="G41" s="1961"/>
    </row>
    <row r="42" spans="1:10" ht="20.100000000000001" customHeight="1">
      <c r="A42" s="156" t="s">
        <v>33</v>
      </c>
      <c r="B42" s="1931" t="s">
        <v>662</v>
      </c>
      <c r="C42" s="1932"/>
      <c r="D42" s="239" t="s">
        <v>227</v>
      </c>
      <c r="E42" s="239" t="s">
        <v>228</v>
      </c>
      <c r="F42" s="239" t="s">
        <v>660</v>
      </c>
      <c r="G42" s="240" t="s">
        <v>661</v>
      </c>
    </row>
    <row r="43" spans="1:10" ht="20.100000000000001" customHeight="1">
      <c r="A43" s="239"/>
      <c r="B43" s="1933"/>
      <c r="C43" s="1934"/>
      <c r="D43" s="480"/>
      <c r="E43" s="480"/>
      <c r="F43" s="480"/>
      <c r="G43" s="481">
        <f>ROUND((D43*E43*F43),2)</f>
        <v>0</v>
      </c>
    </row>
    <row r="44" spans="1:10" ht="20.100000000000001" customHeight="1">
      <c r="A44" s="239"/>
      <c r="B44" s="1935"/>
      <c r="C44" s="1936"/>
      <c r="D44" s="480"/>
      <c r="E44" s="480"/>
      <c r="F44" s="480"/>
      <c r="G44" s="481">
        <f>ROUND((D44*E44*F44),2)</f>
        <v>0</v>
      </c>
    </row>
  </sheetData>
  <mergeCells count="27">
    <mergeCell ref="C9:F9"/>
    <mergeCell ref="A3:G3"/>
    <mergeCell ref="A4:G4"/>
    <mergeCell ref="A5:G5"/>
    <mergeCell ref="B7:G7"/>
    <mergeCell ref="B8:G8"/>
    <mergeCell ref="A11:G11"/>
    <mergeCell ref="A13:G13"/>
    <mergeCell ref="A24:F24"/>
    <mergeCell ref="A25:G25"/>
    <mergeCell ref="A27:F27"/>
    <mergeCell ref="B42:C42"/>
    <mergeCell ref="B43:C43"/>
    <mergeCell ref="B44:C44"/>
    <mergeCell ref="A1:G2"/>
    <mergeCell ref="D35:F35"/>
    <mergeCell ref="D36:F36"/>
    <mergeCell ref="D37:F37"/>
    <mergeCell ref="D38:E38"/>
    <mergeCell ref="A39:F39"/>
    <mergeCell ref="A28:G28"/>
    <mergeCell ref="A31:F31"/>
    <mergeCell ref="A32:G32"/>
    <mergeCell ref="D33:G33"/>
    <mergeCell ref="D34:F34"/>
    <mergeCell ref="A41:G41"/>
    <mergeCell ref="C10:F10"/>
  </mergeCells>
  <pageMargins left="0.511811024" right="0.511811024" top="0.78740157499999996" bottom="0.78740157499999996" header="0.31496062000000002" footer="0.31496062000000002"/>
  <pageSetup paperSize="9" scale="79" orientation="portrait" r:id="rId1"/>
  <colBreaks count="1" manualBreakCount="1">
    <brk id="7" max="1048575" man="1"/>
  </colBreaks>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tint="0.39997558519241921"/>
  </sheetPr>
  <dimension ref="A4:K57"/>
  <sheetViews>
    <sheetView showGridLines="0" view="pageBreakPreview" zoomScale="86" zoomScaleNormal="85" zoomScaleSheetLayoutView="86" workbookViewId="0">
      <selection activeCell="H2" sqref="H2"/>
    </sheetView>
  </sheetViews>
  <sheetFormatPr defaultColWidth="9.140625" defaultRowHeight="14.25"/>
  <cols>
    <col min="1" max="1" width="12.7109375" style="885" customWidth="1"/>
    <col min="2" max="2" width="37.28515625" style="879" customWidth="1"/>
    <col min="3" max="3" width="5.42578125" style="879" customWidth="1"/>
    <col min="4" max="4" width="7.140625" style="879" customWidth="1"/>
    <col min="5" max="5" width="4.5703125" style="879" bestFit="1" customWidth="1"/>
    <col min="6" max="6" width="8" style="886" customWidth="1"/>
    <col min="7" max="7" width="12.85546875" style="879" customWidth="1"/>
    <col min="8" max="8" width="11.85546875" style="887" customWidth="1"/>
    <col min="9" max="9" width="17.42578125" style="888" customWidth="1"/>
    <col min="10" max="10" width="12.7109375" style="879" bestFit="1" customWidth="1"/>
    <col min="11" max="11" width="9.140625" style="879" bestFit="1" customWidth="1"/>
    <col min="12" max="16384" width="9.140625" style="879"/>
  </cols>
  <sheetData>
    <row r="4" spans="1:11" s="870" customFormat="1" ht="15">
      <c r="A4" s="2010" t="s">
        <v>17</v>
      </c>
      <c r="B4" s="2010"/>
      <c r="C4" s="2010"/>
      <c r="D4" s="2010"/>
      <c r="E4" s="2010"/>
      <c r="F4" s="2010"/>
      <c r="G4" s="2010"/>
      <c r="H4" s="2010"/>
      <c r="I4" s="2010"/>
      <c r="J4" s="868"/>
      <c r="K4" s="869"/>
    </row>
    <row r="5" spans="1:11" s="870" customFormat="1" ht="15">
      <c r="A5" s="871"/>
      <c r="B5" s="2011" t="str">
        <f>ORÇAMENTO!D9</f>
        <v>SISTEMA DE SANEAMENTO INTEGRADO NO BAIRRO DO ICUÍ: ABASTECIMENTO DE ÁGUA, DRENAGEM URBANA E MANEJO DE ÁGUAS PLUVIAIS E PAVIMENTAÇÃO NO MUNICÍPIO DE ANANINDEUA/ PA</v>
      </c>
      <c r="C5" s="2011"/>
      <c r="D5" s="2011"/>
      <c r="E5" s="2011"/>
      <c r="F5" s="2011"/>
      <c r="G5" s="2011"/>
      <c r="H5" s="2011"/>
      <c r="I5" s="2011"/>
      <c r="J5" s="872"/>
      <c r="K5" s="872"/>
    </row>
    <row r="6" spans="1:11" s="870" customFormat="1" ht="15">
      <c r="A6" s="871"/>
      <c r="B6" s="2011"/>
      <c r="C6" s="2011"/>
      <c r="D6" s="2011"/>
      <c r="E6" s="2011"/>
      <c r="F6" s="2011"/>
      <c r="G6" s="2011"/>
      <c r="H6" s="2011"/>
      <c r="I6" s="2011"/>
      <c r="J6" s="868"/>
      <c r="K6" s="873"/>
    </row>
    <row r="7" spans="1:11" s="870" customFormat="1" ht="15">
      <c r="A7" s="2010" t="s">
        <v>183</v>
      </c>
      <c r="B7" s="2010"/>
      <c r="C7" s="2010"/>
      <c r="D7" s="2010"/>
      <c r="E7" s="2010"/>
      <c r="F7" s="2010"/>
      <c r="G7" s="2010"/>
      <c r="H7" s="2010"/>
      <c r="I7" s="2010"/>
      <c r="J7" s="868"/>
      <c r="K7" s="873"/>
    </row>
    <row r="8" spans="1:11" ht="15" customHeight="1">
      <c r="A8" s="874" t="s">
        <v>1031</v>
      </c>
      <c r="B8" s="875"/>
      <c r="C8" s="875"/>
      <c r="D8" s="875"/>
      <c r="E8" s="875"/>
      <c r="F8" s="876"/>
      <c r="G8" s="876"/>
      <c r="H8" s="877"/>
      <c r="I8" s="878"/>
    </row>
    <row r="9" spans="1:11" ht="15.75" customHeight="1" thickBot="1">
      <c r="A9" s="880" t="s">
        <v>1032</v>
      </c>
      <c r="B9" s="881"/>
      <c r="C9" s="881"/>
      <c r="D9" s="881"/>
      <c r="E9" s="881"/>
      <c r="F9" s="882"/>
      <c r="G9" s="882"/>
      <c r="H9" s="883" t="s">
        <v>1033</v>
      </c>
      <c r="I9" s="884"/>
    </row>
    <row r="10" spans="1:11" ht="18.75" thickBot="1">
      <c r="A10" s="2012" t="s">
        <v>1034</v>
      </c>
      <c r="B10" s="2013"/>
      <c r="C10" s="2013"/>
      <c r="D10" s="2013"/>
      <c r="E10" s="2013"/>
      <c r="F10" s="2013"/>
      <c r="G10" s="2013"/>
      <c r="H10" s="2013"/>
      <c r="I10" s="2014"/>
    </row>
    <row r="11" spans="1:11" ht="15" thickBot="1"/>
    <row r="12" spans="1:11" ht="15" customHeight="1" thickTop="1">
      <c r="A12" s="889" t="s">
        <v>6</v>
      </c>
      <c r="B12" s="2015" t="s">
        <v>1035</v>
      </c>
      <c r="C12" s="2016"/>
      <c r="D12" s="2016"/>
      <c r="E12" s="2017"/>
      <c r="F12" s="2021" t="s">
        <v>1036</v>
      </c>
      <c r="G12" s="2023" t="s">
        <v>1037</v>
      </c>
      <c r="H12" s="890" t="s">
        <v>1038</v>
      </c>
      <c r="I12" s="891">
        <v>45261</v>
      </c>
    </row>
    <row r="13" spans="1:11">
      <c r="A13" s="892" t="s">
        <v>1067</v>
      </c>
      <c r="B13" s="2018"/>
      <c r="C13" s="2019"/>
      <c r="D13" s="2019"/>
      <c r="E13" s="2020"/>
      <c r="F13" s="2022"/>
      <c r="G13" s="2024"/>
      <c r="H13" s="893" t="s">
        <v>1039</v>
      </c>
      <c r="I13" s="894" t="s">
        <v>756</v>
      </c>
    </row>
    <row r="14" spans="1:11">
      <c r="A14" s="2025" t="s">
        <v>1040</v>
      </c>
      <c r="B14" s="2027" t="s">
        <v>5</v>
      </c>
      <c r="C14" s="2028"/>
      <c r="D14" s="2028"/>
      <c r="E14" s="2029"/>
      <c r="F14" s="2033" t="s">
        <v>20</v>
      </c>
      <c r="G14" s="2033" t="s">
        <v>1041</v>
      </c>
      <c r="H14" s="2033" t="s">
        <v>23</v>
      </c>
      <c r="I14" s="2008" t="s">
        <v>759</v>
      </c>
    </row>
    <row r="15" spans="1:11" ht="15" thickBot="1">
      <c r="A15" s="2026"/>
      <c r="B15" s="2030"/>
      <c r="C15" s="2031"/>
      <c r="D15" s="2031"/>
      <c r="E15" s="2032"/>
      <c r="F15" s="2034"/>
      <c r="G15" s="2034"/>
      <c r="H15" s="2034"/>
      <c r="I15" s="2009"/>
    </row>
    <row r="16" spans="1:11" ht="15.75" thickTop="1" thickBot="1">
      <c r="A16" s="1990" t="s">
        <v>1042</v>
      </c>
      <c r="B16" s="1991"/>
      <c r="C16" s="1991"/>
      <c r="D16" s="1991"/>
      <c r="E16" s="1991"/>
      <c r="F16" s="1991"/>
      <c r="G16" s="1991"/>
      <c r="H16" s="1991"/>
      <c r="I16" s="1992"/>
    </row>
    <row r="17" spans="1:9" ht="15" thickTop="1">
      <c r="A17" s="895"/>
      <c r="B17" s="1996"/>
      <c r="C17" s="1997"/>
      <c r="D17" s="1997"/>
      <c r="E17" s="1998"/>
      <c r="F17" s="896"/>
      <c r="G17" s="897"/>
      <c r="H17" s="898"/>
      <c r="I17" s="899">
        <v>0</v>
      </c>
    </row>
    <row r="18" spans="1:9">
      <c r="A18" s="900"/>
      <c r="B18" s="1999"/>
      <c r="C18" s="2000"/>
      <c r="D18" s="2000"/>
      <c r="E18" s="2001"/>
      <c r="F18" s="901"/>
      <c r="G18" s="902"/>
      <c r="H18" s="903"/>
      <c r="I18" s="899">
        <v>0</v>
      </c>
    </row>
    <row r="19" spans="1:9" hidden="1">
      <c r="A19" s="900"/>
      <c r="B19" s="904"/>
      <c r="C19" s="904"/>
      <c r="D19" s="904"/>
      <c r="E19" s="904"/>
      <c r="F19" s="901"/>
      <c r="G19" s="902"/>
      <c r="H19" s="903"/>
      <c r="I19" s="899">
        <v>0</v>
      </c>
    </row>
    <row r="20" spans="1:9" hidden="1">
      <c r="A20" s="900"/>
      <c r="B20" s="904"/>
      <c r="C20" s="904"/>
      <c r="D20" s="904"/>
      <c r="E20" s="904"/>
      <c r="F20" s="901"/>
      <c r="G20" s="902"/>
      <c r="H20" s="903"/>
      <c r="I20" s="899">
        <v>0</v>
      </c>
    </row>
    <row r="21" spans="1:9" hidden="1">
      <c r="A21" s="900"/>
      <c r="B21" s="904"/>
      <c r="C21" s="904"/>
      <c r="D21" s="904"/>
      <c r="E21" s="904"/>
      <c r="F21" s="901"/>
      <c r="G21" s="902"/>
      <c r="H21" s="903"/>
      <c r="I21" s="899">
        <v>0</v>
      </c>
    </row>
    <row r="22" spans="1:9" hidden="1">
      <c r="A22" s="900"/>
      <c r="B22" s="904"/>
      <c r="C22" s="904"/>
      <c r="D22" s="904"/>
      <c r="E22" s="904"/>
      <c r="F22" s="901"/>
      <c r="G22" s="902"/>
      <c r="H22" s="903"/>
      <c r="I22" s="899">
        <v>0</v>
      </c>
    </row>
    <row r="23" spans="1:9" ht="15" thickBot="1">
      <c r="A23" s="2005" t="s">
        <v>21</v>
      </c>
      <c r="B23" s="2006"/>
      <c r="C23" s="2006"/>
      <c r="D23" s="2006"/>
      <c r="E23" s="2006"/>
      <c r="F23" s="2006"/>
      <c r="G23" s="2006"/>
      <c r="H23" s="2007"/>
      <c r="I23" s="905">
        <f>SUM(I21:I22)</f>
        <v>0</v>
      </c>
    </row>
    <row r="24" spans="1:9" ht="15.75" thickTop="1" thickBot="1">
      <c r="A24" s="1990" t="s">
        <v>186</v>
      </c>
      <c r="B24" s="1991"/>
      <c r="C24" s="1991"/>
      <c r="D24" s="1991"/>
      <c r="E24" s="1991"/>
      <c r="F24" s="1991"/>
      <c r="G24" s="1991"/>
      <c r="H24" s="1991"/>
      <c r="I24" s="1992"/>
    </row>
    <row r="25" spans="1:9" ht="15" thickTop="1">
      <c r="A25" s="895"/>
      <c r="B25" s="1996"/>
      <c r="C25" s="1997"/>
      <c r="D25" s="1997"/>
      <c r="E25" s="1998"/>
      <c r="F25" s="896"/>
      <c r="G25" s="897"/>
      <c r="H25" s="906"/>
      <c r="I25" s="907">
        <f t="shared" ref="I25:I30" si="0">ROUND(G25*H25,2)</f>
        <v>0</v>
      </c>
    </row>
    <row r="26" spans="1:9">
      <c r="A26" s="895"/>
      <c r="B26" s="1999"/>
      <c r="C26" s="2000"/>
      <c r="D26" s="2000"/>
      <c r="E26" s="2001"/>
      <c r="F26" s="896"/>
      <c r="G26" s="897"/>
      <c r="H26" s="906"/>
      <c r="I26" s="908">
        <f t="shared" si="0"/>
        <v>0</v>
      </c>
    </row>
    <row r="27" spans="1:9" hidden="1">
      <c r="A27" s="895"/>
      <c r="B27" s="1999"/>
      <c r="C27" s="2000"/>
      <c r="D27" s="2000"/>
      <c r="E27" s="2001"/>
      <c r="F27" s="896"/>
      <c r="G27" s="897"/>
      <c r="H27" s="906"/>
      <c r="I27" s="908">
        <f t="shared" si="0"/>
        <v>0</v>
      </c>
    </row>
    <row r="28" spans="1:9" hidden="1">
      <c r="A28" s="895"/>
      <c r="B28" s="1999"/>
      <c r="C28" s="2000"/>
      <c r="D28" s="2000"/>
      <c r="E28" s="2001"/>
      <c r="F28" s="896"/>
      <c r="G28" s="897"/>
      <c r="H28" s="906"/>
      <c r="I28" s="908">
        <f t="shared" si="0"/>
        <v>0</v>
      </c>
    </row>
    <row r="29" spans="1:9" hidden="1">
      <c r="A29" s="895"/>
      <c r="B29" s="1999"/>
      <c r="C29" s="2000"/>
      <c r="D29" s="2000"/>
      <c r="E29" s="2001"/>
      <c r="F29" s="896"/>
      <c r="G29" s="897"/>
      <c r="H29" s="906"/>
      <c r="I29" s="908">
        <f t="shared" si="0"/>
        <v>0</v>
      </c>
    </row>
    <row r="30" spans="1:9" hidden="1">
      <c r="A30" s="900"/>
      <c r="B30" s="1999"/>
      <c r="C30" s="2000"/>
      <c r="D30" s="2000"/>
      <c r="E30" s="2001"/>
      <c r="F30" s="901"/>
      <c r="G30" s="902"/>
      <c r="H30" s="909"/>
      <c r="I30" s="908">
        <f t="shared" si="0"/>
        <v>0</v>
      </c>
    </row>
    <row r="31" spans="1:9" ht="15" thickBot="1">
      <c r="A31" s="2002"/>
      <c r="B31" s="2003"/>
      <c r="C31" s="2003"/>
      <c r="D31" s="2003"/>
      <c r="E31" s="2003"/>
      <c r="F31" s="2003"/>
      <c r="G31" s="2004"/>
      <c r="H31" s="910" t="s">
        <v>21</v>
      </c>
      <c r="I31" s="905">
        <f>SUM(I25:I30)</f>
        <v>0</v>
      </c>
    </row>
    <row r="32" spans="1:9" ht="15.75" thickTop="1" thickBot="1">
      <c r="A32" s="1990" t="s">
        <v>1043</v>
      </c>
      <c r="B32" s="1991"/>
      <c r="C32" s="1991"/>
      <c r="D32" s="1991"/>
      <c r="E32" s="1991"/>
      <c r="F32" s="1991"/>
      <c r="G32" s="1991"/>
      <c r="H32" s="1991"/>
      <c r="I32" s="1992"/>
    </row>
    <row r="33" spans="1:9" ht="26.25" thickTop="1">
      <c r="A33" s="911" t="s">
        <v>184</v>
      </c>
      <c r="B33" s="912" t="s">
        <v>1044</v>
      </c>
      <c r="C33" s="912" t="s">
        <v>1045</v>
      </c>
      <c r="D33" s="912" t="s">
        <v>732</v>
      </c>
      <c r="E33" s="912" t="s">
        <v>636</v>
      </c>
      <c r="F33" s="912" t="s">
        <v>1046</v>
      </c>
      <c r="G33" s="912" t="s">
        <v>345</v>
      </c>
      <c r="H33" s="912" t="s">
        <v>1047</v>
      </c>
      <c r="I33" s="913" t="s">
        <v>1048</v>
      </c>
    </row>
    <row r="34" spans="1:9" ht="25.5">
      <c r="A34" s="914">
        <v>88907</v>
      </c>
      <c r="B34" s="915" t="s">
        <v>1049</v>
      </c>
      <c r="C34" s="916">
        <v>15</v>
      </c>
      <c r="D34" s="916">
        <v>2</v>
      </c>
      <c r="E34" s="917">
        <v>2</v>
      </c>
      <c r="F34" s="917">
        <v>1</v>
      </c>
      <c r="G34" s="917">
        <v>60</v>
      </c>
      <c r="H34" s="918">
        <v>248.3</v>
      </c>
      <c r="I34" s="919">
        <f>ROUND(D34*((E34*F34*C34)/G34*H34),2)</f>
        <v>248.3</v>
      </c>
    </row>
    <row r="35" spans="1:9" ht="25.5">
      <c r="A35" s="900">
        <v>7049</v>
      </c>
      <c r="B35" s="904" t="s">
        <v>1050</v>
      </c>
      <c r="C35" s="916">
        <v>15</v>
      </c>
      <c r="D35" s="920">
        <v>2</v>
      </c>
      <c r="E35" s="921">
        <v>2</v>
      </c>
      <c r="F35" s="921">
        <v>0.5</v>
      </c>
      <c r="G35" s="921">
        <v>60</v>
      </c>
      <c r="H35" s="922">
        <v>221.52</v>
      </c>
      <c r="I35" s="908">
        <f t="shared" ref="I35:I47" si="1">ROUND(D35*((E35*F35*C35)/G35*H35),2)</f>
        <v>110.76</v>
      </c>
    </row>
    <row r="36" spans="1:9" ht="25.5">
      <c r="A36" s="900">
        <v>5932</v>
      </c>
      <c r="B36" s="904" t="s">
        <v>1051</v>
      </c>
      <c r="C36" s="916">
        <v>15</v>
      </c>
      <c r="D36" s="920">
        <v>1</v>
      </c>
      <c r="E36" s="921">
        <v>2</v>
      </c>
      <c r="F36" s="921">
        <v>1</v>
      </c>
      <c r="G36" s="921">
        <v>60</v>
      </c>
      <c r="H36" s="922">
        <v>269.47000000000003</v>
      </c>
      <c r="I36" s="908">
        <f t="shared" si="1"/>
        <v>134.74</v>
      </c>
    </row>
    <row r="37" spans="1:9" ht="25.5">
      <c r="A37" s="900">
        <v>89257</v>
      </c>
      <c r="B37" s="904" t="s">
        <v>1052</v>
      </c>
      <c r="C37" s="916">
        <v>15</v>
      </c>
      <c r="D37" s="920">
        <v>1</v>
      </c>
      <c r="E37" s="921">
        <v>2</v>
      </c>
      <c r="F37" s="921">
        <v>0.5</v>
      </c>
      <c r="G37" s="921">
        <v>60</v>
      </c>
      <c r="H37" s="922">
        <v>300.19</v>
      </c>
      <c r="I37" s="908">
        <f t="shared" si="1"/>
        <v>75.05</v>
      </c>
    </row>
    <row r="38" spans="1:9" ht="25.5">
      <c r="A38" s="900" t="s">
        <v>1053</v>
      </c>
      <c r="B38" s="904" t="s">
        <v>1054</v>
      </c>
      <c r="C38" s="916">
        <v>15</v>
      </c>
      <c r="D38" s="920">
        <v>2</v>
      </c>
      <c r="E38" s="921">
        <v>2</v>
      </c>
      <c r="F38" s="921">
        <v>1</v>
      </c>
      <c r="G38" s="921">
        <v>60</v>
      </c>
      <c r="H38" s="922">
        <v>150.97999999999999</v>
      </c>
      <c r="I38" s="908">
        <f t="shared" si="1"/>
        <v>150.97999999999999</v>
      </c>
    </row>
    <row r="39" spans="1:9" ht="25.5">
      <c r="A39" s="900">
        <v>5867</v>
      </c>
      <c r="B39" s="904" t="s">
        <v>1055</v>
      </c>
      <c r="C39" s="916">
        <v>15</v>
      </c>
      <c r="D39" s="920">
        <v>1</v>
      </c>
      <c r="E39" s="921">
        <v>2</v>
      </c>
      <c r="F39" s="921">
        <v>0.5</v>
      </c>
      <c r="G39" s="921">
        <v>60</v>
      </c>
      <c r="H39" s="922">
        <v>159.96</v>
      </c>
      <c r="I39" s="908">
        <f t="shared" si="1"/>
        <v>39.99</v>
      </c>
    </row>
    <row r="40" spans="1:9" ht="25.5">
      <c r="A40" s="900">
        <v>6879</v>
      </c>
      <c r="B40" s="904" t="s">
        <v>1056</v>
      </c>
      <c r="C40" s="916">
        <v>15</v>
      </c>
      <c r="D40" s="920">
        <v>1</v>
      </c>
      <c r="E40" s="921">
        <v>2</v>
      </c>
      <c r="F40" s="921">
        <v>0.5</v>
      </c>
      <c r="G40" s="921">
        <v>60</v>
      </c>
      <c r="H40" s="922">
        <v>209.8</v>
      </c>
      <c r="I40" s="908">
        <f t="shared" si="1"/>
        <v>52.45</v>
      </c>
    </row>
    <row r="41" spans="1:9" ht="38.25">
      <c r="A41" s="900">
        <v>89035</v>
      </c>
      <c r="B41" s="904" t="s">
        <v>1057</v>
      </c>
      <c r="C41" s="916">
        <v>15</v>
      </c>
      <c r="D41" s="920">
        <v>1</v>
      </c>
      <c r="E41" s="921">
        <v>2</v>
      </c>
      <c r="F41" s="921">
        <v>0.5</v>
      </c>
      <c r="G41" s="921">
        <v>60</v>
      </c>
      <c r="H41" s="922">
        <v>124.33</v>
      </c>
      <c r="I41" s="908">
        <f t="shared" si="1"/>
        <v>31.08</v>
      </c>
    </row>
    <row r="42" spans="1:9" ht="25.5">
      <c r="A42" s="900">
        <v>93433</v>
      </c>
      <c r="B42" s="904" t="s">
        <v>1058</v>
      </c>
      <c r="C42" s="916">
        <v>15</v>
      </c>
      <c r="D42" s="920">
        <v>1</v>
      </c>
      <c r="E42" s="921">
        <v>2</v>
      </c>
      <c r="F42" s="921">
        <v>3</v>
      </c>
      <c r="G42" s="921">
        <v>40</v>
      </c>
      <c r="H42" s="922">
        <v>2729.42</v>
      </c>
      <c r="I42" s="908">
        <f t="shared" si="1"/>
        <v>6141.2</v>
      </c>
    </row>
    <row r="43" spans="1:9" ht="38.25">
      <c r="A43" s="900">
        <v>7030</v>
      </c>
      <c r="B43" s="904" t="s">
        <v>1059</v>
      </c>
      <c r="C43" s="916">
        <v>15</v>
      </c>
      <c r="D43" s="920">
        <v>1</v>
      </c>
      <c r="E43" s="921">
        <v>2</v>
      </c>
      <c r="F43" s="921">
        <v>1</v>
      </c>
      <c r="G43" s="921">
        <v>50</v>
      </c>
      <c r="H43" s="922">
        <v>272.52</v>
      </c>
      <c r="I43" s="908">
        <f t="shared" si="1"/>
        <v>163.51</v>
      </c>
    </row>
    <row r="44" spans="1:9" ht="25.5">
      <c r="A44" s="900">
        <v>73417</v>
      </c>
      <c r="B44" s="904" t="s">
        <v>1060</v>
      </c>
      <c r="C44" s="916">
        <v>15</v>
      </c>
      <c r="D44" s="920">
        <v>1</v>
      </c>
      <c r="E44" s="921">
        <v>1</v>
      </c>
      <c r="F44" s="921">
        <v>0.5</v>
      </c>
      <c r="G44" s="921">
        <v>60</v>
      </c>
      <c r="H44" s="922">
        <v>194.82</v>
      </c>
      <c r="I44" s="908">
        <f t="shared" si="1"/>
        <v>24.35</v>
      </c>
    </row>
    <row r="45" spans="1:9" ht="102">
      <c r="A45" s="900">
        <v>83362</v>
      </c>
      <c r="B45" s="904" t="s">
        <v>544</v>
      </c>
      <c r="C45" s="916">
        <v>15</v>
      </c>
      <c r="D45" s="920">
        <v>1</v>
      </c>
      <c r="E45" s="921">
        <v>2</v>
      </c>
      <c r="F45" s="921">
        <v>1</v>
      </c>
      <c r="G45" s="921">
        <v>60</v>
      </c>
      <c r="H45" s="922">
        <v>273.20999999999998</v>
      </c>
      <c r="I45" s="908">
        <f>ROUND(D45*((E45*F45*C45)/G45*H45),2)</f>
        <v>136.61000000000001</v>
      </c>
    </row>
    <row r="46" spans="1:9" ht="25.5">
      <c r="A46" s="900" t="s">
        <v>1061</v>
      </c>
      <c r="B46" s="904" t="s">
        <v>1062</v>
      </c>
      <c r="C46" s="916">
        <v>15</v>
      </c>
      <c r="D46" s="920">
        <v>1</v>
      </c>
      <c r="E46" s="921">
        <v>2</v>
      </c>
      <c r="F46" s="921">
        <v>1</v>
      </c>
      <c r="G46" s="921">
        <v>60</v>
      </c>
      <c r="H46" s="922">
        <v>274.14999999999998</v>
      </c>
      <c r="I46" s="908">
        <f>ROUND(D46*((E46*F46*C46)/G46*H46),2)</f>
        <v>137.08000000000001</v>
      </c>
    </row>
    <row r="47" spans="1:9" ht="38.25">
      <c r="A47" s="900">
        <v>91386</v>
      </c>
      <c r="B47" s="904" t="s">
        <v>1063</v>
      </c>
      <c r="C47" s="916">
        <v>15</v>
      </c>
      <c r="D47" s="920">
        <v>8</v>
      </c>
      <c r="E47" s="921">
        <v>2</v>
      </c>
      <c r="F47" s="921">
        <v>1</v>
      </c>
      <c r="G47" s="921">
        <v>60</v>
      </c>
      <c r="H47" s="922">
        <v>265.2</v>
      </c>
      <c r="I47" s="908">
        <f t="shared" si="1"/>
        <v>1060.8</v>
      </c>
    </row>
    <row r="48" spans="1:9" ht="15" thickBot="1">
      <c r="A48" s="1993"/>
      <c r="B48" s="1994"/>
      <c r="C48" s="1994"/>
      <c r="D48" s="1994"/>
      <c r="E48" s="1994"/>
      <c r="F48" s="1994"/>
      <c r="G48" s="1995"/>
      <c r="H48" s="923" t="s">
        <v>21</v>
      </c>
      <c r="I48" s="924">
        <f>SUM(I34:I47)</f>
        <v>8506.9</v>
      </c>
    </row>
    <row r="49" spans="1:11" ht="15.75" thickTop="1" thickBot="1">
      <c r="A49" s="1990" t="s">
        <v>1064</v>
      </c>
      <c r="B49" s="1991"/>
      <c r="C49" s="1991"/>
      <c r="D49" s="1991"/>
      <c r="E49" s="1991"/>
      <c r="F49" s="1991"/>
      <c r="G49" s="1991"/>
      <c r="H49" s="1991"/>
      <c r="I49" s="1992"/>
      <c r="K49" s="925"/>
    </row>
    <row r="50" spans="1:11" ht="15" thickTop="1">
      <c r="A50" s="900"/>
      <c r="B50" s="1996"/>
      <c r="C50" s="1997"/>
      <c r="D50" s="1997"/>
      <c r="E50" s="1998"/>
      <c r="F50" s="901"/>
      <c r="G50" s="902"/>
      <c r="H50" s="909"/>
      <c r="I50" s="907">
        <f>ROUND(G50*H50,2)</f>
        <v>0</v>
      </c>
    </row>
    <row r="51" spans="1:11">
      <c r="A51" s="900"/>
      <c r="B51" s="1999"/>
      <c r="C51" s="2000"/>
      <c r="D51" s="2000"/>
      <c r="E51" s="2001"/>
      <c r="F51" s="901"/>
      <c r="G51" s="902"/>
      <c r="H51" s="909"/>
      <c r="I51" s="908">
        <f>ROUND(G51*H51,2)</f>
        <v>0</v>
      </c>
    </row>
    <row r="52" spans="1:11" hidden="1">
      <c r="A52" s="900"/>
      <c r="B52" s="904"/>
      <c r="C52" s="904"/>
      <c r="D52" s="904"/>
      <c r="E52" s="904"/>
      <c r="F52" s="901"/>
      <c r="G52" s="902"/>
      <c r="H52" s="909"/>
      <c r="I52" s="926">
        <f>ROUND(G52*H52,2)</f>
        <v>0</v>
      </c>
    </row>
    <row r="53" spans="1:11" ht="15" thickBot="1">
      <c r="A53" s="2002"/>
      <c r="B53" s="2003"/>
      <c r="C53" s="2003"/>
      <c r="D53" s="2003"/>
      <c r="E53" s="2003"/>
      <c r="F53" s="2003"/>
      <c r="G53" s="2004"/>
      <c r="H53" s="910" t="s">
        <v>21</v>
      </c>
      <c r="I53" s="905">
        <f>SUM(I50:I52)</f>
        <v>0</v>
      </c>
    </row>
    <row r="54" spans="1:11" ht="15" thickTop="1">
      <c r="A54" s="1985" t="s">
        <v>1065</v>
      </c>
      <c r="B54" s="1986"/>
      <c r="C54" s="1986"/>
      <c r="D54" s="1986"/>
      <c r="E54" s="1986"/>
      <c r="F54" s="1986"/>
      <c r="G54" s="1986"/>
      <c r="H54" s="1987"/>
      <c r="I54" s="927">
        <f>I53+I48+I31+I23</f>
        <v>8506.9</v>
      </c>
      <c r="J54" s="928"/>
      <c r="K54" s="925"/>
    </row>
    <row r="55" spans="1:11">
      <c r="A55" s="929" t="s">
        <v>196</v>
      </c>
      <c r="B55" s="930"/>
      <c r="C55" s="930"/>
      <c r="D55" s="930"/>
      <c r="E55" s="930"/>
      <c r="F55" s="930"/>
      <c r="G55" s="930"/>
      <c r="H55" s="931">
        <f>'[64]B.D.I'!J22</f>
        <v>0.27460000000000001</v>
      </c>
      <c r="I55" s="932">
        <f>I54*H55</f>
        <v>2335.9899999999998</v>
      </c>
    </row>
    <row r="56" spans="1:11" ht="15" thickBot="1">
      <c r="A56" s="1988" t="s">
        <v>1066</v>
      </c>
      <c r="B56" s="1989"/>
      <c r="C56" s="1989"/>
      <c r="D56" s="1989"/>
      <c r="E56" s="1989"/>
      <c r="F56" s="1989"/>
      <c r="G56" s="1989"/>
      <c r="H56" s="1989"/>
      <c r="I56" s="933">
        <f>I55+I54</f>
        <v>10842.89</v>
      </c>
    </row>
    <row r="57" spans="1:11" ht="15" thickTop="1"/>
  </sheetData>
  <mergeCells count="33">
    <mergeCell ref="I14:I15"/>
    <mergeCell ref="A4:I4"/>
    <mergeCell ref="B5:I6"/>
    <mergeCell ref="A7:I7"/>
    <mergeCell ref="A10:I10"/>
    <mergeCell ref="B12:E13"/>
    <mergeCell ref="F12:F13"/>
    <mergeCell ref="G12:G13"/>
    <mergeCell ref="A14:A15"/>
    <mergeCell ref="B14:E15"/>
    <mergeCell ref="F14:F15"/>
    <mergeCell ref="G14:G15"/>
    <mergeCell ref="H14:H15"/>
    <mergeCell ref="A31:G31"/>
    <mergeCell ref="A16:I16"/>
    <mergeCell ref="B17:E17"/>
    <mergeCell ref="B18:E18"/>
    <mergeCell ref="A23:H23"/>
    <mergeCell ref="A24:I24"/>
    <mergeCell ref="B25:E25"/>
    <mergeCell ref="B26:E26"/>
    <mergeCell ref="B27:E27"/>
    <mergeCell ref="B28:E28"/>
    <mergeCell ref="B29:E29"/>
    <mergeCell ref="B30:E30"/>
    <mergeCell ref="A54:H54"/>
    <mergeCell ref="A56:H56"/>
    <mergeCell ref="A32:I32"/>
    <mergeCell ref="A48:G48"/>
    <mergeCell ref="A49:I49"/>
    <mergeCell ref="B50:E50"/>
    <mergeCell ref="B51:E51"/>
    <mergeCell ref="A53:G53"/>
  </mergeCells>
  <printOptions horizontalCentered="1"/>
  <pageMargins left="0.51181102362204722" right="0.31496062992125984" top="0.55118110236220474" bottom="0.78740157480314965" header="0.31496062992125984" footer="0.31496062992125984"/>
  <pageSetup paperSize="9" scale="70" orientation="portrait" r:id="rId1"/>
  <headerFooter>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4">
    <tabColor rgb="FF92D050"/>
  </sheetPr>
  <dimension ref="A1:Q36"/>
  <sheetViews>
    <sheetView topLeftCell="A27" zoomScale="90" zoomScaleNormal="90" workbookViewId="0">
      <selection activeCell="J35" sqref="J35"/>
    </sheetView>
  </sheetViews>
  <sheetFormatPr defaultColWidth="8.7109375" defaultRowHeight="12.75"/>
  <cols>
    <col min="1" max="1" width="4.140625" style="855" bestFit="1" customWidth="1"/>
    <col min="2" max="2" width="17.42578125" style="855" customWidth="1"/>
    <col min="3" max="3" width="15.42578125" style="855" customWidth="1"/>
    <col min="4" max="4" width="11.42578125" style="855" customWidth="1"/>
    <col min="5" max="5" width="8.7109375" style="855"/>
    <col min="6" max="7" width="8.85546875" style="855" bestFit="1" customWidth="1"/>
    <col min="8" max="8" width="11.5703125" style="855" customWidth="1"/>
    <col min="9" max="9" width="8.85546875" style="855" bestFit="1" customWidth="1"/>
    <col min="10" max="10" width="10.28515625" style="855" bestFit="1" customWidth="1"/>
    <col min="11" max="12" width="11.42578125" style="855" bestFit="1" customWidth="1"/>
    <col min="13" max="13" width="13.42578125" style="855" customWidth="1"/>
    <col min="14" max="14" width="12" style="855" bestFit="1" customWidth="1"/>
    <col min="15" max="15" width="10.28515625" style="855" bestFit="1" customWidth="1"/>
    <col min="16" max="16" width="9.42578125" style="855" bestFit="1" customWidth="1"/>
    <col min="17" max="17" width="12.28515625" style="855" bestFit="1" customWidth="1"/>
    <col min="18" max="16384" width="8.7109375" style="855"/>
  </cols>
  <sheetData>
    <row r="1" spans="1:17" ht="14.25" thickTop="1" thickBot="1">
      <c r="A1" s="1443" t="s">
        <v>956</v>
      </c>
      <c r="B1" s="1444"/>
      <c r="C1" s="1444"/>
      <c r="D1" s="1444"/>
      <c r="E1" s="1444"/>
      <c r="F1" s="1444"/>
      <c r="G1" s="1444"/>
      <c r="H1" s="1444"/>
      <c r="I1" s="1444"/>
      <c r="J1" s="1444"/>
      <c r="K1" s="1444"/>
      <c r="L1" s="1444"/>
      <c r="M1" s="1444"/>
      <c r="N1" s="1444"/>
      <c r="O1" s="1444"/>
      <c r="P1" s="1444"/>
      <c r="Q1" s="1445"/>
    </row>
    <row r="2" spans="1:17" ht="14.25" thickTop="1" thickBot="1">
      <c r="A2" s="1446" t="s">
        <v>957</v>
      </c>
      <c r="B2" s="1447"/>
      <c r="C2" s="1447"/>
      <c r="D2" s="1447"/>
      <c r="E2" s="1447"/>
      <c r="F2" s="1447"/>
      <c r="G2" s="1447"/>
      <c r="H2" s="1447"/>
      <c r="I2" s="1447"/>
      <c r="J2" s="1447"/>
      <c r="K2" s="1447"/>
      <c r="L2" s="1447"/>
      <c r="M2" s="1447"/>
      <c r="N2" s="1447"/>
      <c r="O2" s="1447"/>
      <c r="P2" s="1447"/>
      <c r="Q2" s="1448"/>
    </row>
    <row r="3" spans="1:17" ht="22.5">
      <c r="A3" s="1449" t="s">
        <v>6</v>
      </c>
      <c r="B3" s="1440" t="s">
        <v>617</v>
      </c>
      <c r="C3" s="1440" t="s">
        <v>298</v>
      </c>
      <c r="D3" s="1440" t="s">
        <v>299</v>
      </c>
      <c r="E3" s="1440" t="s">
        <v>618</v>
      </c>
      <c r="F3" s="1440" t="s">
        <v>316</v>
      </c>
      <c r="G3" s="856" t="s">
        <v>958</v>
      </c>
      <c r="H3" s="1440" t="s">
        <v>972</v>
      </c>
      <c r="I3" s="1440" t="s">
        <v>618</v>
      </c>
      <c r="J3" s="1440" t="s">
        <v>1</v>
      </c>
      <c r="K3" s="1440" t="s">
        <v>971</v>
      </c>
      <c r="L3" s="1440" t="s">
        <v>456</v>
      </c>
      <c r="M3" s="1440" t="s">
        <v>584</v>
      </c>
      <c r="N3" s="1440" t="s">
        <v>455</v>
      </c>
      <c r="O3" s="1440" t="s">
        <v>960</v>
      </c>
      <c r="P3" s="1440" t="s">
        <v>10</v>
      </c>
      <c r="Q3" s="1440" t="s">
        <v>21</v>
      </c>
    </row>
    <row r="4" spans="1:17" ht="22.5">
      <c r="A4" s="1450"/>
      <c r="B4" s="1441"/>
      <c r="C4" s="1441"/>
      <c r="D4" s="1441"/>
      <c r="E4" s="1441"/>
      <c r="F4" s="1441"/>
      <c r="G4" s="856" t="s">
        <v>959</v>
      </c>
      <c r="H4" s="1441"/>
      <c r="I4" s="1441"/>
      <c r="J4" s="1441"/>
      <c r="K4" s="1441"/>
      <c r="L4" s="1441"/>
      <c r="M4" s="1441"/>
      <c r="N4" s="1441"/>
      <c r="O4" s="1441"/>
      <c r="P4" s="1441"/>
      <c r="Q4" s="1441"/>
    </row>
    <row r="5" spans="1:17" ht="13.5" thickBot="1">
      <c r="A5" s="1451"/>
      <c r="B5" s="1442"/>
      <c r="C5" s="1442"/>
      <c r="D5" s="1442"/>
      <c r="E5" s="1442"/>
      <c r="F5" s="1442"/>
      <c r="G5" s="863"/>
      <c r="H5" s="1442"/>
      <c r="I5" s="1442"/>
      <c r="J5" s="1442"/>
      <c r="K5" s="1442"/>
      <c r="L5" s="1442"/>
      <c r="M5" s="1442"/>
      <c r="N5" s="1442"/>
      <c r="O5" s="1442"/>
      <c r="P5" s="1442"/>
      <c r="Q5" s="1442"/>
    </row>
    <row r="6" spans="1:17" ht="34.5" thickBot="1">
      <c r="A6" s="864">
        <v>1</v>
      </c>
      <c r="B6" s="865" t="s">
        <v>964</v>
      </c>
      <c r="C6" s="858" t="s">
        <v>965</v>
      </c>
      <c r="D6" s="858" t="s">
        <v>962</v>
      </c>
      <c r="E6" s="858" t="s">
        <v>963</v>
      </c>
      <c r="F6" s="859">
        <v>302</v>
      </c>
      <c r="G6" s="860">
        <v>4</v>
      </c>
      <c r="H6" s="859">
        <f>G6</f>
        <v>4</v>
      </c>
      <c r="I6" s="866">
        <f>H6*F6</f>
        <v>1208</v>
      </c>
      <c r="J6" s="1392">
        <f>H6+0.9</f>
        <v>4.9000000000000004</v>
      </c>
      <c r="K6" s="861"/>
      <c r="L6" s="861"/>
      <c r="M6" s="861"/>
      <c r="N6" s="861"/>
      <c r="O6" s="861"/>
      <c r="P6" s="861"/>
      <c r="Q6" s="861"/>
    </row>
    <row r="7" spans="1:17" ht="34.5" thickBot="1">
      <c r="A7" s="864">
        <f>A6+1</f>
        <v>2</v>
      </c>
      <c r="B7" s="865" t="s">
        <v>966</v>
      </c>
      <c r="C7" s="858" t="s">
        <v>965</v>
      </c>
      <c r="D7" s="858" t="s">
        <v>962</v>
      </c>
      <c r="E7" s="858" t="s">
        <v>963</v>
      </c>
      <c r="F7" s="859">
        <v>319</v>
      </c>
      <c r="G7" s="860">
        <v>4</v>
      </c>
      <c r="H7" s="859">
        <f t="shared" ref="H7:H35" si="0">G7</f>
        <v>4</v>
      </c>
      <c r="I7" s="866">
        <f t="shared" ref="I7:I35" si="1">H7*F7</f>
        <v>1276</v>
      </c>
      <c r="J7" s="1392">
        <f t="shared" ref="J7:J35" si="2">H7+0.9</f>
        <v>4.9000000000000004</v>
      </c>
      <c r="K7" s="861"/>
      <c r="L7" s="861"/>
      <c r="M7" s="861"/>
      <c r="N7" s="861"/>
      <c r="O7" s="861"/>
      <c r="P7" s="861"/>
      <c r="Q7" s="861"/>
    </row>
    <row r="8" spans="1:17" ht="34.5" thickBot="1">
      <c r="A8" s="864">
        <f t="shared" ref="A8:A35" si="3">A7+1</f>
        <v>3</v>
      </c>
      <c r="B8" s="865" t="s">
        <v>967</v>
      </c>
      <c r="C8" s="858" t="s">
        <v>961</v>
      </c>
      <c r="D8" s="858" t="s">
        <v>962</v>
      </c>
      <c r="E8" s="858" t="s">
        <v>963</v>
      </c>
      <c r="F8" s="859">
        <v>293</v>
      </c>
      <c r="G8" s="860">
        <v>4.5</v>
      </c>
      <c r="H8" s="859">
        <f t="shared" si="0"/>
        <v>4.5</v>
      </c>
      <c r="I8" s="866">
        <f t="shared" si="1"/>
        <v>1319</v>
      </c>
      <c r="J8" s="1392">
        <f t="shared" si="2"/>
        <v>5.4</v>
      </c>
      <c r="K8" s="861"/>
      <c r="L8" s="861"/>
      <c r="M8" s="861"/>
      <c r="N8" s="861"/>
      <c r="O8" s="861"/>
      <c r="P8" s="861"/>
      <c r="Q8" s="861"/>
    </row>
    <row r="9" spans="1:17" ht="34.5" thickBot="1">
      <c r="A9" s="864">
        <f t="shared" si="3"/>
        <v>4</v>
      </c>
      <c r="B9" s="865" t="s">
        <v>968</v>
      </c>
      <c r="C9" s="858" t="s">
        <v>969</v>
      </c>
      <c r="D9" s="858" t="s">
        <v>962</v>
      </c>
      <c r="E9" s="858" t="s">
        <v>963</v>
      </c>
      <c r="F9" s="859">
        <v>159.88</v>
      </c>
      <c r="G9" s="860">
        <v>5.71</v>
      </c>
      <c r="H9" s="859">
        <f t="shared" si="0"/>
        <v>5.71</v>
      </c>
      <c r="I9" s="866">
        <f t="shared" si="1"/>
        <v>913</v>
      </c>
      <c r="J9" s="1392">
        <f t="shared" si="2"/>
        <v>6.61</v>
      </c>
      <c r="K9" s="861"/>
      <c r="L9" s="861"/>
      <c r="M9" s="861"/>
      <c r="N9" s="861"/>
      <c r="O9" s="861"/>
      <c r="P9" s="861"/>
      <c r="Q9" s="861"/>
    </row>
    <row r="10" spans="1:17" ht="21" customHeight="1" thickBot="1">
      <c r="A10" s="864">
        <f t="shared" si="3"/>
        <v>5</v>
      </c>
      <c r="B10" s="865" t="s">
        <v>973</v>
      </c>
      <c r="C10" s="858"/>
      <c r="D10" s="858" t="s">
        <v>962</v>
      </c>
      <c r="E10" s="858" t="s">
        <v>963</v>
      </c>
      <c r="F10" s="859">
        <v>698.13</v>
      </c>
      <c r="G10" s="860">
        <v>5.58</v>
      </c>
      <c r="H10" s="859">
        <f t="shared" si="0"/>
        <v>5.58</v>
      </c>
      <c r="I10" s="866">
        <f t="shared" si="1"/>
        <v>3896</v>
      </c>
      <c r="J10" s="1392">
        <f t="shared" si="2"/>
        <v>6.48</v>
      </c>
      <c r="K10" s="861"/>
      <c r="L10" s="861"/>
      <c r="M10" s="861"/>
      <c r="N10" s="861"/>
      <c r="O10" s="861"/>
      <c r="P10" s="861"/>
      <c r="Q10" s="861"/>
    </row>
    <row r="11" spans="1:17" ht="23.25" thickBot="1">
      <c r="A11" s="864">
        <f t="shared" si="3"/>
        <v>6</v>
      </c>
      <c r="B11" s="865" t="s">
        <v>1010</v>
      </c>
      <c r="C11" s="858"/>
      <c r="D11" s="858" t="s">
        <v>962</v>
      </c>
      <c r="E11" s="858" t="s">
        <v>963</v>
      </c>
      <c r="F11" s="859">
        <v>262.44</v>
      </c>
      <c r="G11" s="860">
        <v>5.2</v>
      </c>
      <c r="H11" s="859">
        <f t="shared" si="0"/>
        <v>5.2</v>
      </c>
      <c r="I11" s="866">
        <f t="shared" si="1"/>
        <v>1365</v>
      </c>
      <c r="J11" s="1392">
        <f t="shared" si="2"/>
        <v>6.1</v>
      </c>
      <c r="K11" s="861"/>
      <c r="L11" s="861"/>
      <c r="M11" s="861"/>
      <c r="N11" s="861"/>
      <c r="O11" s="861"/>
      <c r="P11" s="861"/>
      <c r="Q11" s="861"/>
    </row>
    <row r="12" spans="1:17" ht="23.25" thickBot="1">
      <c r="A12" s="864">
        <f t="shared" si="3"/>
        <v>7</v>
      </c>
      <c r="B12" s="865" t="s">
        <v>974</v>
      </c>
      <c r="C12" s="858"/>
      <c r="D12" s="858" t="s">
        <v>962</v>
      </c>
      <c r="E12" s="858" t="s">
        <v>963</v>
      </c>
      <c r="F12" s="859">
        <v>438</v>
      </c>
      <c r="G12" s="860">
        <v>4.2</v>
      </c>
      <c r="H12" s="859">
        <f t="shared" si="0"/>
        <v>4.2</v>
      </c>
      <c r="I12" s="866">
        <f t="shared" si="1"/>
        <v>1840</v>
      </c>
      <c r="J12" s="1392">
        <f t="shared" si="2"/>
        <v>5.0999999999999996</v>
      </c>
      <c r="K12" s="861"/>
      <c r="L12" s="861"/>
      <c r="M12" s="861"/>
      <c r="N12" s="861"/>
      <c r="O12" s="861"/>
      <c r="P12" s="861"/>
      <c r="Q12" s="861"/>
    </row>
    <row r="13" spans="1:17" ht="23.25" thickBot="1">
      <c r="A13" s="864">
        <f t="shared" si="3"/>
        <v>8</v>
      </c>
      <c r="B13" s="865" t="s">
        <v>975</v>
      </c>
      <c r="C13" s="858"/>
      <c r="D13" s="858" t="s">
        <v>962</v>
      </c>
      <c r="E13" s="858" t="s">
        <v>963</v>
      </c>
      <c r="F13" s="859">
        <v>182.75</v>
      </c>
      <c r="G13" s="860">
        <v>3.9</v>
      </c>
      <c r="H13" s="859">
        <f t="shared" si="0"/>
        <v>3.9</v>
      </c>
      <c r="I13" s="866">
        <f t="shared" si="1"/>
        <v>713</v>
      </c>
      <c r="J13" s="1392">
        <f t="shared" si="2"/>
        <v>4.8</v>
      </c>
      <c r="K13" s="861"/>
      <c r="L13" s="861"/>
      <c r="M13" s="861"/>
      <c r="N13" s="861"/>
      <c r="O13" s="861"/>
      <c r="P13" s="861"/>
      <c r="Q13" s="861"/>
    </row>
    <row r="14" spans="1:17" ht="23.25" thickBot="1">
      <c r="A14" s="864">
        <f t="shared" si="3"/>
        <v>9</v>
      </c>
      <c r="B14" s="865" t="s">
        <v>2673</v>
      </c>
      <c r="C14" s="858"/>
      <c r="D14" s="858" t="s">
        <v>962</v>
      </c>
      <c r="E14" s="858" t="s">
        <v>963</v>
      </c>
      <c r="F14" s="859">
        <v>131.02000000000001</v>
      </c>
      <c r="G14" s="860">
        <v>3.9</v>
      </c>
      <c r="H14" s="859">
        <f t="shared" si="0"/>
        <v>3.9</v>
      </c>
      <c r="I14" s="866">
        <f t="shared" si="1"/>
        <v>511</v>
      </c>
      <c r="J14" s="1392">
        <f t="shared" si="2"/>
        <v>4.8</v>
      </c>
      <c r="K14" s="861"/>
      <c r="L14" s="861"/>
      <c r="M14" s="861"/>
      <c r="N14" s="861"/>
      <c r="O14" s="861"/>
      <c r="P14" s="861"/>
      <c r="Q14" s="861"/>
    </row>
    <row r="15" spans="1:17" ht="23.25" thickBot="1">
      <c r="A15" s="864">
        <f t="shared" si="3"/>
        <v>10</v>
      </c>
      <c r="B15" s="865" t="s">
        <v>2674</v>
      </c>
      <c r="C15" s="858"/>
      <c r="D15" s="858" t="s">
        <v>962</v>
      </c>
      <c r="E15" s="858" t="s">
        <v>963</v>
      </c>
      <c r="F15" s="859">
        <v>123.33</v>
      </c>
      <c r="G15" s="860">
        <v>3.9</v>
      </c>
      <c r="H15" s="859">
        <f t="shared" si="0"/>
        <v>3.9</v>
      </c>
      <c r="I15" s="866">
        <f t="shared" si="1"/>
        <v>481</v>
      </c>
      <c r="J15" s="1392">
        <f t="shared" si="2"/>
        <v>4.8</v>
      </c>
      <c r="K15" s="861"/>
      <c r="L15" s="861"/>
      <c r="M15" s="861"/>
      <c r="N15" s="861"/>
      <c r="O15" s="861"/>
      <c r="P15" s="861"/>
      <c r="Q15" s="861"/>
    </row>
    <row r="16" spans="1:17" ht="23.25" thickBot="1">
      <c r="A16" s="864"/>
      <c r="B16" s="865" t="s">
        <v>2675</v>
      </c>
      <c r="C16" s="858"/>
      <c r="D16" s="858" t="s">
        <v>962</v>
      </c>
      <c r="E16" s="858" t="s">
        <v>963</v>
      </c>
      <c r="F16" s="859">
        <v>61</v>
      </c>
      <c r="G16" s="860">
        <v>3.9</v>
      </c>
      <c r="H16" s="859">
        <f t="shared" si="0"/>
        <v>3.9</v>
      </c>
      <c r="I16" s="866">
        <f t="shared" si="1"/>
        <v>238</v>
      </c>
      <c r="J16" s="1392">
        <f t="shared" si="2"/>
        <v>4.8</v>
      </c>
      <c r="K16" s="861"/>
      <c r="L16" s="861"/>
      <c r="M16" s="861"/>
      <c r="N16" s="861"/>
      <c r="O16" s="861"/>
      <c r="P16" s="861"/>
      <c r="Q16" s="861"/>
    </row>
    <row r="17" spans="1:17" ht="23.25" thickBot="1">
      <c r="A17" s="864"/>
      <c r="B17" s="865" t="s">
        <v>2676</v>
      </c>
      <c r="C17" s="858"/>
      <c r="D17" s="858" t="s">
        <v>962</v>
      </c>
      <c r="E17" s="858" t="s">
        <v>963</v>
      </c>
      <c r="F17" s="859">
        <v>0</v>
      </c>
      <c r="G17" s="860">
        <v>3.9</v>
      </c>
      <c r="H17" s="859">
        <f t="shared" si="0"/>
        <v>3.9</v>
      </c>
      <c r="I17" s="866">
        <f t="shared" si="1"/>
        <v>0</v>
      </c>
      <c r="J17" s="1392">
        <f t="shared" si="2"/>
        <v>4.8</v>
      </c>
      <c r="K17" s="861"/>
      <c r="L17" s="861"/>
      <c r="M17" s="861"/>
      <c r="N17" s="861"/>
      <c r="O17" s="861"/>
      <c r="P17" s="861"/>
      <c r="Q17" s="861"/>
    </row>
    <row r="18" spans="1:17" ht="23.25" thickBot="1">
      <c r="A18" s="864"/>
      <c r="B18" s="865" t="s">
        <v>2677</v>
      </c>
      <c r="C18" s="858"/>
      <c r="D18" s="858" t="s">
        <v>962</v>
      </c>
      <c r="E18" s="858" t="s">
        <v>963</v>
      </c>
      <c r="F18" s="859">
        <v>75</v>
      </c>
      <c r="G18" s="860">
        <v>3.9</v>
      </c>
      <c r="H18" s="859">
        <f t="shared" si="0"/>
        <v>3.9</v>
      </c>
      <c r="I18" s="866">
        <f t="shared" si="1"/>
        <v>293</v>
      </c>
      <c r="J18" s="1392">
        <f t="shared" si="2"/>
        <v>4.8</v>
      </c>
      <c r="K18" s="861"/>
      <c r="L18" s="861"/>
      <c r="M18" s="861"/>
      <c r="N18" s="861"/>
      <c r="O18" s="861"/>
      <c r="P18" s="861"/>
      <c r="Q18" s="861"/>
    </row>
    <row r="19" spans="1:17" ht="23.25" thickBot="1">
      <c r="A19" s="864">
        <f>A15+1</f>
        <v>11</v>
      </c>
      <c r="B19" s="865" t="s">
        <v>992</v>
      </c>
      <c r="C19" s="858"/>
      <c r="D19" s="858" t="s">
        <v>962</v>
      </c>
      <c r="E19" s="858" t="s">
        <v>963</v>
      </c>
      <c r="F19" s="859">
        <v>151.97999999999999</v>
      </c>
      <c r="G19" s="860">
        <v>6.73</v>
      </c>
      <c r="H19" s="859">
        <f t="shared" si="0"/>
        <v>6.73</v>
      </c>
      <c r="I19" s="866">
        <f t="shared" si="1"/>
        <v>1023</v>
      </c>
      <c r="J19" s="1392">
        <f t="shared" si="2"/>
        <v>7.63</v>
      </c>
      <c r="K19" s="861"/>
      <c r="L19" s="861"/>
      <c r="M19" s="861"/>
      <c r="N19" s="861"/>
      <c r="O19" s="861"/>
      <c r="P19" s="861"/>
      <c r="Q19" s="861"/>
    </row>
    <row r="20" spans="1:17" ht="23.25" thickBot="1">
      <c r="A20" s="864">
        <f t="shared" si="3"/>
        <v>12</v>
      </c>
      <c r="B20" s="865" t="s">
        <v>976</v>
      </c>
      <c r="C20" s="858"/>
      <c r="D20" s="858" t="s">
        <v>962</v>
      </c>
      <c r="E20" s="858" t="s">
        <v>963</v>
      </c>
      <c r="F20" s="859">
        <v>255</v>
      </c>
      <c r="G20" s="860">
        <v>4.5</v>
      </c>
      <c r="H20" s="859">
        <f t="shared" si="0"/>
        <v>4.5</v>
      </c>
      <c r="I20" s="866">
        <f t="shared" si="1"/>
        <v>1148</v>
      </c>
      <c r="J20" s="1392">
        <f t="shared" si="2"/>
        <v>5.4</v>
      </c>
      <c r="K20" s="861"/>
      <c r="L20" s="861"/>
      <c r="M20" s="861"/>
      <c r="N20" s="861"/>
      <c r="O20" s="861"/>
      <c r="P20" s="861"/>
      <c r="Q20" s="861"/>
    </row>
    <row r="21" spans="1:17" ht="23.25" thickBot="1">
      <c r="A21" s="864">
        <f t="shared" si="3"/>
        <v>13</v>
      </c>
      <c r="B21" s="865" t="s">
        <v>977</v>
      </c>
      <c r="C21" s="858"/>
      <c r="D21" s="858" t="s">
        <v>962</v>
      </c>
      <c r="E21" s="858" t="s">
        <v>963</v>
      </c>
      <c r="F21" s="859">
        <v>155</v>
      </c>
      <c r="G21" s="860">
        <v>5.3</v>
      </c>
      <c r="H21" s="859">
        <f t="shared" si="0"/>
        <v>5.3</v>
      </c>
      <c r="I21" s="866">
        <f t="shared" si="1"/>
        <v>822</v>
      </c>
      <c r="J21" s="1392">
        <f t="shared" si="2"/>
        <v>6.2</v>
      </c>
      <c r="K21" s="861"/>
      <c r="L21" s="861"/>
      <c r="M21" s="861"/>
      <c r="N21" s="861"/>
      <c r="O21" s="861"/>
      <c r="P21" s="861"/>
      <c r="Q21" s="861"/>
    </row>
    <row r="22" spans="1:17" ht="23.25" thickBot="1">
      <c r="A22" s="864">
        <f t="shared" si="3"/>
        <v>14</v>
      </c>
      <c r="B22" s="865" t="s">
        <v>978</v>
      </c>
      <c r="C22" s="858"/>
      <c r="D22" s="858" t="s">
        <v>962</v>
      </c>
      <c r="E22" s="858" t="s">
        <v>963</v>
      </c>
      <c r="F22" s="859">
        <v>131</v>
      </c>
      <c r="G22" s="860">
        <v>6.5</v>
      </c>
      <c r="H22" s="859">
        <f t="shared" si="0"/>
        <v>6.5</v>
      </c>
      <c r="I22" s="866">
        <f t="shared" si="1"/>
        <v>852</v>
      </c>
      <c r="J22" s="1392">
        <f t="shared" si="2"/>
        <v>7.4</v>
      </c>
      <c r="K22" s="861"/>
      <c r="L22" s="861"/>
      <c r="M22" s="861"/>
      <c r="N22" s="861"/>
      <c r="O22" s="861"/>
      <c r="P22" s="861"/>
      <c r="Q22" s="861"/>
    </row>
    <row r="23" spans="1:17" ht="23.25" thickBot="1">
      <c r="A23" s="864">
        <f t="shared" si="3"/>
        <v>15</v>
      </c>
      <c r="B23" s="865" t="s">
        <v>979</v>
      </c>
      <c r="C23" s="858"/>
      <c r="D23" s="858" t="s">
        <v>962</v>
      </c>
      <c r="E23" s="858" t="s">
        <v>963</v>
      </c>
      <c r="F23" s="859">
        <v>72.790000000000006</v>
      </c>
      <c r="G23" s="860">
        <v>4</v>
      </c>
      <c r="H23" s="859">
        <f t="shared" si="0"/>
        <v>4</v>
      </c>
      <c r="I23" s="866">
        <f t="shared" si="1"/>
        <v>291</v>
      </c>
      <c r="J23" s="1392">
        <f t="shared" si="2"/>
        <v>4.9000000000000004</v>
      </c>
      <c r="K23" s="861"/>
      <c r="L23" s="861"/>
      <c r="M23" s="861"/>
      <c r="N23" s="861"/>
      <c r="O23" s="861"/>
      <c r="P23" s="861"/>
      <c r="Q23" s="861"/>
    </row>
    <row r="24" spans="1:17" ht="23.25" thickBot="1">
      <c r="A24" s="864">
        <f t="shared" si="3"/>
        <v>16</v>
      </c>
      <c r="B24" s="865" t="s">
        <v>980</v>
      </c>
      <c r="C24" s="858"/>
      <c r="D24" s="858" t="s">
        <v>962</v>
      </c>
      <c r="E24" s="858" t="s">
        <v>963</v>
      </c>
      <c r="F24" s="859">
        <v>183</v>
      </c>
      <c r="G24" s="860">
        <v>4.41</v>
      </c>
      <c r="H24" s="859">
        <f t="shared" si="0"/>
        <v>4.41</v>
      </c>
      <c r="I24" s="866">
        <f t="shared" si="1"/>
        <v>807</v>
      </c>
      <c r="J24" s="1392">
        <f t="shared" si="2"/>
        <v>5.31</v>
      </c>
      <c r="K24" s="861"/>
      <c r="L24" s="861"/>
      <c r="M24" s="861"/>
      <c r="N24" s="861"/>
      <c r="O24" s="861"/>
      <c r="P24" s="861"/>
      <c r="Q24" s="861"/>
    </row>
    <row r="25" spans="1:17" ht="23.25" thickBot="1">
      <c r="A25" s="864">
        <f t="shared" si="3"/>
        <v>17</v>
      </c>
      <c r="B25" s="865" t="s">
        <v>981</v>
      </c>
      <c r="C25" s="858"/>
      <c r="D25" s="858" t="s">
        <v>962</v>
      </c>
      <c r="E25" s="858" t="s">
        <v>963</v>
      </c>
      <c r="F25" s="859">
        <v>151.28</v>
      </c>
      <c r="G25" s="860">
        <v>4.3</v>
      </c>
      <c r="H25" s="859">
        <f t="shared" si="0"/>
        <v>4.3</v>
      </c>
      <c r="I25" s="866">
        <f t="shared" si="1"/>
        <v>651</v>
      </c>
      <c r="J25" s="1392">
        <f t="shared" si="2"/>
        <v>5.2</v>
      </c>
      <c r="K25" s="861"/>
      <c r="L25" s="861"/>
      <c r="M25" s="861"/>
      <c r="N25" s="861"/>
      <c r="O25" s="861"/>
      <c r="P25" s="861"/>
      <c r="Q25" s="861"/>
    </row>
    <row r="26" spans="1:17" ht="23.25" thickBot="1">
      <c r="A26" s="864">
        <f t="shared" si="3"/>
        <v>18</v>
      </c>
      <c r="B26" s="865" t="s">
        <v>982</v>
      </c>
      <c r="C26" s="858"/>
      <c r="D26" s="858" t="s">
        <v>962</v>
      </c>
      <c r="E26" s="858" t="s">
        <v>963</v>
      </c>
      <c r="F26" s="859">
        <v>520</v>
      </c>
      <c r="G26" s="860">
        <v>4.5</v>
      </c>
      <c r="H26" s="859">
        <f t="shared" si="0"/>
        <v>4.5</v>
      </c>
      <c r="I26" s="866">
        <f t="shared" si="1"/>
        <v>2340</v>
      </c>
      <c r="J26" s="1392">
        <f t="shared" si="2"/>
        <v>5.4</v>
      </c>
      <c r="K26" s="861"/>
      <c r="L26" s="861"/>
      <c r="M26" s="861"/>
      <c r="N26" s="861"/>
      <c r="O26" s="861"/>
      <c r="P26" s="861"/>
      <c r="Q26" s="861"/>
    </row>
    <row r="27" spans="1:17" ht="21" customHeight="1" thickBot="1">
      <c r="A27" s="864">
        <f t="shared" si="3"/>
        <v>19</v>
      </c>
      <c r="B27" s="865" t="s">
        <v>983</v>
      </c>
      <c r="C27" s="858"/>
      <c r="D27" s="858" t="s">
        <v>962</v>
      </c>
      <c r="E27" s="858" t="s">
        <v>963</v>
      </c>
      <c r="F27" s="859">
        <v>483</v>
      </c>
      <c r="G27" s="860">
        <v>4.8499999999999996</v>
      </c>
      <c r="H27" s="859">
        <f t="shared" si="0"/>
        <v>4.8499999999999996</v>
      </c>
      <c r="I27" s="866">
        <f t="shared" si="1"/>
        <v>2343</v>
      </c>
      <c r="J27" s="1392">
        <f t="shared" si="2"/>
        <v>5.75</v>
      </c>
      <c r="K27" s="861"/>
      <c r="L27" s="861"/>
      <c r="M27" s="861"/>
      <c r="N27" s="861"/>
      <c r="O27" s="861"/>
      <c r="P27" s="861"/>
      <c r="Q27" s="861"/>
    </row>
    <row r="28" spans="1:17" ht="23.25" thickBot="1">
      <c r="A28" s="864">
        <f t="shared" si="3"/>
        <v>20</v>
      </c>
      <c r="B28" s="865" t="s">
        <v>984</v>
      </c>
      <c r="C28" s="858"/>
      <c r="D28" s="858" t="s">
        <v>962</v>
      </c>
      <c r="E28" s="858" t="s">
        <v>963</v>
      </c>
      <c r="F28" s="859">
        <v>147</v>
      </c>
      <c r="G28" s="860">
        <v>4.0999999999999996</v>
      </c>
      <c r="H28" s="859">
        <f t="shared" si="0"/>
        <v>4.0999999999999996</v>
      </c>
      <c r="I28" s="866">
        <f t="shared" si="1"/>
        <v>603</v>
      </c>
      <c r="J28" s="1392">
        <f t="shared" si="2"/>
        <v>5</v>
      </c>
      <c r="K28" s="861"/>
      <c r="L28" s="861"/>
      <c r="M28" s="861"/>
      <c r="N28" s="861"/>
      <c r="O28" s="861"/>
      <c r="P28" s="861"/>
      <c r="Q28" s="861"/>
    </row>
    <row r="29" spans="1:17" ht="23.25" thickBot="1">
      <c r="A29" s="864">
        <f t="shared" si="3"/>
        <v>21</v>
      </c>
      <c r="B29" s="865" t="s">
        <v>985</v>
      </c>
      <c r="C29" s="858"/>
      <c r="D29" s="858" t="s">
        <v>962</v>
      </c>
      <c r="E29" s="858" t="s">
        <v>963</v>
      </c>
      <c r="F29" s="859">
        <v>46.32</v>
      </c>
      <c r="G29" s="860">
        <v>4.5</v>
      </c>
      <c r="H29" s="859">
        <f t="shared" si="0"/>
        <v>4.5</v>
      </c>
      <c r="I29" s="866">
        <f t="shared" si="1"/>
        <v>208</v>
      </c>
      <c r="J29" s="1392">
        <f t="shared" si="2"/>
        <v>5.4</v>
      </c>
      <c r="K29" s="861"/>
      <c r="L29" s="861"/>
      <c r="M29" s="861"/>
      <c r="N29" s="861"/>
      <c r="O29" s="861"/>
      <c r="P29" s="861"/>
      <c r="Q29" s="861"/>
    </row>
    <row r="30" spans="1:17" ht="23.25" thickBot="1">
      <c r="A30" s="864">
        <f t="shared" si="3"/>
        <v>22</v>
      </c>
      <c r="B30" s="865" t="s">
        <v>986</v>
      </c>
      <c r="C30" s="858"/>
      <c r="D30" s="858" t="s">
        <v>962</v>
      </c>
      <c r="E30" s="858" t="s">
        <v>963</v>
      </c>
      <c r="F30" s="859">
        <v>280.29000000000002</v>
      </c>
      <c r="G30" s="860">
        <v>4.3</v>
      </c>
      <c r="H30" s="859">
        <f t="shared" si="0"/>
        <v>4.3</v>
      </c>
      <c r="I30" s="866">
        <f t="shared" si="1"/>
        <v>1205</v>
      </c>
      <c r="J30" s="1392">
        <f t="shared" si="2"/>
        <v>5.2</v>
      </c>
      <c r="K30" s="861"/>
      <c r="L30" s="861"/>
      <c r="M30" s="861"/>
      <c r="N30" s="861"/>
      <c r="O30" s="861"/>
      <c r="P30" s="861"/>
      <c r="Q30" s="861"/>
    </row>
    <row r="31" spans="1:17" ht="23.25" thickBot="1">
      <c r="A31" s="864">
        <f t="shared" si="3"/>
        <v>23</v>
      </c>
      <c r="B31" s="865" t="s">
        <v>987</v>
      </c>
      <c r="C31" s="858"/>
      <c r="D31" s="858" t="s">
        <v>962</v>
      </c>
      <c r="E31" s="858" t="s">
        <v>963</v>
      </c>
      <c r="F31" s="859">
        <v>514.52</v>
      </c>
      <c r="G31" s="860">
        <v>6.55</v>
      </c>
      <c r="H31" s="859">
        <f t="shared" si="0"/>
        <v>6.55</v>
      </c>
      <c r="I31" s="866">
        <f t="shared" si="1"/>
        <v>3370</v>
      </c>
      <c r="J31" s="1392">
        <f t="shared" si="2"/>
        <v>7.45</v>
      </c>
      <c r="K31" s="861"/>
      <c r="L31" s="861"/>
      <c r="M31" s="861"/>
      <c r="N31" s="861"/>
      <c r="O31" s="861"/>
      <c r="P31" s="861"/>
      <c r="Q31" s="861"/>
    </row>
    <row r="32" spans="1:17" ht="23.25" thickBot="1">
      <c r="A32" s="864">
        <f t="shared" si="3"/>
        <v>24</v>
      </c>
      <c r="B32" s="865" t="s">
        <v>988</v>
      </c>
      <c r="C32" s="858"/>
      <c r="D32" s="858" t="s">
        <v>962</v>
      </c>
      <c r="E32" s="858" t="s">
        <v>963</v>
      </c>
      <c r="F32" s="859">
        <v>96.66</v>
      </c>
      <c r="G32" s="860">
        <v>4.55</v>
      </c>
      <c r="H32" s="859">
        <f t="shared" si="0"/>
        <v>4.55</v>
      </c>
      <c r="I32" s="866">
        <f t="shared" si="1"/>
        <v>440</v>
      </c>
      <c r="J32" s="1392">
        <f t="shared" si="2"/>
        <v>5.45</v>
      </c>
      <c r="K32" s="861"/>
      <c r="L32" s="861"/>
      <c r="M32" s="861"/>
      <c r="N32" s="861"/>
      <c r="O32" s="861"/>
      <c r="P32" s="861"/>
      <c r="Q32" s="861"/>
    </row>
    <row r="33" spans="1:17" ht="23.25" thickBot="1">
      <c r="A33" s="864">
        <f t="shared" si="3"/>
        <v>25</v>
      </c>
      <c r="B33" s="865" t="s">
        <v>989</v>
      </c>
      <c r="C33" s="858"/>
      <c r="D33" s="858" t="s">
        <v>962</v>
      </c>
      <c r="E33" s="858" t="s">
        <v>963</v>
      </c>
      <c r="F33" s="859">
        <v>95.95</v>
      </c>
      <c r="G33" s="860">
        <v>2.9</v>
      </c>
      <c r="H33" s="859">
        <f t="shared" si="0"/>
        <v>2.9</v>
      </c>
      <c r="I33" s="866">
        <f t="shared" si="1"/>
        <v>278</v>
      </c>
      <c r="J33" s="1392">
        <f t="shared" si="2"/>
        <v>3.8</v>
      </c>
      <c r="K33" s="861"/>
      <c r="L33" s="861"/>
      <c r="M33" s="861"/>
      <c r="N33" s="861"/>
      <c r="O33" s="861"/>
      <c r="P33" s="861"/>
      <c r="Q33" s="861"/>
    </row>
    <row r="34" spans="1:17" ht="23.25" thickBot="1">
      <c r="A34" s="864">
        <f t="shared" si="3"/>
        <v>26</v>
      </c>
      <c r="B34" s="865" t="s">
        <v>990</v>
      </c>
      <c r="C34" s="858"/>
      <c r="D34" s="858" t="s">
        <v>962</v>
      </c>
      <c r="E34" s="858" t="s">
        <v>963</v>
      </c>
      <c r="F34" s="859">
        <v>117.94</v>
      </c>
      <c r="G34" s="860">
        <v>4.7</v>
      </c>
      <c r="H34" s="859">
        <f t="shared" si="0"/>
        <v>4.7</v>
      </c>
      <c r="I34" s="866">
        <f t="shared" si="1"/>
        <v>554</v>
      </c>
      <c r="J34" s="1392">
        <f t="shared" si="2"/>
        <v>5.6</v>
      </c>
      <c r="K34" s="861"/>
      <c r="L34" s="861"/>
      <c r="M34" s="861"/>
      <c r="N34" s="861"/>
      <c r="O34" s="861"/>
      <c r="P34" s="861"/>
      <c r="Q34" s="861"/>
    </row>
    <row r="35" spans="1:17" ht="23.25" thickBot="1">
      <c r="A35" s="864">
        <f t="shared" si="3"/>
        <v>27</v>
      </c>
      <c r="B35" s="865" t="s">
        <v>991</v>
      </c>
      <c r="C35" s="858"/>
      <c r="D35" s="858" t="s">
        <v>962</v>
      </c>
      <c r="E35" s="858" t="s">
        <v>963</v>
      </c>
      <c r="F35" s="859">
        <v>108.35</v>
      </c>
      <c r="G35" s="860">
        <v>3.83</v>
      </c>
      <c r="H35" s="859">
        <f t="shared" si="0"/>
        <v>3.83</v>
      </c>
      <c r="I35" s="866">
        <f t="shared" si="1"/>
        <v>415</v>
      </c>
      <c r="J35" s="1392">
        <f t="shared" si="2"/>
        <v>4.7300000000000004</v>
      </c>
      <c r="K35" s="861"/>
      <c r="L35" s="861"/>
      <c r="M35" s="861"/>
      <c r="N35" s="861"/>
      <c r="O35" s="861"/>
      <c r="P35" s="861"/>
      <c r="Q35" s="861"/>
    </row>
    <row r="36" spans="1:17" ht="13.5" thickBot="1">
      <c r="A36" s="1437" t="s">
        <v>317</v>
      </c>
      <c r="B36" s="1438"/>
      <c r="C36" s="1438"/>
      <c r="D36" s="1439"/>
      <c r="E36" s="857"/>
      <c r="F36" s="862">
        <f>SUM(F6:F35)</f>
        <v>6555.63</v>
      </c>
      <c r="G36" s="857"/>
      <c r="H36" s="857"/>
      <c r="I36" s="862">
        <f t="shared" ref="I36:Q36" si="4">SUM(I6:I35)</f>
        <v>31403</v>
      </c>
      <c r="J36" s="862">
        <f t="shared" si="4"/>
        <v>164.11</v>
      </c>
      <c r="K36" s="862">
        <f t="shared" si="4"/>
        <v>0</v>
      </c>
      <c r="L36" s="862">
        <f t="shared" si="4"/>
        <v>0</v>
      </c>
      <c r="M36" s="862">
        <f t="shared" si="4"/>
        <v>0</v>
      </c>
      <c r="N36" s="862">
        <f t="shared" si="4"/>
        <v>0</v>
      </c>
      <c r="O36" s="862">
        <f t="shared" si="4"/>
        <v>0</v>
      </c>
      <c r="P36" s="862">
        <f t="shared" si="4"/>
        <v>0</v>
      </c>
      <c r="Q36" s="862">
        <f t="shared" si="4"/>
        <v>0</v>
      </c>
    </row>
  </sheetData>
  <mergeCells count="19">
    <mergeCell ref="A1:Q1"/>
    <mergeCell ref="A2:Q2"/>
    <mergeCell ref="A3:A5"/>
    <mergeCell ref="B3:B5"/>
    <mergeCell ref="C3:C5"/>
    <mergeCell ref="D3:D5"/>
    <mergeCell ref="E3:E5"/>
    <mergeCell ref="F3:F5"/>
    <mergeCell ref="H3:H5"/>
    <mergeCell ref="I3:I5"/>
    <mergeCell ref="A36:D36"/>
    <mergeCell ref="P3:P5"/>
    <mergeCell ref="Q3:Q5"/>
    <mergeCell ref="J3:J5"/>
    <mergeCell ref="K3:K5"/>
    <mergeCell ref="L3:L5"/>
    <mergeCell ref="M3:M5"/>
    <mergeCell ref="N3:N5"/>
    <mergeCell ref="O3:O5"/>
  </mergeCells>
  <phoneticPr fontId="44" type="noConversion"/>
  <pageMargins left="0.511811024" right="0.511811024" top="0.78740157499999996" bottom="0.78740157499999996" header="0.31496062000000002" footer="0.3149606200000000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ilha14">
    <tabColor theme="7" tint="0.39997558519241921"/>
  </sheetPr>
  <dimension ref="A1:H39"/>
  <sheetViews>
    <sheetView view="pageBreakPreview" zoomScaleNormal="100" zoomScaleSheetLayoutView="100" workbookViewId="0">
      <selection sqref="A1:G2"/>
    </sheetView>
  </sheetViews>
  <sheetFormatPr defaultColWidth="9.140625" defaultRowHeight="14.25"/>
  <cols>
    <col min="1" max="2" width="10.7109375" style="235" customWidth="1"/>
    <col min="3" max="3" width="40.7109375" style="235" customWidth="1"/>
    <col min="4" max="4" width="10.7109375" style="235" customWidth="1"/>
    <col min="5" max="7" width="14.7109375" style="235" customWidth="1"/>
    <col min="8" max="16384" width="9.140625" style="235"/>
  </cols>
  <sheetData>
    <row r="1" spans="1:8" s="232" customFormat="1" ht="15" customHeight="1">
      <c r="A1" s="1937"/>
      <c r="B1" s="1938"/>
      <c r="C1" s="1938"/>
      <c r="D1" s="1938"/>
      <c r="E1" s="1938"/>
      <c r="F1" s="1938"/>
      <c r="G1" s="1939"/>
    </row>
    <row r="2" spans="1:8" s="232" customFormat="1" ht="45.75" customHeight="1">
      <c r="A2" s="1940"/>
      <c r="B2" s="1941"/>
      <c r="C2" s="1941"/>
      <c r="D2" s="1941"/>
      <c r="E2" s="1941"/>
      <c r="F2" s="1941"/>
      <c r="G2" s="1942"/>
    </row>
    <row r="3" spans="1:8" s="232" customFormat="1" ht="15" customHeight="1">
      <c r="A3" s="1977" t="s">
        <v>17</v>
      </c>
      <c r="B3" s="1978"/>
      <c r="C3" s="1978"/>
      <c r="D3" s="1978"/>
      <c r="E3" s="1978"/>
      <c r="F3" s="1978"/>
      <c r="G3" s="1979"/>
    </row>
    <row r="4" spans="1:8" s="232" customFormat="1" ht="15" customHeight="1">
      <c r="A4" s="1940" t="s">
        <v>185</v>
      </c>
      <c r="B4" s="1941"/>
      <c r="C4" s="1941"/>
      <c r="D4" s="1941"/>
      <c r="E4" s="1941"/>
      <c r="F4" s="1941"/>
      <c r="G4" s="1942"/>
    </row>
    <row r="5" spans="1:8" s="232" customFormat="1" ht="15" customHeight="1">
      <c r="A5" s="1940" t="s">
        <v>16</v>
      </c>
      <c r="B5" s="1941"/>
      <c r="C5" s="1941"/>
      <c r="D5" s="1941"/>
      <c r="E5" s="1941"/>
      <c r="F5" s="1941"/>
      <c r="G5" s="1942"/>
    </row>
    <row r="6" spans="1:8" s="232" customFormat="1" ht="15" customHeight="1">
      <c r="A6" s="523"/>
      <c r="B6" s="530"/>
      <c r="C6" s="530"/>
      <c r="D6" s="530"/>
      <c r="E6" s="530"/>
      <c r="F6" s="530"/>
      <c r="G6" s="524"/>
    </row>
    <row r="7" spans="1:8" s="234" customFormat="1">
      <c r="A7" s="531" t="s">
        <v>654</v>
      </c>
      <c r="B7" s="1980" t="str">
        <f>ORÇAMENTO!D9</f>
        <v>SISTEMA DE SANEAMENTO INTEGRADO NO BAIRRO DO ICUÍ: ABASTECIMENTO DE ÁGUA, DRENAGEM URBANA E MANEJO DE ÁGUAS PLUVIAIS E PAVIMENTAÇÃO NO MUNICÍPIO DE ANANINDEUA/ PA</v>
      </c>
      <c r="C7" s="1981"/>
      <c r="D7" s="1981"/>
      <c r="E7" s="1981"/>
      <c r="F7" s="1981"/>
      <c r="G7" s="1982"/>
    </row>
    <row r="8" spans="1:8" s="232" customFormat="1" ht="15" customHeight="1" thickBot="1">
      <c r="A8" s="233"/>
      <c r="B8" s="1983"/>
      <c r="C8" s="1983"/>
      <c r="D8" s="1983"/>
      <c r="E8" s="1983"/>
      <c r="F8" s="1983"/>
      <c r="G8" s="1984"/>
    </row>
    <row r="9" spans="1:8" s="234" customFormat="1" ht="24" customHeight="1" thickTop="1">
      <c r="A9" s="525" t="s">
        <v>183</v>
      </c>
      <c r="B9" s="527" t="s">
        <v>655</v>
      </c>
      <c r="C9" s="1974" t="s">
        <v>656</v>
      </c>
      <c r="D9" s="1975"/>
      <c r="E9" s="1975"/>
      <c r="F9" s="1976"/>
      <c r="G9" s="308" t="s">
        <v>531</v>
      </c>
    </row>
    <row r="10" spans="1:8" s="234" customFormat="1" ht="15" thickBot="1">
      <c r="A10" s="526" t="str">
        <f>ORÇAMENTO!E22</f>
        <v>II</v>
      </c>
      <c r="B10" s="528">
        <v>45139</v>
      </c>
      <c r="C10" s="1962" t="str">
        <f>ORÇAMENTO!F22</f>
        <v>Locação de rede com auxílio de equipamento topográfico</v>
      </c>
      <c r="D10" s="1963"/>
      <c r="E10" s="1963"/>
      <c r="F10" s="1964"/>
      <c r="G10" s="155" t="str">
        <f>ORÇAMENTO!H22</f>
        <v>und.</v>
      </c>
    </row>
    <row r="11" spans="1:8" s="234" customFormat="1" ht="12.75" customHeight="1" thickTop="1">
      <c r="A11" s="1965"/>
      <c r="B11" s="1966"/>
      <c r="C11" s="1966"/>
      <c r="D11" s="1966"/>
      <c r="E11" s="1966"/>
      <c r="F11" s="1966"/>
      <c r="G11" s="1967"/>
    </row>
    <row r="12" spans="1:8" s="171" customFormat="1" ht="20.100000000000001" customHeight="1">
      <c r="A12" s="241" t="s">
        <v>33</v>
      </c>
      <c r="B12" s="242" t="s">
        <v>252</v>
      </c>
      <c r="C12" s="243" t="s">
        <v>652</v>
      </c>
      <c r="D12" s="242" t="s">
        <v>35</v>
      </c>
      <c r="E12" s="243" t="s">
        <v>149</v>
      </c>
      <c r="F12" s="244" t="s">
        <v>36</v>
      </c>
      <c r="G12" s="245" t="s">
        <v>657</v>
      </c>
      <c r="H12" s="165"/>
    </row>
    <row r="13" spans="1:8" s="234" customFormat="1" ht="20.100000000000001" customHeight="1">
      <c r="A13" s="1968" t="s">
        <v>32</v>
      </c>
      <c r="B13" s="1969"/>
      <c r="C13" s="1969"/>
      <c r="D13" s="1969"/>
      <c r="E13" s="1969"/>
      <c r="F13" s="1969"/>
      <c r="G13" s="1970"/>
    </row>
    <row r="14" spans="1:8" s="234" customFormat="1" ht="23.25" customHeight="1">
      <c r="A14" s="533">
        <v>1</v>
      </c>
      <c r="B14" s="439" t="s">
        <v>38</v>
      </c>
      <c r="C14" s="534" t="s">
        <v>39</v>
      </c>
      <c r="D14" s="439" t="s">
        <v>222</v>
      </c>
      <c r="E14" s="553">
        <f>G34</f>
        <v>600</v>
      </c>
      <c r="F14" s="535">
        <v>28.83</v>
      </c>
      <c r="G14" s="536">
        <f>E14*F14</f>
        <v>17298</v>
      </c>
    </row>
    <row r="15" spans="1:8" s="234" customFormat="1" ht="23.25" customHeight="1">
      <c r="A15" s="533">
        <v>2</v>
      </c>
      <c r="B15" s="439" t="s">
        <v>225</v>
      </c>
      <c r="C15" s="534" t="s">
        <v>226</v>
      </c>
      <c r="D15" s="439" t="s">
        <v>222</v>
      </c>
      <c r="E15" s="553">
        <f>G35</f>
        <v>600</v>
      </c>
      <c r="F15" s="535">
        <v>14.14</v>
      </c>
      <c r="G15" s="536">
        <f>E15*F15</f>
        <v>8484</v>
      </c>
    </row>
    <row r="16" spans="1:8" s="234" customFormat="1" ht="20.100000000000001" customHeight="1">
      <c r="A16" s="1953" t="s">
        <v>528</v>
      </c>
      <c r="B16" s="1954"/>
      <c r="C16" s="1954"/>
      <c r="D16" s="1954"/>
      <c r="E16" s="1954"/>
      <c r="F16" s="1954"/>
      <c r="G16" s="537">
        <f>SUM(G14:G15)</f>
        <v>25782</v>
      </c>
    </row>
    <row r="17" spans="1:8" s="234" customFormat="1" ht="20.100000000000001" customHeight="1">
      <c r="A17" s="1971" t="s">
        <v>43</v>
      </c>
      <c r="B17" s="1972"/>
      <c r="C17" s="1972"/>
      <c r="D17" s="1972"/>
      <c r="E17" s="1972"/>
      <c r="F17" s="1972"/>
      <c r="G17" s="1973"/>
    </row>
    <row r="18" spans="1:8" s="234" customFormat="1" ht="20.100000000000001" customHeight="1">
      <c r="A18" s="533"/>
      <c r="B18" s="538"/>
      <c r="C18" s="539"/>
      <c r="D18" s="540"/>
      <c r="E18" s="541"/>
      <c r="F18" s="542"/>
      <c r="G18" s="536">
        <f>E18*F18</f>
        <v>0</v>
      </c>
    </row>
    <row r="19" spans="1:8" s="234" customFormat="1" ht="20.100000000000001" customHeight="1">
      <c r="A19" s="1953" t="s">
        <v>529</v>
      </c>
      <c r="B19" s="1954"/>
      <c r="C19" s="1954"/>
      <c r="D19" s="1954"/>
      <c r="E19" s="1954"/>
      <c r="F19" s="1954"/>
      <c r="G19" s="537">
        <f>SUM(G18:G18)</f>
        <v>0</v>
      </c>
    </row>
    <row r="20" spans="1:8" s="234" customFormat="1" ht="20.100000000000001" customHeight="1">
      <c r="A20" s="1950" t="s">
        <v>45</v>
      </c>
      <c r="B20" s="1951"/>
      <c r="C20" s="1951"/>
      <c r="D20" s="1951"/>
      <c r="E20" s="1951"/>
      <c r="F20" s="1951"/>
      <c r="G20" s="1952"/>
    </row>
    <row r="21" spans="1:8" s="234" customFormat="1" ht="20.100000000000001" customHeight="1">
      <c r="A21" s="533"/>
      <c r="B21" s="538"/>
      <c r="C21" s="543"/>
      <c r="D21" s="540"/>
      <c r="E21" s="544"/>
      <c r="F21" s="542"/>
      <c r="G21" s="536">
        <f>E21*F21</f>
        <v>0</v>
      </c>
    </row>
    <row r="22" spans="1:8" s="234" customFormat="1" ht="20.100000000000001" customHeight="1">
      <c r="A22" s="1953" t="s">
        <v>530</v>
      </c>
      <c r="B22" s="1954"/>
      <c r="C22" s="1954"/>
      <c r="D22" s="1954"/>
      <c r="E22" s="1954"/>
      <c r="F22" s="1954"/>
      <c r="G22" s="537">
        <f>SUM(G21:G21)</f>
        <v>0</v>
      </c>
    </row>
    <row r="23" spans="1:8" s="171" customFormat="1" ht="20.100000000000001" customHeight="1">
      <c r="A23" s="1955" t="s">
        <v>47</v>
      </c>
      <c r="B23" s="1956"/>
      <c r="C23" s="1956"/>
      <c r="D23" s="1956"/>
      <c r="E23" s="1956"/>
      <c r="F23" s="1956"/>
      <c r="G23" s="1957"/>
      <c r="H23" s="165"/>
    </row>
    <row r="24" spans="1:8" s="171" customFormat="1" ht="20.100000000000001" customHeight="1">
      <c r="A24" s="156" t="s">
        <v>33</v>
      </c>
      <c r="B24" s="157"/>
      <c r="C24" s="157" t="s">
        <v>48</v>
      </c>
      <c r="D24" s="1958" t="s">
        <v>658</v>
      </c>
      <c r="E24" s="1959"/>
      <c r="F24" s="1959"/>
      <c r="G24" s="1960"/>
      <c r="H24" s="165"/>
    </row>
    <row r="25" spans="1:8" s="171" customFormat="1" ht="20.100000000000001" customHeight="1">
      <c r="A25" s="156" t="s">
        <v>49</v>
      </c>
      <c r="B25" s="157"/>
      <c r="C25" s="157" t="s">
        <v>50</v>
      </c>
      <c r="D25" s="1943" t="s">
        <v>51</v>
      </c>
      <c r="E25" s="1943"/>
      <c r="F25" s="1943"/>
      <c r="G25" s="158">
        <f>G16</f>
        <v>25782</v>
      </c>
      <c r="H25" s="165"/>
    </row>
    <row r="26" spans="1:8" s="171" customFormat="1" ht="20.100000000000001" customHeight="1">
      <c r="A26" s="156" t="s">
        <v>52</v>
      </c>
      <c r="B26" s="157"/>
      <c r="C26" s="157" t="s">
        <v>53</v>
      </c>
      <c r="D26" s="1943" t="s">
        <v>54</v>
      </c>
      <c r="E26" s="1943"/>
      <c r="F26" s="1943"/>
      <c r="G26" s="158">
        <f>G19</f>
        <v>0</v>
      </c>
      <c r="H26" s="165"/>
    </row>
    <row r="27" spans="1:8" s="171" customFormat="1" ht="20.100000000000001" customHeight="1">
      <c r="A27" s="156" t="s">
        <v>14</v>
      </c>
      <c r="B27" s="157"/>
      <c r="C27" s="157" t="s">
        <v>55</v>
      </c>
      <c r="D27" s="1943" t="s">
        <v>56</v>
      </c>
      <c r="E27" s="1943"/>
      <c r="F27" s="1943"/>
      <c r="G27" s="158">
        <f>G22</f>
        <v>0</v>
      </c>
      <c r="H27" s="165"/>
    </row>
    <row r="28" spans="1:8" s="171" customFormat="1" ht="20.100000000000001" customHeight="1">
      <c r="A28" s="156" t="s">
        <v>7</v>
      </c>
      <c r="B28" s="157"/>
      <c r="C28" s="545" t="s">
        <v>57</v>
      </c>
      <c r="D28" s="1944" t="s">
        <v>58</v>
      </c>
      <c r="E28" s="1944"/>
      <c r="F28" s="1944"/>
      <c r="G28" s="546">
        <f>G25+G26+G27</f>
        <v>25782</v>
      </c>
      <c r="H28" s="165"/>
    </row>
    <row r="29" spans="1:8" s="171" customFormat="1" ht="20.100000000000001" customHeight="1">
      <c r="A29" s="156"/>
      <c r="B29" s="157"/>
      <c r="C29" s="545"/>
      <c r="D29" s="1945" t="s">
        <v>196</v>
      </c>
      <c r="E29" s="1946"/>
      <c r="F29" s="547">
        <v>0.27460000000000001</v>
      </c>
      <c r="G29" s="159">
        <f>G28*F29</f>
        <v>7079.74</v>
      </c>
      <c r="H29" s="165"/>
    </row>
    <row r="30" spans="1:8" s="171" customFormat="1" ht="20.100000000000001" customHeight="1" thickBot="1">
      <c r="A30" s="1947" t="s">
        <v>60</v>
      </c>
      <c r="B30" s="1948"/>
      <c r="C30" s="1948"/>
      <c r="D30" s="1948"/>
      <c r="E30" s="1948"/>
      <c r="F30" s="1949"/>
      <c r="G30" s="160">
        <f>G28+G29</f>
        <v>32861.74</v>
      </c>
      <c r="H30" s="165"/>
    </row>
    <row r="31" spans="1:8" s="234" customFormat="1" ht="20.100000000000001" customHeight="1">
      <c r="A31" s="548"/>
      <c r="B31" s="549"/>
      <c r="C31" s="549"/>
      <c r="D31" s="550"/>
      <c r="E31" s="549"/>
      <c r="F31" s="549"/>
      <c r="G31" s="551"/>
    </row>
    <row r="32" spans="1:8" ht="20.100000000000001" customHeight="1">
      <c r="A32" s="1961" t="s">
        <v>659</v>
      </c>
      <c r="B32" s="1961"/>
      <c r="C32" s="1961"/>
      <c r="D32" s="1961"/>
      <c r="E32" s="1961"/>
      <c r="F32" s="1961"/>
      <c r="G32" s="1961"/>
    </row>
    <row r="33" spans="1:7" ht="20.100000000000001" customHeight="1">
      <c r="A33" s="156" t="s">
        <v>33</v>
      </c>
      <c r="B33" s="1931" t="s">
        <v>662</v>
      </c>
      <c r="C33" s="1932"/>
      <c r="D33" s="239" t="s">
        <v>227</v>
      </c>
      <c r="E33" s="239" t="s">
        <v>228</v>
      </c>
      <c r="F33" s="239" t="s">
        <v>660</v>
      </c>
      <c r="G33" s="240" t="s">
        <v>661</v>
      </c>
    </row>
    <row r="34" spans="1:7" ht="20.100000000000001" customHeight="1">
      <c r="A34" s="239">
        <v>1</v>
      </c>
      <c r="B34" s="1933" t="s">
        <v>663</v>
      </c>
      <c r="C34" s="1934"/>
      <c r="D34" s="480">
        <v>4</v>
      </c>
      <c r="E34" s="480">
        <v>25</v>
      </c>
      <c r="F34" s="480">
        <v>6</v>
      </c>
      <c r="G34" s="481">
        <f>ROUND((D34*E34*F34),2)</f>
        <v>600</v>
      </c>
    </row>
    <row r="35" spans="1:7" ht="20.100000000000001" customHeight="1">
      <c r="A35" s="239">
        <v>2</v>
      </c>
      <c r="B35" s="1935" t="s">
        <v>664</v>
      </c>
      <c r="C35" s="1936"/>
      <c r="D35" s="480">
        <v>4</v>
      </c>
      <c r="E35" s="480">
        <v>25</v>
      </c>
      <c r="F35" s="480">
        <v>6</v>
      </c>
      <c r="G35" s="481">
        <f>ROUND((D35*E35*F35),2)</f>
        <v>600</v>
      </c>
    </row>
    <row r="36" spans="1:7" ht="20.100000000000001" customHeight="1"/>
    <row r="37" spans="1:7" ht="20.100000000000001" customHeight="1"/>
    <row r="38" spans="1:7" ht="20.100000000000001" customHeight="1"/>
    <row r="39" spans="1:7" ht="20.100000000000001" customHeight="1"/>
  </sheetData>
  <mergeCells count="27">
    <mergeCell ref="B8:G8"/>
    <mergeCell ref="A1:G2"/>
    <mergeCell ref="A3:G3"/>
    <mergeCell ref="A4:G4"/>
    <mergeCell ref="A5:G5"/>
    <mergeCell ref="B7:G7"/>
    <mergeCell ref="D25:F25"/>
    <mergeCell ref="C9:F9"/>
    <mergeCell ref="C10:F10"/>
    <mergeCell ref="A11:G11"/>
    <mergeCell ref="A13:G13"/>
    <mergeCell ref="A16:F16"/>
    <mergeCell ref="A17:G17"/>
    <mergeCell ref="A19:F19"/>
    <mergeCell ref="A20:G20"/>
    <mergeCell ref="A22:F22"/>
    <mergeCell ref="A23:G23"/>
    <mergeCell ref="D24:G24"/>
    <mergeCell ref="B33:C33"/>
    <mergeCell ref="B34:C34"/>
    <mergeCell ref="B35:C35"/>
    <mergeCell ref="D26:F26"/>
    <mergeCell ref="D27:F27"/>
    <mergeCell ref="D28:F28"/>
    <mergeCell ref="D29:E29"/>
    <mergeCell ref="A30:F30"/>
    <mergeCell ref="A32:G32"/>
  </mergeCells>
  <pageMargins left="0.511811024" right="0.511811024" top="0.78740157499999996" bottom="0.78740157499999996" header="0.31496062000000002" footer="0.31496062000000002"/>
  <pageSetup paperSize="9" scale="79" orientation="portrait" r:id="rId1"/>
  <colBreaks count="1" manualBreakCount="1">
    <brk id="7" max="1048575" man="1"/>
  </colBreaks>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ilha15">
    <tabColor theme="7" tint="0.39997558519241921"/>
  </sheetPr>
  <dimension ref="A1:H41"/>
  <sheetViews>
    <sheetView view="pageBreakPreview" zoomScaleNormal="100" zoomScaleSheetLayoutView="100" workbookViewId="0">
      <selection activeCell="J8" sqref="J8"/>
    </sheetView>
  </sheetViews>
  <sheetFormatPr defaultColWidth="9.140625" defaultRowHeight="14.25"/>
  <cols>
    <col min="1" max="2" width="10.7109375" style="235" customWidth="1"/>
    <col min="3" max="3" width="40.7109375" style="235" customWidth="1"/>
    <col min="4" max="4" width="10.7109375" style="235" customWidth="1"/>
    <col min="5" max="7" width="14.7109375" style="235" customWidth="1"/>
    <col min="8" max="16384" width="9.140625" style="235"/>
  </cols>
  <sheetData>
    <row r="1" spans="1:8" s="232" customFormat="1" ht="15" customHeight="1">
      <c r="A1" s="231"/>
      <c r="B1" s="2035"/>
      <c r="C1" s="2035"/>
      <c r="D1" s="2035"/>
      <c r="E1" s="2035"/>
      <c r="F1" s="2035"/>
      <c r="G1" s="2036"/>
    </row>
    <row r="2" spans="1:8" s="232" customFormat="1" ht="45.75" customHeight="1">
      <c r="A2" s="236"/>
      <c r="B2" s="529"/>
      <c r="C2" s="529"/>
      <c r="D2" s="529"/>
      <c r="E2" s="529"/>
      <c r="F2" s="529"/>
      <c r="G2" s="522"/>
    </row>
    <row r="3" spans="1:8" s="232" customFormat="1" ht="15" customHeight="1">
      <c r="A3" s="1977" t="s">
        <v>17</v>
      </c>
      <c r="B3" s="1978"/>
      <c r="C3" s="1978"/>
      <c r="D3" s="1978"/>
      <c r="E3" s="1978"/>
      <c r="F3" s="1978"/>
      <c r="G3" s="1979"/>
    </row>
    <row r="4" spans="1:8" s="232" customFormat="1" ht="15" customHeight="1">
      <c r="A4" s="1940" t="s">
        <v>185</v>
      </c>
      <c r="B4" s="1941"/>
      <c r="C4" s="1941"/>
      <c r="D4" s="1941"/>
      <c r="E4" s="1941"/>
      <c r="F4" s="1941"/>
      <c r="G4" s="1942"/>
    </row>
    <row r="5" spans="1:8" s="232" customFormat="1" ht="15" customHeight="1">
      <c r="A5" s="1940" t="s">
        <v>16</v>
      </c>
      <c r="B5" s="1941"/>
      <c r="C5" s="1941"/>
      <c r="D5" s="1941"/>
      <c r="E5" s="1941"/>
      <c r="F5" s="1941"/>
      <c r="G5" s="1942"/>
    </row>
    <row r="6" spans="1:8" s="232" customFormat="1" ht="15" customHeight="1">
      <c r="A6" s="523"/>
      <c r="B6" s="530"/>
      <c r="C6" s="530"/>
      <c r="D6" s="530"/>
      <c r="E6" s="530"/>
      <c r="F6" s="530"/>
      <c r="G6" s="524"/>
    </row>
    <row r="7" spans="1:8" s="234" customFormat="1">
      <c r="A7" s="531" t="s">
        <v>654</v>
      </c>
      <c r="B7" s="1980" t="str">
        <f>ORÇAMENTO!D9</f>
        <v>SISTEMA DE SANEAMENTO INTEGRADO NO BAIRRO DO ICUÍ: ABASTECIMENTO DE ÁGUA, DRENAGEM URBANA E MANEJO DE ÁGUAS PLUVIAIS E PAVIMENTAÇÃO NO MUNICÍPIO DE ANANINDEUA/ PA</v>
      </c>
      <c r="C7" s="1981"/>
      <c r="D7" s="1981"/>
      <c r="E7" s="1981"/>
      <c r="F7" s="1981"/>
      <c r="G7" s="1982"/>
    </row>
    <row r="8" spans="1:8" s="232" customFormat="1" ht="15" customHeight="1" thickBot="1">
      <c r="A8" s="233"/>
      <c r="B8" s="1983"/>
      <c r="C8" s="1983"/>
      <c r="D8" s="1983"/>
      <c r="E8" s="1983"/>
      <c r="F8" s="1983"/>
      <c r="G8" s="1984"/>
    </row>
    <row r="9" spans="1:8" s="234" customFormat="1" ht="24" customHeight="1" thickTop="1">
      <c r="A9" s="525" t="s">
        <v>183</v>
      </c>
      <c r="B9" s="527" t="s">
        <v>655</v>
      </c>
      <c r="C9" s="1974" t="s">
        <v>656</v>
      </c>
      <c r="D9" s="1975"/>
      <c r="E9" s="1975"/>
      <c r="F9" s="1976"/>
      <c r="G9" s="308" t="s">
        <v>531</v>
      </c>
    </row>
    <row r="10" spans="1:8" s="234" customFormat="1" ht="29.25" customHeight="1" thickBot="1">
      <c r="A10" s="526" t="str">
        <f>ORÇAMENTO!E129</f>
        <v>III</v>
      </c>
      <c r="B10" s="532">
        <v>100565</v>
      </c>
      <c r="C10" s="1962" t="str">
        <f>ORÇAMENTO!F129</f>
        <v xml:space="preserve">Execução e compactação de base e ou sub base para pavimentação de solo arenoso (SOLO MELHORADO COM PEDREGULHO) - exclusive escavação, carga e transporte. </v>
      </c>
      <c r="D10" s="1963"/>
      <c r="E10" s="1963"/>
      <c r="F10" s="1964"/>
      <c r="G10" s="155" t="str">
        <f>ORÇAMENTO!H129</f>
        <v>m³</v>
      </c>
    </row>
    <row r="11" spans="1:8" s="234" customFormat="1" ht="12.75" customHeight="1" thickTop="1">
      <c r="A11" s="1965"/>
      <c r="B11" s="1966"/>
      <c r="C11" s="1966"/>
      <c r="D11" s="1966"/>
      <c r="E11" s="1966"/>
      <c r="F11" s="1966"/>
      <c r="G11" s="1967"/>
    </row>
    <row r="12" spans="1:8" s="171" customFormat="1" ht="20.100000000000001" customHeight="1">
      <c r="A12" s="241" t="s">
        <v>33</v>
      </c>
      <c r="B12" s="242" t="s">
        <v>252</v>
      </c>
      <c r="C12" s="243" t="s">
        <v>652</v>
      </c>
      <c r="D12" s="242" t="s">
        <v>35</v>
      </c>
      <c r="E12" s="243" t="s">
        <v>149</v>
      </c>
      <c r="F12" s="244" t="s">
        <v>36</v>
      </c>
      <c r="G12" s="245" t="s">
        <v>657</v>
      </c>
      <c r="H12" s="165"/>
    </row>
    <row r="13" spans="1:8" s="234" customFormat="1" ht="20.100000000000001" customHeight="1">
      <c r="A13" s="1968" t="s">
        <v>32</v>
      </c>
      <c r="B13" s="1969"/>
      <c r="C13" s="1969"/>
      <c r="D13" s="1969"/>
      <c r="E13" s="1969"/>
      <c r="F13" s="1969"/>
      <c r="G13" s="1970"/>
    </row>
    <row r="14" spans="1:8" s="234" customFormat="1" ht="20.100000000000001" customHeight="1">
      <c r="A14" s="533">
        <v>1</v>
      </c>
      <c r="B14" s="439" t="s">
        <v>41</v>
      </c>
      <c r="C14" s="534" t="s">
        <v>161</v>
      </c>
      <c r="D14" s="439" t="s">
        <v>222</v>
      </c>
      <c r="E14" s="554">
        <v>0.16</v>
      </c>
      <c r="F14" s="535">
        <v>19.940000000000001</v>
      </c>
      <c r="G14" s="536">
        <f>E14*F14</f>
        <v>3.19</v>
      </c>
    </row>
    <row r="15" spans="1:8" s="234" customFormat="1" ht="20.100000000000001" customHeight="1">
      <c r="A15" s="1953" t="s">
        <v>528</v>
      </c>
      <c r="B15" s="1954"/>
      <c r="C15" s="1954"/>
      <c r="D15" s="1954"/>
      <c r="E15" s="1954"/>
      <c r="F15" s="1954"/>
      <c r="G15" s="537">
        <f>SUM(G14:G14)</f>
        <v>3.19</v>
      </c>
    </row>
    <row r="16" spans="1:8" s="234" customFormat="1" ht="20.100000000000001" customHeight="1">
      <c r="A16" s="1971" t="s">
        <v>43</v>
      </c>
      <c r="B16" s="1972"/>
      <c r="C16" s="1972"/>
      <c r="D16" s="1972"/>
      <c r="E16" s="1972"/>
      <c r="F16" s="1972"/>
      <c r="G16" s="1973"/>
    </row>
    <row r="17" spans="1:7" s="234" customFormat="1" ht="27.75" customHeight="1">
      <c r="A17" s="533">
        <v>1</v>
      </c>
      <c r="B17" s="538" t="s">
        <v>223</v>
      </c>
      <c r="C17" s="539" t="s">
        <v>665</v>
      </c>
      <c r="D17" s="540" t="s">
        <v>172</v>
      </c>
      <c r="E17" s="554">
        <v>1.2E-2</v>
      </c>
      <c r="F17" s="542">
        <v>158.93</v>
      </c>
      <c r="G17" s="536">
        <f t="shared" ref="G17:G28" si="0">E17*F17</f>
        <v>1.91</v>
      </c>
    </row>
    <row r="18" spans="1:7" s="234" customFormat="1" ht="27.75" customHeight="1">
      <c r="A18" s="533">
        <v>2</v>
      </c>
      <c r="B18" s="538" t="s">
        <v>224</v>
      </c>
      <c r="C18" s="539" t="s">
        <v>666</v>
      </c>
      <c r="D18" s="540" t="s">
        <v>174</v>
      </c>
      <c r="E18" s="554">
        <v>2.8000000000000001E-2</v>
      </c>
      <c r="F18" s="542">
        <v>62.46</v>
      </c>
      <c r="G18" s="536">
        <f t="shared" si="0"/>
        <v>1.75</v>
      </c>
    </row>
    <row r="19" spans="1:7" s="234" customFormat="1" ht="27.75" customHeight="1">
      <c r="A19" s="533">
        <v>3</v>
      </c>
      <c r="B19" s="538" t="s">
        <v>254</v>
      </c>
      <c r="C19" s="539" t="s">
        <v>667</v>
      </c>
      <c r="D19" s="540" t="s">
        <v>172</v>
      </c>
      <c r="E19" s="554">
        <v>4.0000000000000001E-3</v>
      </c>
      <c r="F19" s="542">
        <v>315.83</v>
      </c>
      <c r="G19" s="536">
        <f t="shared" si="0"/>
        <v>1.26</v>
      </c>
    </row>
    <row r="20" spans="1:7" s="234" customFormat="1" ht="27.75" customHeight="1">
      <c r="A20" s="533">
        <v>4</v>
      </c>
      <c r="B20" s="538" t="s">
        <v>256</v>
      </c>
      <c r="C20" s="539" t="s">
        <v>668</v>
      </c>
      <c r="D20" s="540" t="s">
        <v>174</v>
      </c>
      <c r="E20" s="554">
        <v>3.5999999999999997E-2</v>
      </c>
      <c r="F20" s="542">
        <v>68.739999999999995</v>
      </c>
      <c r="G20" s="536">
        <f t="shared" si="0"/>
        <v>2.4700000000000002</v>
      </c>
    </row>
    <row r="21" spans="1:7" s="234" customFormat="1" ht="27.75" customHeight="1">
      <c r="A21" s="533">
        <v>5</v>
      </c>
      <c r="B21" s="538" t="s">
        <v>336</v>
      </c>
      <c r="C21" s="539" t="s">
        <v>669</v>
      </c>
      <c r="D21" s="540" t="s">
        <v>172</v>
      </c>
      <c r="E21" s="554">
        <v>8.0000000000000002E-3</v>
      </c>
      <c r="F21" s="542">
        <v>4.9400000000000004</v>
      </c>
      <c r="G21" s="536">
        <f t="shared" si="0"/>
        <v>0.04</v>
      </c>
    </row>
    <row r="22" spans="1:7" s="234" customFormat="1" ht="27.75" customHeight="1">
      <c r="A22" s="533">
        <v>6</v>
      </c>
      <c r="B22" s="538" t="s">
        <v>337</v>
      </c>
      <c r="C22" s="539" t="s">
        <v>670</v>
      </c>
      <c r="D22" s="540" t="s">
        <v>174</v>
      </c>
      <c r="E22" s="554">
        <v>3.2000000000000001E-2</v>
      </c>
      <c r="F22" s="542">
        <v>3.2</v>
      </c>
      <c r="G22" s="536">
        <f t="shared" si="0"/>
        <v>0.1</v>
      </c>
    </row>
    <row r="23" spans="1:7" s="234" customFormat="1" ht="27.75" customHeight="1">
      <c r="A23" s="533">
        <v>7</v>
      </c>
      <c r="B23" s="538" t="s">
        <v>258</v>
      </c>
      <c r="C23" s="539" t="s">
        <v>671</v>
      </c>
      <c r="D23" s="540" t="s">
        <v>172</v>
      </c>
      <c r="E23" s="554">
        <v>8.0000000000000002E-3</v>
      </c>
      <c r="F23" s="542">
        <v>269.47000000000003</v>
      </c>
      <c r="G23" s="536">
        <f t="shared" si="0"/>
        <v>2.16</v>
      </c>
    </row>
    <row r="24" spans="1:7" s="234" customFormat="1" ht="27.75" customHeight="1">
      <c r="A24" s="533">
        <v>8</v>
      </c>
      <c r="B24" s="538" t="s">
        <v>260</v>
      </c>
      <c r="C24" s="539" t="s">
        <v>672</v>
      </c>
      <c r="D24" s="540" t="s">
        <v>174</v>
      </c>
      <c r="E24" s="554">
        <v>3.2000000000000001E-2</v>
      </c>
      <c r="F24" s="542">
        <v>100.24</v>
      </c>
      <c r="G24" s="536">
        <f t="shared" si="0"/>
        <v>3.21</v>
      </c>
    </row>
    <row r="25" spans="1:7" s="234" customFormat="1" ht="27.75" customHeight="1">
      <c r="A25" s="533">
        <v>9</v>
      </c>
      <c r="B25" s="538" t="s">
        <v>338</v>
      </c>
      <c r="C25" s="539" t="s">
        <v>673</v>
      </c>
      <c r="D25" s="540" t="s">
        <v>172</v>
      </c>
      <c r="E25" s="554">
        <v>8.0000000000000002E-3</v>
      </c>
      <c r="F25" s="542">
        <v>124.33</v>
      </c>
      <c r="G25" s="536">
        <f t="shared" si="0"/>
        <v>0.99</v>
      </c>
    </row>
    <row r="26" spans="1:7" s="234" customFormat="1" ht="27.75" customHeight="1">
      <c r="A26" s="533">
        <v>10</v>
      </c>
      <c r="B26" s="538" t="s">
        <v>339</v>
      </c>
      <c r="C26" s="539" t="s">
        <v>674</v>
      </c>
      <c r="D26" s="540" t="s">
        <v>174</v>
      </c>
      <c r="E26" s="554">
        <v>3.2000000000000001E-2</v>
      </c>
      <c r="F26" s="542">
        <v>41.3</v>
      </c>
      <c r="G26" s="536">
        <f t="shared" si="0"/>
        <v>1.32</v>
      </c>
    </row>
    <row r="27" spans="1:7" s="234" customFormat="1" ht="27.75" customHeight="1">
      <c r="A27" s="533">
        <v>11</v>
      </c>
      <c r="B27" s="538" t="s">
        <v>262</v>
      </c>
      <c r="C27" s="539" t="s">
        <v>675</v>
      </c>
      <c r="D27" s="540" t="s">
        <v>172</v>
      </c>
      <c r="E27" s="554">
        <v>5.0000000000000001E-3</v>
      </c>
      <c r="F27" s="542">
        <v>216.62</v>
      </c>
      <c r="G27" s="536">
        <f t="shared" si="0"/>
        <v>1.08</v>
      </c>
    </row>
    <row r="28" spans="1:7" s="234" customFormat="1" ht="27.75" customHeight="1">
      <c r="A28" s="533">
        <v>12</v>
      </c>
      <c r="B28" s="538" t="s">
        <v>263</v>
      </c>
      <c r="C28" s="539" t="s">
        <v>676</v>
      </c>
      <c r="D28" s="540" t="s">
        <v>174</v>
      </c>
      <c r="E28" s="554">
        <v>3.5000000000000003E-2</v>
      </c>
      <c r="F28" s="542">
        <v>88.06</v>
      </c>
      <c r="G28" s="536">
        <f t="shared" si="0"/>
        <v>3.08</v>
      </c>
    </row>
    <row r="29" spans="1:7" s="234" customFormat="1" ht="20.100000000000001" customHeight="1">
      <c r="A29" s="1953" t="s">
        <v>529</v>
      </c>
      <c r="B29" s="1954"/>
      <c r="C29" s="1954"/>
      <c r="D29" s="1954"/>
      <c r="E29" s="1954"/>
      <c r="F29" s="1954"/>
      <c r="G29" s="537">
        <f>SUM(G17:G28)</f>
        <v>19.37</v>
      </c>
    </row>
    <row r="30" spans="1:7" s="234" customFormat="1" ht="20.100000000000001" customHeight="1">
      <c r="A30" s="1950" t="s">
        <v>45</v>
      </c>
      <c r="B30" s="1951"/>
      <c r="C30" s="1951"/>
      <c r="D30" s="1951"/>
      <c r="E30" s="1951"/>
      <c r="F30" s="1951"/>
      <c r="G30" s="1952"/>
    </row>
    <row r="31" spans="1:7" s="234" customFormat="1" ht="20.100000000000001" customHeight="1">
      <c r="A31" s="533">
        <v>1</v>
      </c>
      <c r="B31" s="538">
        <v>4746</v>
      </c>
      <c r="C31" s="543" t="s">
        <v>678</v>
      </c>
      <c r="D31" s="540" t="s">
        <v>477</v>
      </c>
      <c r="E31" s="542">
        <v>1</v>
      </c>
      <c r="F31" s="542">
        <v>153.59</v>
      </c>
      <c r="G31" s="536">
        <f>E31*F31</f>
        <v>153.59</v>
      </c>
    </row>
    <row r="32" spans="1:7" s="234" customFormat="1" ht="20.100000000000001" customHeight="1">
      <c r="A32" s="1953" t="s">
        <v>530</v>
      </c>
      <c r="B32" s="1954"/>
      <c r="C32" s="1954"/>
      <c r="D32" s="1954"/>
      <c r="E32" s="1954"/>
      <c r="F32" s="1954"/>
      <c r="G32" s="537">
        <f>SUM(G31:G31)</f>
        <v>153.59</v>
      </c>
    </row>
    <row r="33" spans="1:8" s="171" customFormat="1" ht="20.100000000000001" customHeight="1">
      <c r="A33" s="1955" t="s">
        <v>47</v>
      </c>
      <c r="B33" s="1956"/>
      <c r="C33" s="1956"/>
      <c r="D33" s="1956"/>
      <c r="E33" s="1956"/>
      <c r="F33" s="1956"/>
      <c r="G33" s="1957"/>
      <c r="H33" s="165"/>
    </row>
    <row r="34" spans="1:8" s="171" customFormat="1" ht="20.100000000000001" customHeight="1">
      <c r="A34" s="156" t="s">
        <v>33</v>
      </c>
      <c r="B34" s="157"/>
      <c r="C34" s="157" t="s">
        <v>48</v>
      </c>
      <c r="D34" s="1958" t="s">
        <v>658</v>
      </c>
      <c r="E34" s="1959"/>
      <c r="F34" s="1959"/>
      <c r="G34" s="1960"/>
      <c r="H34" s="165"/>
    </row>
    <row r="35" spans="1:8" s="171" customFormat="1" ht="20.100000000000001" customHeight="1">
      <c r="A35" s="156" t="s">
        <v>49</v>
      </c>
      <c r="B35" s="157"/>
      <c r="C35" s="157" t="s">
        <v>50</v>
      </c>
      <c r="D35" s="1943" t="s">
        <v>51</v>
      </c>
      <c r="E35" s="1943"/>
      <c r="F35" s="1943"/>
      <c r="G35" s="158">
        <f>G15</f>
        <v>3.19</v>
      </c>
      <c r="H35" s="165"/>
    </row>
    <row r="36" spans="1:8" s="171" customFormat="1" ht="20.100000000000001" customHeight="1">
      <c r="A36" s="156" t="s">
        <v>52</v>
      </c>
      <c r="B36" s="157"/>
      <c r="C36" s="157" t="s">
        <v>53</v>
      </c>
      <c r="D36" s="1943" t="s">
        <v>54</v>
      </c>
      <c r="E36" s="1943"/>
      <c r="F36" s="1943"/>
      <c r="G36" s="158">
        <f>G29</f>
        <v>19.37</v>
      </c>
      <c r="H36" s="165"/>
    </row>
    <row r="37" spans="1:8" s="171" customFormat="1" ht="20.100000000000001" customHeight="1">
      <c r="A37" s="156" t="s">
        <v>14</v>
      </c>
      <c r="B37" s="157"/>
      <c r="C37" s="157" t="s">
        <v>55</v>
      </c>
      <c r="D37" s="1943" t="s">
        <v>56</v>
      </c>
      <c r="E37" s="1943"/>
      <c r="F37" s="1943"/>
      <c r="G37" s="158">
        <f>G32</f>
        <v>153.59</v>
      </c>
      <c r="H37" s="165"/>
    </row>
    <row r="38" spans="1:8" s="171" customFormat="1" ht="20.100000000000001" customHeight="1">
      <c r="A38" s="156" t="s">
        <v>7</v>
      </c>
      <c r="B38" s="157"/>
      <c r="C38" s="545" t="s">
        <v>57</v>
      </c>
      <c r="D38" s="1944" t="s">
        <v>58</v>
      </c>
      <c r="E38" s="1944"/>
      <c r="F38" s="1944"/>
      <c r="G38" s="546">
        <f>G35+G36+G37</f>
        <v>176.15</v>
      </c>
      <c r="H38" s="165"/>
    </row>
    <row r="39" spans="1:8" s="171" customFormat="1" ht="20.100000000000001" customHeight="1">
      <c r="A39" s="156"/>
      <c r="B39" s="157"/>
      <c r="C39" s="545"/>
      <c r="D39" s="1945" t="s">
        <v>196</v>
      </c>
      <c r="E39" s="1946"/>
      <c r="F39" s="547">
        <v>0.27460000000000001</v>
      </c>
      <c r="G39" s="159">
        <f>G38*F39</f>
        <v>48.37</v>
      </c>
      <c r="H39" s="165"/>
    </row>
    <row r="40" spans="1:8" s="171" customFormat="1" ht="20.100000000000001" customHeight="1" thickBot="1">
      <c r="A40" s="1947" t="s">
        <v>60</v>
      </c>
      <c r="B40" s="1948"/>
      <c r="C40" s="1948"/>
      <c r="D40" s="1948"/>
      <c r="E40" s="1948"/>
      <c r="F40" s="1949"/>
      <c r="G40" s="160">
        <f>G38+G39</f>
        <v>224.52</v>
      </c>
      <c r="H40" s="165"/>
    </row>
    <row r="41" spans="1:8" s="234" customFormat="1" ht="20.100000000000001" customHeight="1">
      <c r="A41" s="548"/>
      <c r="B41" s="549"/>
      <c r="C41" s="549"/>
      <c r="D41" s="550"/>
      <c r="E41" s="549"/>
      <c r="F41" s="549"/>
      <c r="G41" s="551"/>
    </row>
  </sheetData>
  <mergeCells count="23">
    <mergeCell ref="B8:G8"/>
    <mergeCell ref="B1:G1"/>
    <mergeCell ref="A3:G3"/>
    <mergeCell ref="A4:G4"/>
    <mergeCell ref="A5:G5"/>
    <mergeCell ref="B7:G7"/>
    <mergeCell ref="D35:F35"/>
    <mergeCell ref="C9:F9"/>
    <mergeCell ref="C10:F10"/>
    <mergeCell ref="A11:G11"/>
    <mergeCell ref="A13:G13"/>
    <mergeCell ref="A15:F15"/>
    <mergeCell ref="A16:G16"/>
    <mergeCell ref="A29:F29"/>
    <mergeCell ref="A30:G30"/>
    <mergeCell ref="A32:F32"/>
    <mergeCell ref="A33:G33"/>
    <mergeCell ref="D34:G34"/>
    <mergeCell ref="D36:F36"/>
    <mergeCell ref="D37:F37"/>
    <mergeCell ref="D38:F38"/>
    <mergeCell ref="D39:E39"/>
    <mergeCell ref="A40:F40"/>
  </mergeCells>
  <pageMargins left="0.511811024" right="0.511811024" top="0.78740157499999996" bottom="0.78740157499999996" header="0.31496062000000002" footer="0.31496062000000002"/>
  <pageSetup paperSize="9" scale="7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ilha16">
    <tabColor theme="7" tint="0.39997558519241921"/>
  </sheetPr>
  <dimension ref="A1:N41"/>
  <sheetViews>
    <sheetView view="pageBreakPreview" zoomScaleNormal="100" zoomScaleSheetLayoutView="100" workbookViewId="0">
      <selection activeCell="E2" sqref="E2"/>
    </sheetView>
  </sheetViews>
  <sheetFormatPr defaultColWidth="9.140625" defaultRowHeight="14.25"/>
  <cols>
    <col min="1" max="2" width="10.7109375" style="235" customWidth="1"/>
    <col min="3" max="3" width="40.7109375" style="235" customWidth="1"/>
    <col min="4" max="4" width="10.7109375" style="235" customWidth="1"/>
    <col min="5" max="7" width="14.7109375" style="235" customWidth="1"/>
    <col min="8" max="9" width="9.140625" style="235"/>
    <col min="10" max="10" width="15.7109375" style="235" customWidth="1"/>
    <col min="11" max="16384" width="9.140625" style="235"/>
  </cols>
  <sheetData>
    <row r="1" spans="1:14" s="232" customFormat="1" ht="15" customHeight="1">
      <c r="A1" s="231"/>
      <c r="B1" s="2035"/>
      <c r="C1" s="2035"/>
      <c r="D1" s="2035"/>
      <c r="E1" s="2035"/>
      <c r="F1" s="2035"/>
      <c r="G1" s="2036"/>
    </row>
    <row r="2" spans="1:14" s="232" customFormat="1" ht="45.75" customHeight="1">
      <c r="A2" s="236"/>
      <c r="B2" s="529"/>
      <c r="C2" s="529"/>
      <c r="D2" s="529"/>
      <c r="E2" s="529"/>
      <c r="F2" s="529"/>
      <c r="G2" s="522"/>
    </row>
    <row r="3" spans="1:14" s="232" customFormat="1" ht="15" customHeight="1">
      <c r="A3" s="1977" t="s">
        <v>17</v>
      </c>
      <c r="B3" s="1978"/>
      <c r="C3" s="1978"/>
      <c r="D3" s="1978"/>
      <c r="E3" s="1978"/>
      <c r="F3" s="1978"/>
      <c r="G3" s="1979"/>
    </row>
    <row r="4" spans="1:14" s="232" customFormat="1" ht="15" customHeight="1">
      <c r="A4" s="1940" t="s">
        <v>185</v>
      </c>
      <c r="B4" s="1941"/>
      <c r="C4" s="1941"/>
      <c r="D4" s="1941"/>
      <c r="E4" s="1941"/>
      <c r="F4" s="1941"/>
      <c r="G4" s="1942"/>
    </row>
    <row r="5" spans="1:14" s="232" customFormat="1" ht="15" customHeight="1">
      <c r="A5" s="1940" t="s">
        <v>16</v>
      </c>
      <c r="B5" s="1941"/>
      <c r="C5" s="1941"/>
      <c r="D5" s="1941"/>
      <c r="E5" s="1941"/>
      <c r="F5" s="1941"/>
      <c r="G5" s="1942"/>
    </row>
    <row r="6" spans="1:14" s="232" customFormat="1" ht="15" customHeight="1">
      <c r="A6" s="523"/>
      <c r="B6" s="530"/>
      <c r="C6" s="530"/>
      <c r="D6" s="530"/>
      <c r="E6" s="530"/>
      <c r="F6" s="530"/>
      <c r="G6" s="524"/>
    </row>
    <row r="7" spans="1:14" s="234" customFormat="1">
      <c r="A7" s="531" t="s">
        <v>654</v>
      </c>
      <c r="B7" s="1980" t="str">
        <f>ORÇAMENTO!D9</f>
        <v>SISTEMA DE SANEAMENTO INTEGRADO NO BAIRRO DO ICUÍ: ABASTECIMENTO DE ÁGUA, DRENAGEM URBANA E MANEJO DE ÁGUAS PLUVIAIS E PAVIMENTAÇÃO NO MUNICÍPIO DE ANANINDEUA/ PA</v>
      </c>
      <c r="C7" s="1981"/>
      <c r="D7" s="1981"/>
      <c r="E7" s="1981"/>
      <c r="F7" s="1981"/>
      <c r="G7" s="1982"/>
    </row>
    <row r="8" spans="1:14" s="232" customFormat="1" ht="15" customHeight="1" thickBot="1">
      <c r="A8" s="233"/>
      <c r="B8" s="1983"/>
      <c r="C8" s="1983"/>
      <c r="D8" s="1983"/>
      <c r="E8" s="1983"/>
      <c r="F8" s="1983"/>
      <c r="G8" s="1984"/>
    </row>
    <row r="9" spans="1:14" s="234" customFormat="1" ht="24" customHeight="1" thickTop="1">
      <c r="A9" s="525" t="s">
        <v>183</v>
      </c>
      <c r="B9" s="527" t="s">
        <v>655</v>
      </c>
      <c r="C9" s="1974" t="s">
        <v>656</v>
      </c>
      <c r="D9" s="1975"/>
      <c r="E9" s="1975"/>
      <c r="F9" s="1976"/>
      <c r="G9" s="308" t="s">
        <v>531</v>
      </c>
    </row>
    <row r="10" spans="1:14" s="234" customFormat="1" ht="29.25" customHeight="1" thickBot="1">
      <c r="A10" s="526" t="str">
        <f>ORÇAMENTO!E133</f>
        <v>IV</v>
      </c>
      <c r="B10" s="532">
        <v>101768</v>
      </c>
      <c r="C10" s="1962" t="str">
        <f>ORÇAMENTO!F133</f>
        <v xml:space="preserve">Execução e compactação de base e ou sub base para pavimentação de solo estabilizado granulometricamente sem mistura de solos - exclusive escavação, carga e transporte. AF_11/2019. </v>
      </c>
      <c r="D10" s="1963"/>
      <c r="E10" s="1963"/>
      <c r="F10" s="1964"/>
      <c r="G10" s="155" t="str">
        <f>ORÇAMENTO!H133</f>
        <v xml:space="preserve">m³ </v>
      </c>
    </row>
    <row r="11" spans="1:14" s="234" customFormat="1" ht="12.75" customHeight="1" thickTop="1">
      <c r="A11" s="1965"/>
      <c r="B11" s="1966"/>
      <c r="C11" s="1966"/>
      <c r="D11" s="1966"/>
      <c r="E11" s="1966"/>
      <c r="F11" s="1966"/>
      <c r="G11" s="1967"/>
    </row>
    <row r="12" spans="1:14" s="171" customFormat="1" ht="20.100000000000001" customHeight="1">
      <c r="A12" s="241" t="s">
        <v>33</v>
      </c>
      <c r="B12" s="242" t="s">
        <v>252</v>
      </c>
      <c r="C12" s="243" t="s">
        <v>652</v>
      </c>
      <c r="D12" s="242" t="s">
        <v>35</v>
      </c>
      <c r="E12" s="243" t="s">
        <v>149</v>
      </c>
      <c r="F12" s="244" t="s">
        <v>36</v>
      </c>
      <c r="G12" s="245" t="s">
        <v>657</v>
      </c>
    </row>
    <row r="13" spans="1:14" s="234" customFormat="1" ht="20.100000000000001" customHeight="1">
      <c r="A13" s="1968" t="s">
        <v>32</v>
      </c>
      <c r="B13" s="1969"/>
      <c r="C13" s="1969"/>
      <c r="D13" s="1969"/>
      <c r="E13" s="1969"/>
      <c r="F13" s="1969"/>
      <c r="G13" s="1970"/>
    </row>
    <row r="14" spans="1:14" s="234" customFormat="1" ht="20.100000000000001" customHeight="1">
      <c r="A14" s="533">
        <v>1</v>
      </c>
      <c r="B14" s="439" t="s">
        <v>41</v>
      </c>
      <c r="C14" s="534" t="s">
        <v>161</v>
      </c>
      <c r="D14" s="439" t="s">
        <v>222</v>
      </c>
      <c r="E14" s="555">
        <v>5.7500000000000002E-2</v>
      </c>
      <c r="F14" s="535">
        <v>19.940000000000001</v>
      </c>
      <c r="G14" s="536">
        <f>E14*F14</f>
        <v>1.1499999999999999</v>
      </c>
      <c r="H14" s="556"/>
      <c r="I14" s="556"/>
      <c r="J14" s="556"/>
      <c r="K14" s="556"/>
      <c r="L14" s="556"/>
      <c r="M14" s="556"/>
      <c r="N14" s="556"/>
    </row>
    <row r="15" spans="1:14" s="234" customFormat="1" ht="20.100000000000001" customHeight="1">
      <c r="A15" s="1953" t="s">
        <v>528</v>
      </c>
      <c r="B15" s="1954"/>
      <c r="C15" s="1954"/>
      <c r="D15" s="1954"/>
      <c r="E15" s="1954"/>
      <c r="F15" s="1954"/>
      <c r="G15" s="537">
        <f>SUM(G14:G14)</f>
        <v>1.1499999999999999</v>
      </c>
    </row>
    <row r="16" spans="1:14" s="234" customFormat="1" ht="20.100000000000001" customHeight="1">
      <c r="A16" s="1971" t="s">
        <v>43</v>
      </c>
      <c r="B16" s="1972"/>
      <c r="C16" s="1972"/>
      <c r="D16" s="1972"/>
      <c r="E16" s="1972"/>
      <c r="F16" s="1972"/>
      <c r="G16" s="1973"/>
    </row>
    <row r="17" spans="1:7" s="234" customFormat="1" ht="27.75" customHeight="1">
      <c r="A17" s="533">
        <v>1</v>
      </c>
      <c r="B17" s="538">
        <v>5901</v>
      </c>
      <c r="C17" s="539" t="s">
        <v>667</v>
      </c>
      <c r="D17" s="540" t="s">
        <v>172</v>
      </c>
      <c r="E17" s="555">
        <v>5.2699999999999997E-2</v>
      </c>
      <c r="F17" s="542">
        <v>315.83</v>
      </c>
      <c r="G17" s="536">
        <f t="shared" ref="G17:G28" si="0">E17*F17</f>
        <v>16.64</v>
      </c>
    </row>
    <row r="18" spans="1:7" s="234" customFormat="1" ht="27.75" customHeight="1">
      <c r="A18" s="533">
        <v>2</v>
      </c>
      <c r="B18" s="538">
        <v>5903</v>
      </c>
      <c r="C18" s="539" t="s">
        <v>668</v>
      </c>
      <c r="D18" s="540" t="s">
        <v>174</v>
      </c>
      <c r="E18" s="555">
        <v>1.6799999999999999E-2</v>
      </c>
      <c r="F18" s="542">
        <v>68.739999999999995</v>
      </c>
      <c r="G18" s="536">
        <f t="shared" si="0"/>
        <v>1.1499999999999999</v>
      </c>
    </row>
    <row r="19" spans="1:7" s="234" customFormat="1" ht="27.75" customHeight="1">
      <c r="A19" s="533">
        <v>3</v>
      </c>
      <c r="B19" s="538">
        <v>5921</v>
      </c>
      <c r="C19" s="539" t="s">
        <v>669</v>
      </c>
      <c r="D19" s="540" t="s">
        <v>172</v>
      </c>
      <c r="E19" s="555">
        <v>7.1999999999999998E-3</v>
      </c>
      <c r="F19" s="542">
        <v>4.9400000000000004</v>
      </c>
      <c r="G19" s="536">
        <f t="shared" si="0"/>
        <v>0.04</v>
      </c>
    </row>
    <row r="20" spans="1:7" s="234" customFormat="1" ht="27.75" customHeight="1">
      <c r="A20" s="533">
        <v>4</v>
      </c>
      <c r="B20" s="538">
        <v>5923</v>
      </c>
      <c r="C20" s="539" t="s">
        <v>670</v>
      </c>
      <c r="D20" s="540" t="s">
        <v>174</v>
      </c>
      <c r="E20" s="555">
        <v>5.0299999999999997E-2</v>
      </c>
      <c r="F20" s="542">
        <v>3.2</v>
      </c>
      <c r="G20" s="536">
        <f t="shared" si="0"/>
        <v>0.16</v>
      </c>
    </row>
    <row r="21" spans="1:7" s="234" customFormat="1" ht="27.75" customHeight="1">
      <c r="A21" s="533">
        <v>5</v>
      </c>
      <c r="B21" s="538">
        <v>5932</v>
      </c>
      <c r="C21" s="539" t="s">
        <v>671</v>
      </c>
      <c r="D21" s="540" t="s">
        <v>172</v>
      </c>
      <c r="E21" s="555">
        <v>5.8999999999999999E-3</v>
      </c>
      <c r="F21" s="542">
        <v>269.47000000000003</v>
      </c>
      <c r="G21" s="536">
        <f t="shared" si="0"/>
        <v>1.59</v>
      </c>
    </row>
    <row r="22" spans="1:7" s="234" customFormat="1" ht="27.75" customHeight="1">
      <c r="A22" s="533">
        <v>6</v>
      </c>
      <c r="B22" s="538">
        <v>5934</v>
      </c>
      <c r="C22" s="539" t="s">
        <v>672</v>
      </c>
      <c r="D22" s="540" t="s">
        <v>174</v>
      </c>
      <c r="E22" s="555">
        <v>5.16E-2</v>
      </c>
      <c r="F22" s="542">
        <v>100.24</v>
      </c>
      <c r="G22" s="536">
        <f t="shared" si="0"/>
        <v>5.17</v>
      </c>
    </row>
    <row r="23" spans="1:7" s="234" customFormat="1" ht="27.75" customHeight="1">
      <c r="A23" s="533">
        <v>7</v>
      </c>
      <c r="B23" s="538">
        <v>73436</v>
      </c>
      <c r="C23" s="539" t="s">
        <v>679</v>
      </c>
      <c r="D23" s="540" t="s">
        <v>172</v>
      </c>
      <c r="E23" s="555">
        <v>4.07E-2</v>
      </c>
      <c r="F23" s="542">
        <v>162.06</v>
      </c>
      <c r="G23" s="536">
        <f t="shared" si="0"/>
        <v>6.6</v>
      </c>
    </row>
    <row r="24" spans="1:7" s="234" customFormat="1" ht="27.75" customHeight="1">
      <c r="A24" s="533">
        <v>8</v>
      </c>
      <c r="B24" s="538">
        <v>89035</v>
      </c>
      <c r="C24" s="539" t="s">
        <v>673</v>
      </c>
      <c r="D24" s="540" t="s">
        <v>172</v>
      </c>
      <c r="E24" s="555">
        <v>7.1999999999999998E-3</v>
      </c>
      <c r="F24" s="542">
        <v>124.33</v>
      </c>
      <c r="G24" s="536">
        <f t="shared" si="0"/>
        <v>0.9</v>
      </c>
    </row>
    <row r="25" spans="1:7" s="234" customFormat="1" ht="27.75" customHeight="1">
      <c r="A25" s="533">
        <v>9</v>
      </c>
      <c r="B25" s="538">
        <v>89036</v>
      </c>
      <c r="C25" s="539" t="s">
        <v>674</v>
      </c>
      <c r="D25" s="540" t="s">
        <v>174</v>
      </c>
      <c r="E25" s="555">
        <v>5.0299999999999997E-2</v>
      </c>
      <c r="F25" s="542">
        <v>41.3</v>
      </c>
      <c r="G25" s="536">
        <f t="shared" si="0"/>
        <v>2.08</v>
      </c>
    </row>
    <row r="26" spans="1:7" s="234" customFormat="1" ht="27.75" customHeight="1">
      <c r="A26" s="533">
        <v>10</v>
      </c>
      <c r="B26" s="538">
        <v>93244</v>
      </c>
      <c r="C26" s="539" t="s">
        <v>680</v>
      </c>
      <c r="D26" s="540" t="s">
        <v>174</v>
      </c>
      <c r="E26" s="555">
        <v>5.7999999999999996E-3</v>
      </c>
      <c r="F26" s="542">
        <v>64.069999999999993</v>
      </c>
      <c r="G26" s="536">
        <f t="shared" si="0"/>
        <v>0.37</v>
      </c>
    </row>
    <row r="27" spans="1:7" s="234" customFormat="1" ht="27.75" customHeight="1">
      <c r="A27" s="533">
        <v>11</v>
      </c>
      <c r="B27" s="538">
        <v>96463</v>
      </c>
      <c r="C27" s="539" t="s">
        <v>675</v>
      </c>
      <c r="D27" s="540" t="s">
        <v>172</v>
      </c>
      <c r="E27" s="555">
        <v>5.7999999999999996E-3</v>
      </c>
      <c r="F27" s="542">
        <v>216.62</v>
      </c>
      <c r="G27" s="536">
        <f t="shared" si="0"/>
        <v>1.26</v>
      </c>
    </row>
    <row r="28" spans="1:7" s="234" customFormat="1" ht="27.75" customHeight="1">
      <c r="A28" s="533">
        <v>12</v>
      </c>
      <c r="B28" s="538">
        <v>96464</v>
      </c>
      <c r="C28" s="539" t="s">
        <v>676</v>
      </c>
      <c r="D28" s="540" t="s">
        <v>174</v>
      </c>
      <c r="E28" s="555">
        <v>5.1700000000000003E-2</v>
      </c>
      <c r="F28" s="542">
        <v>88.06</v>
      </c>
      <c r="G28" s="536">
        <f t="shared" si="0"/>
        <v>4.55</v>
      </c>
    </row>
    <row r="29" spans="1:7" s="234" customFormat="1" ht="20.100000000000001" customHeight="1">
      <c r="A29" s="1953" t="s">
        <v>529</v>
      </c>
      <c r="B29" s="1954"/>
      <c r="C29" s="1954"/>
      <c r="D29" s="1954"/>
      <c r="E29" s="1954"/>
      <c r="F29" s="1954"/>
      <c r="G29" s="537">
        <f>SUM(G17:G28)</f>
        <v>40.51</v>
      </c>
    </row>
    <row r="30" spans="1:7" s="234" customFormat="1" ht="20.100000000000001" customHeight="1">
      <c r="A30" s="1950" t="s">
        <v>45</v>
      </c>
      <c r="B30" s="1951"/>
      <c r="C30" s="1951"/>
      <c r="D30" s="1951"/>
      <c r="E30" s="1951"/>
      <c r="F30" s="1951"/>
      <c r="G30" s="1952"/>
    </row>
    <row r="31" spans="1:7" s="234" customFormat="1" ht="20.100000000000001" customHeight="1">
      <c r="A31" s="533">
        <v>1</v>
      </c>
      <c r="B31" s="538">
        <v>6079</v>
      </c>
      <c r="C31" s="543" t="s">
        <v>471</v>
      </c>
      <c r="D31" s="540" t="s">
        <v>477</v>
      </c>
      <c r="E31" s="542">
        <v>1</v>
      </c>
      <c r="F31" s="542">
        <v>37.28</v>
      </c>
      <c r="G31" s="536">
        <f>E31*F31</f>
        <v>37.28</v>
      </c>
    </row>
    <row r="32" spans="1:7" s="234" customFormat="1" ht="20.100000000000001" customHeight="1">
      <c r="A32" s="1953" t="s">
        <v>530</v>
      </c>
      <c r="B32" s="1954"/>
      <c r="C32" s="1954"/>
      <c r="D32" s="1954"/>
      <c r="E32" s="1954"/>
      <c r="F32" s="1954"/>
      <c r="G32" s="537">
        <f>SUM(G31:G31)</f>
        <v>37.28</v>
      </c>
    </row>
    <row r="33" spans="1:7" s="171" customFormat="1" ht="20.100000000000001" customHeight="1">
      <c r="A33" s="1955" t="s">
        <v>47</v>
      </c>
      <c r="B33" s="1956"/>
      <c r="C33" s="1956"/>
      <c r="D33" s="1956"/>
      <c r="E33" s="1956"/>
      <c r="F33" s="1956"/>
      <c r="G33" s="1957"/>
    </row>
    <row r="34" spans="1:7" s="171" customFormat="1" ht="20.100000000000001" customHeight="1">
      <c r="A34" s="156" t="s">
        <v>33</v>
      </c>
      <c r="B34" s="157"/>
      <c r="C34" s="157" t="s">
        <v>48</v>
      </c>
      <c r="D34" s="1958" t="s">
        <v>658</v>
      </c>
      <c r="E34" s="1959"/>
      <c r="F34" s="1959"/>
      <c r="G34" s="1960"/>
    </row>
    <row r="35" spans="1:7" s="171" customFormat="1" ht="20.100000000000001" customHeight="1">
      <c r="A35" s="156" t="s">
        <v>49</v>
      </c>
      <c r="B35" s="157"/>
      <c r="C35" s="157" t="s">
        <v>50</v>
      </c>
      <c r="D35" s="1943" t="s">
        <v>51</v>
      </c>
      <c r="E35" s="1943"/>
      <c r="F35" s="1943"/>
      <c r="G35" s="158">
        <f>G15</f>
        <v>1.1499999999999999</v>
      </c>
    </row>
    <row r="36" spans="1:7" s="171" customFormat="1" ht="20.100000000000001" customHeight="1">
      <c r="A36" s="156" t="s">
        <v>52</v>
      </c>
      <c r="B36" s="157"/>
      <c r="C36" s="157" t="s">
        <v>53</v>
      </c>
      <c r="D36" s="1943" t="s">
        <v>54</v>
      </c>
      <c r="E36" s="1943"/>
      <c r="F36" s="1943"/>
      <c r="G36" s="158">
        <f>G29</f>
        <v>40.51</v>
      </c>
    </row>
    <row r="37" spans="1:7" s="171" customFormat="1" ht="20.100000000000001" customHeight="1">
      <c r="A37" s="156" t="s">
        <v>14</v>
      </c>
      <c r="B37" s="157"/>
      <c r="C37" s="157" t="s">
        <v>55</v>
      </c>
      <c r="D37" s="1943" t="s">
        <v>56</v>
      </c>
      <c r="E37" s="1943"/>
      <c r="F37" s="1943"/>
      <c r="G37" s="158">
        <f>G32</f>
        <v>37.28</v>
      </c>
    </row>
    <row r="38" spans="1:7" s="171" customFormat="1" ht="20.100000000000001" customHeight="1">
      <c r="A38" s="156" t="s">
        <v>7</v>
      </c>
      <c r="B38" s="157"/>
      <c r="C38" s="545" t="s">
        <v>57</v>
      </c>
      <c r="D38" s="1944" t="s">
        <v>58</v>
      </c>
      <c r="E38" s="1944"/>
      <c r="F38" s="1944"/>
      <c r="G38" s="546">
        <f>G35+G36+G37</f>
        <v>78.94</v>
      </c>
    </row>
    <row r="39" spans="1:7" s="171" customFormat="1" ht="20.100000000000001" customHeight="1">
      <c r="A39" s="156"/>
      <c r="B39" s="157"/>
      <c r="C39" s="545"/>
      <c r="D39" s="1945" t="s">
        <v>196</v>
      </c>
      <c r="E39" s="1946"/>
      <c r="F39" s="547">
        <v>0.27460000000000001</v>
      </c>
      <c r="G39" s="159">
        <f>G38*F39</f>
        <v>21.68</v>
      </c>
    </row>
    <row r="40" spans="1:7" s="171" customFormat="1" ht="20.100000000000001" customHeight="1" thickBot="1">
      <c r="A40" s="1947" t="s">
        <v>60</v>
      </c>
      <c r="B40" s="1948"/>
      <c r="C40" s="1948"/>
      <c r="D40" s="1948"/>
      <c r="E40" s="1948"/>
      <c r="F40" s="1949"/>
      <c r="G40" s="160">
        <f>G38+G39</f>
        <v>100.62</v>
      </c>
    </row>
    <row r="41" spans="1:7" s="234" customFormat="1" ht="20.100000000000001" customHeight="1">
      <c r="A41" s="548"/>
      <c r="B41" s="549"/>
      <c r="C41" s="549"/>
      <c r="D41" s="550"/>
      <c r="E41" s="549"/>
      <c r="F41" s="549"/>
      <c r="G41" s="551"/>
    </row>
  </sheetData>
  <mergeCells count="23">
    <mergeCell ref="B8:G8"/>
    <mergeCell ref="B1:G1"/>
    <mergeCell ref="A3:G3"/>
    <mergeCell ref="A4:G4"/>
    <mergeCell ref="A5:G5"/>
    <mergeCell ref="B7:G7"/>
    <mergeCell ref="D35:F35"/>
    <mergeCell ref="C9:F9"/>
    <mergeCell ref="C10:F10"/>
    <mergeCell ref="A11:G11"/>
    <mergeCell ref="A13:G13"/>
    <mergeCell ref="A15:F15"/>
    <mergeCell ref="A16:G16"/>
    <mergeCell ref="A29:F29"/>
    <mergeCell ref="A30:G30"/>
    <mergeCell ref="A32:F32"/>
    <mergeCell ref="A33:G33"/>
    <mergeCell ref="D34:G34"/>
    <mergeCell ref="D36:F36"/>
    <mergeCell ref="D37:F37"/>
    <mergeCell ref="D38:F38"/>
    <mergeCell ref="D39:E39"/>
    <mergeCell ref="A40:F40"/>
  </mergeCells>
  <pageMargins left="0.511811024" right="0.511811024" top="0.78740157499999996" bottom="0.78740157499999996" header="0.31496062000000002" footer="0.31496062000000002"/>
  <pageSetup paperSize="9" scale="7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ilha17">
    <tabColor theme="7" tint="0.39997558519241921"/>
  </sheetPr>
  <dimension ref="A1:O43"/>
  <sheetViews>
    <sheetView view="pageBreakPreview" zoomScale="175" zoomScaleNormal="100" zoomScaleSheetLayoutView="175" workbookViewId="0">
      <selection sqref="A1:G2"/>
    </sheetView>
  </sheetViews>
  <sheetFormatPr defaultColWidth="9.140625" defaultRowHeight="14.25"/>
  <cols>
    <col min="1" max="2" width="10.7109375" style="235" customWidth="1"/>
    <col min="3" max="3" width="40.7109375" style="235" customWidth="1"/>
    <col min="4" max="4" width="10.7109375" style="235" customWidth="1"/>
    <col min="5" max="7" width="14.7109375" style="235" customWidth="1"/>
    <col min="8" max="16384" width="9.140625" style="235"/>
  </cols>
  <sheetData>
    <row r="1" spans="1:15" s="232" customFormat="1" ht="15" customHeight="1">
      <c r="A1" s="1937"/>
      <c r="B1" s="1938"/>
      <c r="C1" s="1938"/>
      <c r="D1" s="1938"/>
      <c r="E1" s="1938"/>
      <c r="F1" s="1938"/>
      <c r="G1" s="1939"/>
    </row>
    <row r="2" spans="1:15" s="232" customFormat="1" ht="45.75" customHeight="1">
      <c r="A2" s="1940"/>
      <c r="B2" s="1941"/>
      <c r="C2" s="1941"/>
      <c r="D2" s="1941"/>
      <c r="E2" s="1941"/>
      <c r="F2" s="1941"/>
      <c r="G2" s="1942"/>
    </row>
    <row r="3" spans="1:15" s="232" customFormat="1" ht="15" customHeight="1">
      <c r="A3" s="1977" t="s">
        <v>17</v>
      </c>
      <c r="B3" s="1978"/>
      <c r="C3" s="1978"/>
      <c r="D3" s="1978"/>
      <c r="E3" s="1978"/>
      <c r="F3" s="1978"/>
      <c r="G3" s="1979"/>
    </row>
    <row r="4" spans="1:15" s="232" customFormat="1" ht="15" customHeight="1">
      <c r="A4" s="1940" t="s">
        <v>185</v>
      </c>
      <c r="B4" s="1941"/>
      <c r="C4" s="1941"/>
      <c r="D4" s="1941"/>
      <c r="E4" s="1941"/>
      <c r="F4" s="1941"/>
      <c r="G4" s="1942"/>
    </row>
    <row r="5" spans="1:15" s="232" customFormat="1" ht="15" customHeight="1">
      <c r="A5" s="1940" t="s">
        <v>16</v>
      </c>
      <c r="B5" s="1941"/>
      <c r="C5" s="1941"/>
      <c r="D5" s="1941"/>
      <c r="E5" s="1941"/>
      <c r="F5" s="1941"/>
      <c r="G5" s="1942"/>
    </row>
    <row r="6" spans="1:15" s="232" customFormat="1" ht="15" customHeight="1">
      <c r="A6" s="523"/>
      <c r="B6" s="530"/>
      <c r="C6" s="530"/>
      <c r="D6" s="530"/>
      <c r="E6" s="530"/>
      <c r="F6" s="530"/>
      <c r="G6" s="524"/>
    </row>
    <row r="7" spans="1:15" s="234" customFormat="1">
      <c r="A7" s="531" t="s">
        <v>654</v>
      </c>
      <c r="B7" s="1980" t="str">
        <f>ORÇAMENTO!D9</f>
        <v>SISTEMA DE SANEAMENTO INTEGRADO NO BAIRRO DO ICUÍ: ABASTECIMENTO DE ÁGUA, DRENAGEM URBANA E MANEJO DE ÁGUAS PLUVIAIS E PAVIMENTAÇÃO NO MUNICÍPIO DE ANANINDEUA/ PA</v>
      </c>
      <c r="C7" s="1981"/>
      <c r="D7" s="1981"/>
      <c r="E7" s="1981"/>
      <c r="F7" s="1981"/>
      <c r="G7" s="1982"/>
    </row>
    <row r="8" spans="1:15" s="232" customFormat="1" ht="15" customHeight="1" thickBot="1">
      <c r="A8" s="233"/>
      <c r="B8" s="1983"/>
      <c r="C8" s="1983"/>
      <c r="D8" s="1983"/>
      <c r="E8" s="1983"/>
      <c r="F8" s="1983"/>
      <c r="G8" s="1984"/>
    </row>
    <row r="9" spans="1:15" s="234" customFormat="1" ht="24" customHeight="1" thickTop="1">
      <c r="A9" s="525" t="s">
        <v>183</v>
      </c>
      <c r="B9" s="527" t="s">
        <v>655</v>
      </c>
      <c r="C9" s="1974" t="s">
        <v>656</v>
      </c>
      <c r="D9" s="1975"/>
      <c r="E9" s="1975"/>
      <c r="F9" s="1976"/>
      <c r="G9" s="308" t="s">
        <v>531</v>
      </c>
    </row>
    <row r="10" spans="1:15" s="234" customFormat="1" ht="15" thickBot="1">
      <c r="A10" s="526" t="str">
        <f>ORÇAMENTO!E139</f>
        <v>V</v>
      </c>
      <c r="B10" s="532">
        <v>96401</v>
      </c>
      <c r="C10" s="1962" t="str">
        <f>ORÇAMENTO!F139</f>
        <v>Execução de Imprimação com asfálto diluído CM-30. AF_11/2019</v>
      </c>
      <c r="D10" s="1963"/>
      <c r="E10" s="1963"/>
      <c r="F10" s="1964"/>
      <c r="G10" s="155" t="str">
        <f>ORÇAMENTO!H139</f>
        <v>m²</v>
      </c>
    </row>
    <row r="11" spans="1:15" s="234" customFormat="1" ht="12.75" customHeight="1" thickTop="1">
      <c r="A11" s="1965"/>
      <c r="B11" s="1966"/>
      <c r="C11" s="1966"/>
      <c r="D11" s="1966"/>
      <c r="E11" s="1966"/>
      <c r="F11" s="1966"/>
      <c r="G11" s="1967"/>
    </row>
    <row r="12" spans="1:15" s="171" customFormat="1" ht="20.100000000000001" customHeight="1">
      <c r="A12" s="241" t="s">
        <v>33</v>
      </c>
      <c r="B12" s="242" t="s">
        <v>252</v>
      </c>
      <c r="C12" s="243" t="s">
        <v>652</v>
      </c>
      <c r="D12" s="242" t="s">
        <v>35</v>
      </c>
      <c r="E12" s="243" t="s">
        <v>149</v>
      </c>
      <c r="F12" s="244" t="s">
        <v>36</v>
      </c>
      <c r="G12" s="245" t="s">
        <v>657</v>
      </c>
      <c r="H12" s="165"/>
    </row>
    <row r="13" spans="1:15" s="234" customFormat="1" ht="20.100000000000001" customHeight="1">
      <c r="A13" s="1968" t="s">
        <v>32</v>
      </c>
      <c r="B13" s="1969"/>
      <c r="C13" s="1969"/>
      <c r="D13" s="1969"/>
      <c r="E13" s="1969"/>
      <c r="F13" s="1969"/>
      <c r="G13" s="1970"/>
    </row>
    <row r="14" spans="1:15" s="234" customFormat="1" ht="23.25" customHeight="1">
      <c r="A14" s="533">
        <v>1</v>
      </c>
      <c r="B14" s="439" t="s">
        <v>41</v>
      </c>
      <c r="C14" s="534" t="s">
        <v>161</v>
      </c>
      <c r="D14" s="439" t="s">
        <v>222</v>
      </c>
      <c r="E14" s="552">
        <v>5.7999999999999996E-3</v>
      </c>
      <c r="F14" s="535">
        <v>19.940000000000001</v>
      </c>
      <c r="G14" s="536">
        <f>E14*F14</f>
        <v>0.12</v>
      </c>
    </row>
    <row r="15" spans="1:15" s="234" customFormat="1" ht="20.100000000000001" customHeight="1">
      <c r="A15" s="1953" t="s">
        <v>528</v>
      </c>
      <c r="B15" s="1954"/>
      <c r="C15" s="1954"/>
      <c r="D15" s="1954"/>
      <c r="E15" s="1954"/>
      <c r="F15" s="1954"/>
      <c r="G15" s="537">
        <f>SUM(G14:G14)</f>
        <v>0.12</v>
      </c>
    </row>
    <row r="16" spans="1:15" s="234" customFormat="1" ht="20.100000000000001" customHeight="1">
      <c r="A16" s="1971" t="s">
        <v>43</v>
      </c>
      <c r="B16" s="1972"/>
      <c r="C16" s="1972"/>
      <c r="D16" s="1972"/>
      <c r="E16" s="1972"/>
      <c r="F16" s="1972"/>
      <c r="G16" s="1973"/>
      <c r="I16" s="556"/>
      <c r="J16" s="556"/>
      <c r="K16" s="557"/>
      <c r="L16" s="556"/>
      <c r="M16" s="556"/>
      <c r="N16" s="556"/>
      <c r="O16" s="556"/>
    </row>
    <row r="17" spans="1:15" s="234" customFormat="1" ht="22.5" customHeight="1">
      <c r="A17" s="533">
        <v>1</v>
      </c>
      <c r="B17" s="538">
        <v>5839</v>
      </c>
      <c r="C17" s="539" t="s">
        <v>681</v>
      </c>
      <c r="D17" s="540" t="s">
        <v>172</v>
      </c>
      <c r="E17" s="541" t="s">
        <v>278</v>
      </c>
      <c r="F17" s="542">
        <v>9.31</v>
      </c>
      <c r="G17" s="536">
        <f t="shared" ref="G17:G22" si="0">E17*F17</f>
        <v>0.02</v>
      </c>
      <c r="I17" s="556"/>
      <c r="J17" s="556"/>
      <c r="K17" s="557"/>
      <c r="L17" s="556"/>
      <c r="M17" s="556"/>
      <c r="N17" s="556"/>
      <c r="O17" s="556"/>
    </row>
    <row r="18" spans="1:15" s="234" customFormat="1" ht="22.5" customHeight="1">
      <c r="A18" s="533">
        <v>2</v>
      </c>
      <c r="B18" s="538" t="s">
        <v>279</v>
      </c>
      <c r="C18" s="539" t="s">
        <v>682</v>
      </c>
      <c r="D18" s="540" t="s">
        <v>174</v>
      </c>
      <c r="E18" s="541" t="s">
        <v>280</v>
      </c>
      <c r="F18" s="542">
        <v>4.68</v>
      </c>
      <c r="G18" s="536">
        <f t="shared" si="0"/>
        <v>0.02</v>
      </c>
      <c r="I18" s="556"/>
      <c r="J18" s="556"/>
      <c r="K18" s="557"/>
      <c r="L18" s="556"/>
      <c r="M18" s="556"/>
      <c r="N18" s="556"/>
      <c r="O18" s="556"/>
    </row>
    <row r="19" spans="1:15" s="234" customFormat="1" ht="22.5" customHeight="1">
      <c r="A19" s="533">
        <v>3</v>
      </c>
      <c r="B19" s="538">
        <v>83362</v>
      </c>
      <c r="C19" s="539" t="s">
        <v>683</v>
      </c>
      <c r="D19" s="540" t="s">
        <v>172</v>
      </c>
      <c r="E19" s="541" t="s">
        <v>281</v>
      </c>
      <c r="F19" s="542">
        <v>273.20999999999998</v>
      </c>
      <c r="G19" s="536">
        <f t="shared" si="0"/>
        <v>0.27</v>
      </c>
      <c r="I19" s="556"/>
      <c r="J19" s="556"/>
      <c r="K19" s="557"/>
      <c r="L19" s="556"/>
      <c r="M19" s="556"/>
      <c r="N19" s="556"/>
      <c r="O19" s="556"/>
    </row>
    <row r="20" spans="1:15" s="234" customFormat="1" ht="22.5" customHeight="1">
      <c r="A20" s="533">
        <v>4</v>
      </c>
      <c r="B20" s="538" t="s">
        <v>282</v>
      </c>
      <c r="C20" s="539" t="s">
        <v>673</v>
      </c>
      <c r="D20" s="540" t="s">
        <v>172</v>
      </c>
      <c r="E20" s="541" t="s">
        <v>283</v>
      </c>
      <c r="F20" s="542">
        <v>124.33</v>
      </c>
      <c r="G20" s="536">
        <f t="shared" si="0"/>
        <v>0.21</v>
      </c>
      <c r="I20" s="556"/>
      <c r="J20" s="556"/>
      <c r="K20" s="557"/>
      <c r="L20" s="556"/>
      <c r="M20" s="556"/>
      <c r="N20" s="556"/>
      <c r="O20" s="556"/>
    </row>
    <row r="21" spans="1:15" s="234" customFormat="1" ht="22.5" customHeight="1">
      <c r="A21" s="533">
        <v>5</v>
      </c>
      <c r="B21" s="538" t="s">
        <v>284</v>
      </c>
      <c r="C21" s="539" t="s">
        <v>674</v>
      </c>
      <c r="D21" s="540" t="s">
        <v>174</v>
      </c>
      <c r="E21" s="541" t="s">
        <v>285</v>
      </c>
      <c r="F21" s="542">
        <v>41.3</v>
      </c>
      <c r="G21" s="536">
        <f t="shared" si="0"/>
        <v>0.17</v>
      </c>
      <c r="I21" s="556"/>
      <c r="J21" s="556"/>
      <c r="K21" s="557"/>
      <c r="L21" s="556"/>
      <c r="M21" s="556"/>
      <c r="N21" s="556"/>
      <c r="O21" s="556"/>
    </row>
    <row r="22" spans="1:15" s="234" customFormat="1" ht="22.5" customHeight="1">
      <c r="A22" s="533">
        <v>6</v>
      </c>
      <c r="B22" s="538">
        <v>91486</v>
      </c>
      <c r="C22" s="539" t="s">
        <v>684</v>
      </c>
      <c r="D22" s="540" t="s">
        <v>174</v>
      </c>
      <c r="E22" s="541" t="s">
        <v>286</v>
      </c>
      <c r="F22" s="542">
        <v>64.45</v>
      </c>
      <c r="G22" s="536">
        <f t="shared" si="0"/>
        <v>0.32</v>
      </c>
      <c r="I22" s="556"/>
      <c r="J22" s="556"/>
      <c r="K22" s="557"/>
      <c r="L22" s="556"/>
      <c r="M22" s="556"/>
      <c r="N22" s="556"/>
      <c r="O22" s="556"/>
    </row>
    <row r="23" spans="1:15" s="234" customFormat="1" ht="20.100000000000001" customHeight="1">
      <c r="A23" s="1953" t="s">
        <v>529</v>
      </c>
      <c r="B23" s="1954"/>
      <c r="C23" s="1954"/>
      <c r="D23" s="1954"/>
      <c r="E23" s="1954"/>
      <c r="F23" s="1954"/>
      <c r="G23" s="537">
        <f>SUM(G17:G22)</f>
        <v>1.01</v>
      </c>
      <c r="I23" s="556"/>
      <c r="J23" s="556"/>
      <c r="K23" s="557"/>
      <c r="L23" s="556"/>
      <c r="M23" s="556"/>
      <c r="N23" s="556"/>
      <c r="O23" s="556"/>
    </row>
    <row r="24" spans="1:15" s="234" customFormat="1" ht="20.100000000000001" customHeight="1">
      <c r="A24" s="1950" t="s">
        <v>45</v>
      </c>
      <c r="B24" s="1951"/>
      <c r="C24" s="1951"/>
      <c r="D24" s="1951"/>
      <c r="E24" s="1951"/>
      <c r="F24" s="1951"/>
      <c r="G24" s="1952"/>
    </row>
    <row r="25" spans="1:15" s="234" customFormat="1" ht="20.100000000000001" customHeight="1">
      <c r="A25" s="533">
        <v>1</v>
      </c>
      <c r="B25" s="538" t="s">
        <v>276</v>
      </c>
      <c r="C25" s="543" t="s">
        <v>277</v>
      </c>
      <c r="D25" s="540" t="s">
        <v>271</v>
      </c>
      <c r="E25" s="544">
        <v>1.2</v>
      </c>
      <c r="F25" s="542">
        <v>6.28</v>
      </c>
      <c r="G25" s="536">
        <f>E25*F25</f>
        <v>7.54</v>
      </c>
    </row>
    <row r="26" spans="1:15" s="234" customFormat="1" ht="20.100000000000001" customHeight="1">
      <c r="A26" s="1953" t="s">
        <v>530</v>
      </c>
      <c r="B26" s="1954"/>
      <c r="C26" s="1954"/>
      <c r="D26" s="1954"/>
      <c r="E26" s="1954"/>
      <c r="F26" s="1954"/>
      <c r="G26" s="537">
        <f>SUM(G25:G25)</f>
        <v>7.54</v>
      </c>
    </row>
    <row r="27" spans="1:15" s="171" customFormat="1" ht="20.100000000000001" customHeight="1">
      <c r="A27" s="1955" t="s">
        <v>47</v>
      </c>
      <c r="B27" s="1956"/>
      <c r="C27" s="1956"/>
      <c r="D27" s="1956"/>
      <c r="E27" s="1956"/>
      <c r="F27" s="1956"/>
      <c r="G27" s="1957"/>
      <c r="H27" s="165"/>
    </row>
    <row r="28" spans="1:15" s="171" customFormat="1" ht="20.100000000000001" customHeight="1">
      <c r="A28" s="156" t="s">
        <v>33</v>
      </c>
      <c r="B28" s="157"/>
      <c r="C28" s="157" t="s">
        <v>48</v>
      </c>
      <c r="D28" s="1958" t="s">
        <v>658</v>
      </c>
      <c r="E28" s="1959"/>
      <c r="F28" s="1959"/>
      <c r="G28" s="1960"/>
      <c r="H28" s="165"/>
    </row>
    <row r="29" spans="1:15" s="171" customFormat="1" ht="20.100000000000001" customHeight="1">
      <c r="A29" s="156" t="s">
        <v>49</v>
      </c>
      <c r="B29" s="157"/>
      <c r="C29" s="157" t="s">
        <v>50</v>
      </c>
      <c r="D29" s="1943" t="s">
        <v>51</v>
      </c>
      <c r="E29" s="1943"/>
      <c r="F29" s="1943"/>
      <c r="G29" s="158">
        <f>G15</f>
        <v>0.12</v>
      </c>
      <c r="H29" s="165"/>
    </row>
    <row r="30" spans="1:15" s="171" customFormat="1" ht="20.100000000000001" customHeight="1">
      <c r="A30" s="156" t="s">
        <v>52</v>
      </c>
      <c r="B30" s="157"/>
      <c r="C30" s="157" t="s">
        <v>53</v>
      </c>
      <c r="D30" s="1943" t="s">
        <v>54</v>
      </c>
      <c r="E30" s="1943"/>
      <c r="F30" s="1943"/>
      <c r="G30" s="158">
        <f>G23</f>
        <v>1.01</v>
      </c>
      <c r="H30" s="165"/>
    </row>
    <row r="31" spans="1:15" s="171" customFormat="1" ht="20.100000000000001" customHeight="1">
      <c r="A31" s="156" t="s">
        <v>14</v>
      </c>
      <c r="B31" s="157"/>
      <c r="C31" s="157" t="s">
        <v>55</v>
      </c>
      <c r="D31" s="1943" t="s">
        <v>56</v>
      </c>
      <c r="E31" s="1943"/>
      <c r="F31" s="1943"/>
      <c r="G31" s="158">
        <f>G26</f>
        <v>7.54</v>
      </c>
      <c r="H31" s="165"/>
    </row>
    <row r="32" spans="1:15" s="171" customFormat="1" ht="20.100000000000001" customHeight="1">
      <c r="A32" s="156" t="s">
        <v>7</v>
      </c>
      <c r="B32" s="157"/>
      <c r="C32" s="545" t="s">
        <v>57</v>
      </c>
      <c r="D32" s="1944" t="s">
        <v>58</v>
      </c>
      <c r="E32" s="1944"/>
      <c r="F32" s="1944"/>
      <c r="G32" s="546">
        <f>G29+G30+G31</f>
        <v>8.67</v>
      </c>
      <c r="H32" s="165"/>
    </row>
    <row r="33" spans="1:8" s="171" customFormat="1" ht="20.100000000000001" customHeight="1">
      <c r="A33" s="156"/>
      <c r="B33" s="157"/>
      <c r="C33" s="545"/>
      <c r="D33" s="1945" t="s">
        <v>196</v>
      </c>
      <c r="E33" s="1946"/>
      <c r="F33" s="547">
        <v>0.27460000000000001</v>
      </c>
      <c r="G33" s="159">
        <f>G32*F33</f>
        <v>2.38</v>
      </c>
      <c r="H33" s="165"/>
    </row>
    <row r="34" spans="1:8" s="171" customFormat="1" ht="20.100000000000001" customHeight="1" thickBot="1">
      <c r="A34" s="1947" t="s">
        <v>60</v>
      </c>
      <c r="B34" s="1948"/>
      <c r="C34" s="1948"/>
      <c r="D34" s="1948"/>
      <c r="E34" s="1948"/>
      <c r="F34" s="1949"/>
      <c r="G34" s="160">
        <f>G32+G33</f>
        <v>11.05</v>
      </c>
      <c r="H34" s="165"/>
    </row>
    <row r="35" spans="1:8" s="234" customFormat="1" ht="20.100000000000001" customHeight="1">
      <c r="A35" s="548"/>
      <c r="B35" s="549"/>
      <c r="C35" s="549"/>
      <c r="D35" s="550"/>
      <c r="E35" s="549"/>
      <c r="F35" s="549"/>
      <c r="G35" s="551"/>
    </row>
    <row r="36" spans="1:8" ht="20.100000000000001" customHeight="1">
      <c r="A36" s="2042" t="s">
        <v>547</v>
      </c>
      <c r="B36" s="2042"/>
      <c r="C36" s="2042"/>
      <c r="D36" s="2042"/>
      <c r="E36" s="2042"/>
      <c r="F36" s="2042"/>
      <c r="G36" s="2042"/>
    </row>
    <row r="37" spans="1:8" ht="20.100000000000001" customHeight="1">
      <c r="A37" s="2040" t="s">
        <v>546</v>
      </c>
      <c r="B37" s="2041"/>
      <c r="C37" s="237" t="s">
        <v>181</v>
      </c>
      <c r="D37" s="238" t="s">
        <v>146</v>
      </c>
      <c r="E37" s="238" t="s">
        <v>443</v>
      </c>
      <c r="F37" s="238" t="s">
        <v>444</v>
      </c>
      <c r="G37" s="437" t="s">
        <v>287</v>
      </c>
    </row>
    <row r="38" spans="1:8" ht="20.100000000000001" customHeight="1">
      <c r="A38" s="2037">
        <v>45382</v>
      </c>
      <c r="B38" s="2038"/>
      <c r="C38" s="438" t="s">
        <v>545</v>
      </c>
      <c r="D38" s="439">
        <v>1</v>
      </c>
      <c r="E38" s="439" t="s">
        <v>416</v>
      </c>
      <c r="F38" s="440">
        <v>5300</v>
      </c>
      <c r="G38" s="440">
        <f>F38/1000</f>
        <v>5.3</v>
      </c>
    </row>
    <row r="39" spans="1:8" ht="20.100000000000001" customHeight="1">
      <c r="A39" s="2037">
        <v>45382</v>
      </c>
      <c r="B39" s="2038"/>
      <c r="C39" s="438" t="s">
        <v>548</v>
      </c>
      <c r="D39" s="439">
        <v>1</v>
      </c>
      <c r="E39" s="439" t="s">
        <v>416</v>
      </c>
      <c r="F39" s="440">
        <v>6100</v>
      </c>
      <c r="G39" s="440">
        <f>F39/1000</f>
        <v>6.1</v>
      </c>
    </row>
    <row r="40" spans="1:8" ht="20.100000000000001" customHeight="1">
      <c r="A40" s="2037">
        <v>45382</v>
      </c>
      <c r="B40" s="2038"/>
      <c r="C40" s="438" t="s">
        <v>549</v>
      </c>
      <c r="D40" s="439">
        <v>1</v>
      </c>
      <c r="E40" s="439" t="s">
        <v>416</v>
      </c>
      <c r="F40" s="440">
        <v>7500</v>
      </c>
      <c r="G40" s="440">
        <f>F40/1000</f>
        <v>7.5</v>
      </c>
    </row>
    <row r="41" spans="1:8" ht="20.100000000000001" customHeight="1">
      <c r="A41" s="2039" t="s">
        <v>445</v>
      </c>
      <c r="B41" s="2039"/>
      <c r="C41" s="2039"/>
      <c r="D41" s="2039"/>
      <c r="E41" s="2039"/>
      <c r="F41" s="2039"/>
      <c r="G41" s="441">
        <f>(G38+G39+G40)/3</f>
        <v>6.3</v>
      </c>
    </row>
    <row r="42" spans="1:8" ht="20.100000000000001" customHeight="1"/>
    <row r="43" spans="1:8" ht="20.100000000000001" customHeight="1"/>
  </sheetData>
  <mergeCells count="29">
    <mergeCell ref="A16:G16"/>
    <mergeCell ref="A1:G2"/>
    <mergeCell ref="A3:G3"/>
    <mergeCell ref="A4:G4"/>
    <mergeCell ref="A5:G5"/>
    <mergeCell ref="B7:G7"/>
    <mergeCell ref="B8:G8"/>
    <mergeCell ref="C9:F9"/>
    <mergeCell ref="C10:F10"/>
    <mergeCell ref="A11:G11"/>
    <mergeCell ref="A13:G13"/>
    <mergeCell ref="A15:F15"/>
    <mergeCell ref="A36:G36"/>
    <mergeCell ref="A23:F23"/>
    <mergeCell ref="A24:G24"/>
    <mergeCell ref="A26:F26"/>
    <mergeCell ref="A27:G27"/>
    <mergeCell ref="D28:G28"/>
    <mergeCell ref="D29:F29"/>
    <mergeCell ref="D30:F30"/>
    <mergeCell ref="D31:F31"/>
    <mergeCell ref="D32:F32"/>
    <mergeCell ref="D33:E33"/>
    <mergeCell ref="A34:F34"/>
    <mergeCell ref="A40:B40"/>
    <mergeCell ref="A41:F41"/>
    <mergeCell ref="A37:B37"/>
    <mergeCell ref="A38:B38"/>
    <mergeCell ref="A39:B39"/>
  </mergeCells>
  <pageMargins left="0.511811024" right="0.511811024" top="0.78740157499999996" bottom="0.78740157499999996" header="0.31496062000000002" footer="0.31496062000000002"/>
  <pageSetup paperSize="9" scale="7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ilha18">
    <tabColor theme="7" tint="0.39997558519241921"/>
  </sheetPr>
  <dimension ref="A1:H43"/>
  <sheetViews>
    <sheetView view="pageBreakPreview" zoomScale="160" zoomScaleNormal="100" zoomScaleSheetLayoutView="160" workbookViewId="0">
      <selection sqref="A1:G2"/>
    </sheetView>
  </sheetViews>
  <sheetFormatPr defaultColWidth="9.140625" defaultRowHeight="14.25"/>
  <cols>
    <col min="1" max="2" width="10.7109375" style="235" customWidth="1"/>
    <col min="3" max="3" width="40.7109375" style="235" customWidth="1"/>
    <col min="4" max="4" width="10.7109375" style="235" customWidth="1"/>
    <col min="5" max="7" width="14.7109375" style="235" customWidth="1"/>
    <col min="8" max="16384" width="9.140625" style="235"/>
  </cols>
  <sheetData>
    <row r="1" spans="1:8" s="232" customFormat="1" ht="15" customHeight="1">
      <c r="A1" s="1937"/>
      <c r="B1" s="1938"/>
      <c r="C1" s="1938"/>
      <c r="D1" s="1938"/>
      <c r="E1" s="1938"/>
      <c r="F1" s="1938"/>
      <c r="G1" s="1939"/>
    </row>
    <row r="2" spans="1:8" s="232" customFormat="1" ht="45.75" customHeight="1">
      <c r="A2" s="1940"/>
      <c r="B2" s="1941"/>
      <c r="C2" s="1941"/>
      <c r="D2" s="1941"/>
      <c r="E2" s="1941"/>
      <c r="F2" s="1941"/>
      <c r="G2" s="1942"/>
    </row>
    <row r="3" spans="1:8" s="232" customFormat="1" ht="15" customHeight="1">
      <c r="A3" s="1977" t="s">
        <v>17</v>
      </c>
      <c r="B3" s="1978"/>
      <c r="C3" s="1978"/>
      <c r="D3" s="1978"/>
      <c r="E3" s="1978"/>
      <c r="F3" s="1978"/>
      <c r="G3" s="1979"/>
    </row>
    <row r="4" spans="1:8" s="232" customFormat="1" ht="15" customHeight="1">
      <c r="A4" s="1940" t="s">
        <v>185</v>
      </c>
      <c r="B4" s="1941"/>
      <c r="C4" s="1941"/>
      <c r="D4" s="1941"/>
      <c r="E4" s="1941"/>
      <c r="F4" s="1941"/>
      <c r="G4" s="1942"/>
    </row>
    <row r="5" spans="1:8" s="232" customFormat="1" ht="15" customHeight="1">
      <c r="A5" s="1940" t="s">
        <v>16</v>
      </c>
      <c r="B5" s="1941"/>
      <c r="C5" s="1941"/>
      <c r="D5" s="1941"/>
      <c r="E5" s="1941"/>
      <c r="F5" s="1941"/>
      <c r="G5" s="1942"/>
    </row>
    <row r="6" spans="1:8" s="232" customFormat="1" ht="15" customHeight="1">
      <c r="A6" s="523"/>
      <c r="B6" s="530"/>
      <c r="C6" s="530"/>
      <c r="D6" s="530"/>
      <c r="E6" s="530"/>
      <c r="F6" s="530"/>
      <c r="G6" s="524"/>
    </row>
    <row r="7" spans="1:8" s="234" customFormat="1">
      <c r="A7" s="531" t="s">
        <v>654</v>
      </c>
      <c r="B7" s="1980" t="str">
        <f>ORÇAMENTO!D9</f>
        <v>SISTEMA DE SANEAMENTO INTEGRADO NO BAIRRO DO ICUÍ: ABASTECIMENTO DE ÁGUA, DRENAGEM URBANA E MANEJO DE ÁGUAS PLUVIAIS E PAVIMENTAÇÃO NO MUNICÍPIO DE ANANINDEUA/ PA</v>
      </c>
      <c r="C7" s="1981"/>
      <c r="D7" s="1981"/>
      <c r="E7" s="1981"/>
      <c r="F7" s="1981"/>
      <c r="G7" s="1982"/>
    </row>
    <row r="8" spans="1:8" s="232" customFormat="1" ht="15" customHeight="1" thickBot="1">
      <c r="A8" s="233"/>
      <c r="B8" s="1983"/>
      <c r="C8" s="1983"/>
      <c r="D8" s="1983"/>
      <c r="E8" s="1983"/>
      <c r="F8" s="1983"/>
      <c r="G8" s="1984"/>
    </row>
    <row r="9" spans="1:8" s="234" customFormat="1" ht="24" customHeight="1" thickTop="1">
      <c r="A9" s="525" t="s">
        <v>183</v>
      </c>
      <c r="B9" s="527" t="s">
        <v>655</v>
      </c>
      <c r="C9" s="1974" t="s">
        <v>656</v>
      </c>
      <c r="D9" s="1975"/>
      <c r="E9" s="1975"/>
      <c r="F9" s="1976"/>
      <c r="G9" s="308" t="s">
        <v>531</v>
      </c>
    </row>
    <row r="10" spans="1:8" s="234" customFormat="1" ht="15" thickBot="1">
      <c r="A10" s="526" t="str">
        <f>ORÇAMENTO!E140</f>
        <v>VI</v>
      </c>
      <c r="B10" s="532">
        <v>96402</v>
      </c>
      <c r="C10" s="1962" t="s">
        <v>199</v>
      </c>
      <c r="D10" s="1963"/>
      <c r="E10" s="1963"/>
      <c r="F10" s="1964"/>
      <c r="G10" s="155" t="str">
        <f>ORÇAMENTO!H139</f>
        <v>m²</v>
      </c>
    </row>
    <row r="11" spans="1:8" s="234" customFormat="1" ht="12.75" customHeight="1" thickTop="1">
      <c r="A11" s="1965"/>
      <c r="B11" s="1966"/>
      <c r="C11" s="1966"/>
      <c r="D11" s="1966"/>
      <c r="E11" s="1966"/>
      <c r="F11" s="1966"/>
      <c r="G11" s="1967"/>
    </row>
    <row r="12" spans="1:8" s="171" customFormat="1" ht="20.100000000000001" customHeight="1">
      <c r="A12" s="241" t="s">
        <v>33</v>
      </c>
      <c r="B12" s="242" t="s">
        <v>252</v>
      </c>
      <c r="C12" s="243" t="s">
        <v>652</v>
      </c>
      <c r="D12" s="242" t="s">
        <v>35</v>
      </c>
      <c r="E12" s="243" t="s">
        <v>149</v>
      </c>
      <c r="F12" s="244" t="s">
        <v>36</v>
      </c>
      <c r="G12" s="245" t="s">
        <v>657</v>
      </c>
      <c r="H12" s="165"/>
    </row>
    <row r="13" spans="1:8" s="234" customFormat="1" ht="20.100000000000001" customHeight="1">
      <c r="A13" s="1968" t="s">
        <v>32</v>
      </c>
      <c r="B13" s="1969"/>
      <c r="C13" s="1969"/>
      <c r="D13" s="1969"/>
      <c r="E13" s="1969"/>
      <c r="F13" s="1969"/>
      <c r="G13" s="1970"/>
    </row>
    <row r="14" spans="1:8" s="234" customFormat="1" ht="23.25" customHeight="1">
      <c r="A14" s="533">
        <v>1</v>
      </c>
      <c r="B14" s="439" t="s">
        <v>41</v>
      </c>
      <c r="C14" s="534" t="s">
        <v>161</v>
      </c>
      <c r="D14" s="439" t="s">
        <v>222</v>
      </c>
      <c r="E14" s="552">
        <v>5.4999999999999997E-3</v>
      </c>
      <c r="F14" s="535">
        <v>19.940000000000001</v>
      </c>
      <c r="G14" s="536">
        <f>E14*F14</f>
        <v>0.11</v>
      </c>
    </row>
    <row r="15" spans="1:8" s="234" customFormat="1" ht="20.100000000000001" customHeight="1">
      <c r="A15" s="1953" t="s">
        <v>528</v>
      </c>
      <c r="B15" s="1954"/>
      <c r="C15" s="1954"/>
      <c r="D15" s="1954"/>
      <c r="E15" s="1954"/>
      <c r="F15" s="1954"/>
      <c r="G15" s="537">
        <f>SUM(G14:G14)</f>
        <v>0.11</v>
      </c>
    </row>
    <row r="16" spans="1:8" s="234" customFormat="1" ht="20.100000000000001" customHeight="1">
      <c r="A16" s="1971" t="s">
        <v>43</v>
      </c>
      <c r="B16" s="1972"/>
      <c r="C16" s="1972"/>
      <c r="D16" s="1972"/>
      <c r="E16" s="1972"/>
      <c r="F16" s="1972"/>
      <c r="G16" s="1973"/>
    </row>
    <row r="17" spans="1:8" s="234" customFormat="1" ht="22.5" customHeight="1">
      <c r="A17" s="533">
        <v>1</v>
      </c>
      <c r="B17" s="538">
        <v>5839</v>
      </c>
      <c r="C17" s="539" t="s">
        <v>681</v>
      </c>
      <c r="D17" s="540" t="s">
        <v>172</v>
      </c>
      <c r="E17" s="541">
        <v>2E-3</v>
      </c>
      <c r="F17" s="542">
        <v>9.31</v>
      </c>
      <c r="G17" s="536">
        <f t="shared" ref="G17:G22" si="0">E17*F17</f>
        <v>0.02</v>
      </c>
    </row>
    <row r="18" spans="1:8" s="234" customFormat="1" ht="22.5" customHeight="1">
      <c r="A18" s="533">
        <v>2</v>
      </c>
      <c r="B18" s="538" t="s">
        <v>279</v>
      </c>
      <c r="C18" s="539" t="s">
        <v>682</v>
      </c>
      <c r="D18" s="540" t="s">
        <v>174</v>
      </c>
      <c r="E18" s="541">
        <v>4.0000000000000001E-3</v>
      </c>
      <c r="F18" s="542">
        <v>4.68</v>
      </c>
      <c r="G18" s="536">
        <f t="shared" si="0"/>
        <v>0.02</v>
      </c>
    </row>
    <row r="19" spans="1:8" s="234" customFormat="1" ht="22.5" customHeight="1">
      <c r="A19" s="533">
        <v>3</v>
      </c>
      <c r="B19" s="538">
        <v>83362</v>
      </c>
      <c r="C19" s="539" t="s">
        <v>683</v>
      </c>
      <c r="D19" s="540" t="s">
        <v>172</v>
      </c>
      <c r="E19" s="541">
        <v>4.0000000000000002E-4</v>
      </c>
      <c r="F19" s="542">
        <v>273.20999999999998</v>
      </c>
      <c r="G19" s="536">
        <f t="shared" si="0"/>
        <v>0.11</v>
      </c>
    </row>
    <row r="20" spans="1:8" s="234" customFormat="1" ht="22.5" customHeight="1">
      <c r="A20" s="533">
        <v>4</v>
      </c>
      <c r="B20" s="538" t="s">
        <v>282</v>
      </c>
      <c r="C20" s="539" t="s">
        <v>673</v>
      </c>
      <c r="D20" s="540" t="s">
        <v>172</v>
      </c>
      <c r="E20" s="541">
        <v>1.6999999999999999E-3</v>
      </c>
      <c r="F20" s="542">
        <v>124.33</v>
      </c>
      <c r="G20" s="536">
        <f t="shared" si="0"/>
        <v>0.21</v>
      </c>
    </row>
    <row r="21" spans="1:8" s="234" customFormat="1" ht="22.5" customHeight="1">
      <c r="A21" s="533">
        <v>5</v>
      </c>
      <c r="B21" s="538" t="s">
        <v>284</v>
      </c>
      <c r="C21" s="539" t="s">
        <v>674</v>
      </c>
      <c r="D21" s="540" t="s">
        <v>174</v>
      </c>
      <c r="E21" s="541">
        <v>3.8E-3</v>
      </c>
      <c r="F21" s="542">
        <v>41.3</v>
      </c>
      <c r="G21" s="536">
        <f t="shared" si="0"/>
        <v>0.16</v>
      </c>
    </row>
    <row r="22" spans="1:8" s="234" customFormat="1" ht="22.5" customHeight="1">
      <c r="A22" s="533">
        <v>6</v>
      </c>
      <c r="B22" s="538">
        <v>91486</v>
      </c>
      <c r="C22" s="539" t="s">
        <v>684</v>
      </c>
      <c r="D22" s="540" t="s">
        <v>174</v>
      </c>
      <c r="E22" s="541">
        <v>5.1000000000000004E-3</v>
      </c>
      <c r="F22" s="542">
        <v>64.45</v>
      </c>
      <c r="G22" s="536">
        <f t="shared" si="0"/>
        <v>0.33</v>
      </c>
    </row>
    <row r="23" spans="1:8" s="234" customFormat="1" ht="20.100000000000001" customHeight="1">
      <c r="A23" s="1953" t="s">
        <v>529</v>
      </c>
      <c r="B23" s="1954"/>
      <c r="C23" s="1954"/>
      <c r="D23" s="1954"/>
      <c r="E23" s="1954"/>
      <c r="F23" s="1954"/>
      <c r="G23" s="537">
        <f>SUM(G17:G22)</f>
        <v>0.85</v>
      </c>
    </row>
    <row r="24" spans="1:8" s="234" customFormat="1" ht="20.100000000000001" customHeight="1">
      <c r="A24" s="1950" t="s">
        <v>45</v>
      </c>
      <c r="B24" s="1951"/>
      <c r="C24" s="1951"/>
      <c r="D24" s="1951"/>
      <c r="E24" s="1951"/>
      <c r="F24" s="1951"/>
      <c r="G24" s="1952"/>
    </row>
    <row r="25" spans="1:8" s="234" customFormat="1" ht="20.100000000000001" customHeight="1">
      <c r="A25" s="533">
        <v>1</v>
      </c>
      <c r="B25" s="538" t="s">
        <v>276</v>
      </c>
      <c r="C25" s="543" t="s">
        <v>685</v>
      </c>
      <c r="D25" s="540" t="s">
        <v>271</v>
      </c>
      <c r="E25" s="544">
        <v>0.45</v>
      </c>
      <c r="F25" s="542">
        <f>G41</f>
        <v>5.07</v>
      </c>
      <c r="G25" s="536">
        <v>2.29</v>
      </c>
    </row>
    <row r="26" spans="1:8" s="234" customFormat="1" ht="20.100000000000001" customHeight="1">
      <c r="A26" s="1953" t="s">
        <v>530</v>
      </c>
      <c r="B26" s="1954"/>
      <c r="C26" s="1954"/>
      <c r="D26" s="1954"/>
      <c r="E26" s="1954"/>
      <c r="F26" s="1954"/>
      <c r="G26" s="537">
        <f>SUM(G25:G25)</f>
        <v>2.29</v>
      </c>
    </row>
    <row r="27" spans="1:8" s="171" customFormat="1" ht="20.100000000000001" customHeight="1">
      <c r="A27" s="1955" t="s">
        <v>47</v>
      </c>
      <c r="B27" s="1956"/>
      <c r="C27" s="1956"/>
      <c r="D27" s="1956"/>
      <c r="E27" s="1956"/>
      <c r="F27" s="1956"/>
      <c r="G27" s="1957"/>
      <c r="H27" s="165"/>
    </row>
    <row r="28" spans="1:8" s="171" customFormat="1" ht="20.100000000000001" customHeight="1">
      <c r="A28" s="156" t="s">
        <v>33</v>
      </c>
      <c r="B28" s="157"/>
      <c r="C28" s="157" t="s">
        <v>48</v>
      </c>
      <c r="D28" s="1958" t="s">
        <v>658</v>
      </c>
      <c r="E28" s="1959"/>
      <c r="F28" s="1959"/>
      <c r="G28" s="1960"/>
      <c r="H28" s="165"/>
    </row>
    <row r="29" spans="1:8" s="171" customFormat="1" ht="20.100000000000001" customHeight="1">
      <c r="A29" s="156" t="s">
        <v>49</v>
      </c>
      <c r="B29" s="157"/>
      <c r="C29" s="157" t="s">
        <v>50</v>
      </c>
      <c r="D29" s="1943" t="s">
        <v>51</v>
      </c>
      <c r="E29" s="1943"/>
      <c r="F29" s="1943"/>
      <c r="G29" s="158">
        <f>G15</f>
        <v>0.11</v>
      </c>
      <c r="H29" s="165"/>
    </row>
    <row r="30" spans="1:8" s="171" customFormat="1" ht="20.100000000000001" customHeight="1">
      <c r="A30" s="156" t="s">
        <v>52</v>
      </c>
      <c r="B30" s="157"/>
      <c r="C30" s="157" t="s">
        <v>53</v>
      </c>
      <c r="D30" s="1943" t="s">
        <v>54</v>
      </c>
      <c r="E30" s="1943"/>
      <c r="F30" s="1943"/>
      <c r="G30" s="158">
        <f>G23</f>
        <v>0.85</v>
      </c>
      <c r="H30" s="165"/>
    </row>
    <row r="31" spans="1:8" s="171" customFormat="1" ht="20.100000000000001" customHeight="1">
      <c r="A31" s="156" t="s">
        <v>14</v>
      </c>
      <c r="B31" s="157"/>
      <c r="C31" s="157" t="s">
        <v>55</v>
      </c>
      <c r="D31" s="1943" t="s">
        <v>56</v>
      </c>
      <c r="E31" s="1943"/>
      <c r="F31" s="1943"/>
      <c r="G31" s="158">
        <f>G26</f>
        <v>2.29</v>
      </c>
      <c r="H31" s="165"/>
    </row>
    <row r="32" spans="1:8" s="171" customFormat="1" ht="20.100000000000001" customHeight="1">
      <c r="A32" s="156" t="s">
        <v>7</v>
      </c>
      <c r="B32" s="157"/>
      <c r="C32" s="545" t="s">
        <v>57</v>
      </c>
      <c r="D32" s="1944" t="s">
        <v>58</v>
      </c>
      <c r="E32" s="1944"/>
      <c r="F32" s="1944"/>
      <c r="G32" s="546">
        <f>G29+G30+G31</f>
        <v>3.25</v>
      </c>
      <c r="H32" s="165"/>
    </row>
    <row r="33" spans="1:8" s="171" customFormat="1" ht="20.100000000000001" customHeight="1">
      <c r="A33" s="156"/>
      <c r="B33" s="157"/>
      <c r="C33" s="545"/>
      <c r="D33" s="1945" t="s">
        <v>196</v>
      </c>
      <c r="E33" s="1946"/>
      <c r="F33" s="547">
        <v>0.27460000000000001</v>
      </c>
      <c r="G33" s="159">
        <f>G32*F33</f>
        <v>0.89</v>
      </c>
      <c r="H33" s="165"/>
    </row>
    <row r="34" spans="1:8" s="171" customFormat="1" ht="20.100000000000001" customHeight="1" thickBot="1">
      <c r="A34" s="1947" t="s">
        <v>60</v>
      </c>
      <c r="B34" s="1948"/>
      <c r="C34" s="1948"/>
      <c r="D34" s="1948"/>
      <c r="E34" s="1948"/>
      <c r="F34" s="1949"/>
      <c r="G34" s="160">
        <f>G32+G33</f>
        <v>4.1399999999999997</v>
      </c>
      <c r="H34" s="165"/>
    </row>
    <row r="35" spans="1:8" s="234" customFormat="1" ht="20.100000000000001" customHeight="1">
      <c r="A35" s="548"/>
      <c r="B35" s="549"/>
      <c r="C35" s="549"/>
      <c r="D35" s="550"/>
      <c r="E35" s="549"/>
      <c r="F35" s="549"/>
      <c r="G35" s="551"/>
    </row>
    <row r="36" spans="1:8" ht="20.100000000000001" customHeight="1">
      <c r="A36" s="2042" t="s">
        <v>547</v>
      </c>
      <c r="B36" s="2042"/>
      <c r="C36" s="2042"/>
      <c r="D36" s="2042"/>
      <c r="E36" s="2042"/>
      <c r="F36" s="2042"/>
      <c r="G36" s="2042"/>
    </row>
    <row r="37" spans="1:8" ht="20.100000000000001" customHeight="1">
      <c r="A37" s="2040" t="s">
        <v>546</v>
      </c>
      <c r="B37" s="2041"/>
      <c r="C37" s="237" t="s">
        <v>181</v>
      </c>
      <c r="D37" s="238" t="s">
        <v>146</v>
      </c>
      <c r="E37" s="238" t="s">
        <v>443</v>
      </c>
      <c r="F37" s="238" t="s">
        <v>444</v>
      </c>
      <c r="G37" s="437" t="s">
        <v>287</v>
      </c>
    </row>
    <row r="38" spans="1:8" ht="20.100000000000001" customHeight="1">
      <c r="A38" s="2037">
        <v>44944</v>
      </c>
      <c r="B38" s="2038"/>
      <c r="C38" s="438" t="s">
        <v>545</v>
      </c>
      <c r="D38" s="439">
        <v>1</v>
      </c>
      <c r="E38" s="439" t="s">
        <v>416</v>
      </c>
      <c r="F38" s="440">
        <v>5600</v>
      </c>
      <c r="G38" s="440">
        <f>F38/1000</f>
        <v>5.6</v>
      </c>
    </row>
    <row r="39" spans="1:8" ht="20.100000000000001" customHeight="1">
      <c r="A39" s="2037">
        <v>44945</v>
      </c>
      <c r="B39" s="2038"/>
      <c r="C39" s="438" t="s">
        <v>548</v>
      </c>
      <c r="D39" s="439">
        <v>1</v>
      </c>
      <c r="E39" s="439" t="s">
        <v>416</v>
      </c>
      <c r="F39" s="440">
        <v>4090</v>
      </c>
      <c r="G39" s="440">
        <f>F39/1000</f>
        <v>4.09</v>
      </c>
    </row>
    <row r="40" spans="1:8" ht="20.100000000000001" customHeight="1">
      <c r="A40" s="2037">
        <v>44949</v>
      </c>
      <c r="B40" s="2038"/>
      <c r="C40" s="438" t="s">
        <v>549</v>
      </c>
      <c r="D40" s="439">
        <v>1</v>
      </c>
      <c r="E40" s="439" t="s">
        <v>416</v>
      </c>
      <c r="F40" s="440">
        <v>5510</v>
      </c>
      <c r="G40" s="440">
        <f>F40/1000</f>
        <v>5.51</v>
      </c>
    </row>
    <row r="41" spans="1:8" ht="20.100000000000001" customHeight="1">
      <c r="A41" s="2039" t="s">
        <v>445</v>
      </c>
      <c r="B41" s="2039"/>
      <c r="C41" s="2039"/>
      <c r="D41" s="2039"/>
      <c r="E41" s="2039"/>
      <c r="F41" s="2039"/>
      <c r="G41" s="441">
        <f>(G38+G39+G40)/3</f>
        <v>5.07</v>
      </c>
    </row>
    <row r="42" spans="1:8" ht="20.100000000000001" customHeight="1"/>
    <row r="43" spans="1:8" ht="20.100000000000001" customHeight="1"/>
  </sheetData>
  <mergeCells count="29">
    <mergeCell ref="A16:G16"/>
    <mergeCell ref="A1:G2"/>
    <mergeCell ref="A3:G3"/>
    <mergeCell ref="A4:G4"/>
    <mergeCell ref="A5:G5"/>
    <mergeCell ref="B7:G7"/>
    <mergeCell ref="B8:G8"/>
    <mergeCell ref="C9:F9"/>
    <mergeCell ref="C10:F10"/>
    <mergeCell ref="A11:G11"/>
    <mergeCell ref="A13:G13"/>
    <mergeCell ref="A15:F15"/>
    <mergeCell ref="A36:G36"/>
    <mergeCell ref="A23:F23"/>
    <mergeCell ref="A24:G24"/>
    <mergeCell ref="A26:F26"/>
    <mergeCell ref="A27:G27"/>
    <mergeCell ref="D28:G28"/>
    <mergeCell ref="D29:F29"/>
    <mergeCell ref="D30:F30"/>
    <mergeCell ref="D31:F31"/>
    <mergeCell ref="D32:F32"/>
    <mergeCell ref="D33:E33"/>
    <mergeCell ref="A34:F34"/>
    <mergeCell ref="A37:B37"/>
    <mergeCell ref="A38:B38"/>
    <mergeCell ref="A39:B39"/>
    <mergeCell ref="A40:B40"/>
    <mergeCell ref="A41:F41"/>
  </mergeCells>
  <pageMargins left="0.511811024" right="0.511811024" top="0.78740157499999996" bottom="0.78740157499999996" header="0.31496062000000002" footer="0.31496062000000002"/>
  <pageSetup paperSize="9" scale="79" orientation="portrait" r:id="rId1"/>
  <colBreaks count="1" manualBreakCount="1">
    <brk id="7" max="1048575" man="1"/>
  </colBreaks>
  <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ilha19">
    <tabColor theme="7" tint="0.39997558519241921"/>
  </sheetPr>
  <dimension ref="A1:J47"/>
  <sheetViews>
    <sheetView view="pageBreakPreview" zoomScale="85" zoomScaleNormal="100" zoomScaleSheetLayoutView="85" workbookViewId="0">
      <selection activeCell="C14" sqref="C14"/>
    </sheetView>
  </sheetViews>
  <sheetFormatPr defaultColWidth="9.140625" defaultRowHeight="14.25"/>
  <cols>
    <col min="1" max="1" width="10.28515625" style="108" customWidth="1"/>
    <col min="2" max="2" width="10.7109375" style="108" customWidth="1"/>
    <col min="3" max="3" width="45.7109375" style="108" customWidth="1"/>
    <col min="4" max="7" width="14.7109375" style="108" customWidth="1"/>
    <col min="8" max="8" width="11.7109375" style="107" customWidth="1"/>
    <col min="9" max="9" width="9.140625" style="107"/>
    <col min="10" max="16384" width="9.140625" style="108"/>
  </cols>
  <sheetData>
    <row r="1" spans="1:10">
      <c r="A1" s="103"/>
      <c r="B1" s="104"/>
      <c r="C1" s="104"/>
      <c r="D1" s="104"/>
      <c r="E1" s="104"/>
      <c r="F1" s="104"/>
      <c r="G1" s="105"/>
      <c r="H1" s="106"/>
    </row>
    <row r="2" spans="1:10" ht="50.25" customHeight="1">
      <c r="A2" s="1566"/>
      <c r="B2" s="1567"/>
      <c r="C2" s="1567"/>
      <c r="D2" s="1567"/>
      <c r="E2" s="1567"/>
      <c r="F2" s="1567"/>
      <c r="G2" s="2051"/>
      <c r="H2" s="106"/>
    </row>
    <row r="3" spans="1:10" ht="16.5">
      <c r="A3" s="2048" t="s">
        <v>17</v>
      </c>
      <c r="B3" s="2049"/>
      <c r="C3" s="2049"/>
      <c r="D3" s="2049"/>
      <c r="E3" s="2049"/>
      <c r="F3" s="2049"/>
      <c r="G3" s="2050"/>
      <c r="H3" s="109"/>
    </row>
    <row r="4" spans="1:10">
      <c r="A4" s="1566" t="s">
        <v>185</v>
      </c>
      <c r="B4" s="1567"/>
      <c r="C4" s="1567"/>
      <c r="D4" s="1567"/>
      <c r="E4" s="1567"/>
      <c r="F4" s="1567"/>
      <c r="G4" s="2051"/>
      <c r="H4" s="109"/>
    </row>
    <row r="5" spans="1:10">
      <c r="A5" s="2052" t="s">
        <v>16</v>
      </c>
      <c r="B5" s="2053"/>
      <c r="C5" s="2053"/>
      <c r="D5" s="2053"/>
      <c r="E5" s="2053"/>
      <c r="F5" s="2053"/>
      <c r="G5" s="2054"/>
      <c r="H5" s="109"/>
    </row>
    <row r="6" spans="1:10">
      <c r="A6" s="387"/>
      <c r="B6" s="106"/>
      <c r="C6" s="106"/>
      <c r="D6" s="106"/>
      <c r="E6" s="106"/>
      <c r="F6" s="106"/>
      <c r="G6" s="388"/>
      <c r="H6" s="109"/>
    </row>
    <row r="7" spans="1:10" ht="41.25" customHeight="1">
      <c r="A7" s="416" t="s">
        <v>532</v>
      </c>
      <c r="B7" s="2075" t="str">
        <f>ORÇAMENTO!D9</f>
        <v>SISTEMA DE SANEAMENTO INTEGRADO NO BAIRRO DO ICUÍ: ABASTECIMENTO DE ÁGUA, DRENAGEM URBANA E MANEJO DE ÁGUAS PLUVIAIS E PAVIMENTAÇÃO NO MUNICÍPIO DE ANANINDEUA/ PA</v>
      </c>
      <c r="C7" s="2076"/>
      <c r="D7" s="2076"/>
      <c r="E7" s="2076"/>
      <c r="F7" s="2076"/>
      <c r="G7" s="2077"/>
      <c r="H7" s="391"/>
    </row>
    <row r="8" spans="1:10" ht="15" thickBot="1">
      <c r="A8" s="2055"/>
      <c r="B8" s="2056"/>
      <c r="C8" s="2056"/>
      <c r="D8" s="2056"/>
      <c r="E8" s="2056"/>
      <c r="F8" s="2056"/>
      <c r="G8" s="2057"/>
      <c r="H8" s="109"/>
    </row>
    <row r="9" spans="1:10" ht="15" thickTop="1">
      <c r="A9" s="2061" t="s">
        <v>505</v>
      </c>
      <c r="B9" s="247" t="s">
        <v>184</v>
      </c>
      <c r="C9" s="2063" t="s">
        <v>527</v>
      </c>
      <c r="D9" s="2064"/>
      <c r="E9" s="2064"/>
      <c r="F9" s="2065"/>
      <c r="G9" s="312" t="s">
        <v>534</v>
      </c>
      <c r="H9" s="110"/>
    </row>
    <row r="10" spans="1:10" ht="15" thickBot="1">
      <c r="A10" s="2062"/>
      <c r="B10" s="246">
        <v>44866</v>
      </c>
      <c r="C10" s="2066"/>
      <c r="D10" s="2067"/>
      <c r="E10" s="2067"/>
      <c r="F10" s="2068"/>
      <c r="G10" s="313" t="s">
        <v>477</v>
      </c>
      <c r="H10" s="110"/>
    </row>
    <row r="11" spans="1:10" ht="15" thickTop="1">
      <c r="A11" s="2069"/>
      <c r="B11" s="2070"/>
      <c r="C11" s="2070"/>
      <c r="D11" s="2070"/>
      <c r="E11" s="2070"/>
      <c r="F11" s="2070"/>
      <c r="G11" s="2071"/>
      <c r="H11" s="110"/>
    </row>
    <row r="12" spans="1:10" s="113" customFormat="1" ht="20.100000000000001" customHeight="1">
      <c r="A12" s="220" t="s">
        <v>33</v>
      </c>
      <c r="B12" s="221" t="s">
        <v>252</v>
      </c>
      <c r="C12" s="222" t="s">
        <v>34</v>
      </c>
      <c r="D12" s="221" t="s">
        <v>35</v>
      </c>
      <c r="E12" s="222" t="s">
        <v>149</v>
      </c>
      <c r="F12" s="223" t="s">
        <v>36</v>
      </c>
      <c r="G12" s="224" t="s">
        <v>37</v>
      </c>
      <c r="H12" s="114"/>
      <c r="I12" s="107"/>
    </row>
    <row r="13" spans="1:10" s="113" customFormat="1" ht="20.100000000000001" customHeight="1">
      <c r="A13" s="2078" t="s">
        <v>32</v>
      </c>
      <c r="B13" s="2079"/>
      <c r="C13" s="2079"/>
      <c r="D13" s="2079"/>
      <c r="E13" s="2079"/>
      <c r="F13" s="2079"/>
      <c r="G13" s="2080"/>
      <c r="H13" s="111"/>
      <c r="I13" s="107">
        <v>1.28</v>
      </c>
      <c r="J13" s="112">
        <f>G44</f>
        <v>203.37</v>
      </c>
    </row>
    <row r="14" spans="1:10" s="113" customFormat="1" ht="30" customHeight="1">
      <c r="A14" s="115">
        <v>1</v>
      </c>
      <c r="B14" s="116" t="s">
        <v>420</v>
      </c>
      <c r="C14" s="117" t="s">
        <v>343</v>
      </c>
      <c r="D14" s="118" t="s">
        <v>40</v>
      </c>
      <c r="E14" s="119" t="str">
        <f>'[65]Composição ORSE'!$H$12</f>
        <v xml:space="preserve"> 0,0059524</v>
      </c>
      <c r="F14" s="120">
        <v>20.63</v>
      </c>
      <c r="G14" s="121">
        <f>E14*F14</f>
        <v>0.12</v>
      </c>
      <c r="H14" s="122">
        <v>1.34E-2</v>
      </c>
      <c r="I14" s="107">
        <f>$I$13</f>
        <v>1.28</v>
      </c>
    </row>
    <row r="15" spans="1:10" s="113" customFormat="1" ht="30" customHeight="1">
      <c r="A15" s="146">
        <v>2</v>
      </c>
      <c r="B15" s="147" t="s">
        <v>41</v>
      </c>
      <c r="C15" s="148" t="s">
        <v>187</v>
      </c>
      <c r="D15" s="149" t="s">
        <v>40</v>
      </c>
      <c r="E15" s="150" t="str">
        <f>'[65]Composição ORSE'!$H$20</f>
        <v xml:space="preserve"> 0,0178571</v>
      </c>
      <c r="F15" s="151">
        <v>19.059999999999999</v>
      </c>
      <c r="G15" s="121">
        <f>E15*F15</f>
        <v>0.34</v>
      </c>
      <c r="H15" s="122">
        <v>3.5000000000000003E-2</v>
      </c>
      <c r="I15" s="107">
        <f t="shared" ref="I15:I29" si="0">$I$13</f>
        <v>1.28</v>
      </c>
    </row>
    <row r="16" spans="1:10" s="113" customFormat="1" ht="20.100000000000001" customHeight="1">
      <c r="A16" s="2043" t="s">
        <v>42</v>
      </c>
      <c r="B16" s="2044"/>
      <c r="C16" s="2044"/>
      <c r="D16" s="2044"/>
      <c r="E16" s="2044"/>
      <c r="F16" s="2044"/>
      <c r="G16" s="415">
        <f>SUM(G14:G15)</f>
        <v>0.46</v>
      </c>
      <c r="H16" s="123"/>
      <c r="I16" s="107"/>
    </row>
    <row r="17" spans="1:10" s="113" customFormat="1" ht="20.100000000000001" customHeight="1">
      <c r="A17" s="2078" t="s">
        <v>43</v>
      </c>
      <c r="B17" s="2079"/>
      <c r="C17" s="2079"/>
      <c r="D17" s="2079"/>
      <c r="E17" s="2079"/>
      <c r="F17" s="2079"/>
      <c r="G17" s="2080"/>
      <c r="H17" s="111"/>
      <c r="I17" s="107"/>
    </row>
    <row r="18" spans="1:10" s="113" customFormat="1" ht="30" customHeight="1">
      <c r="A18" s="115">
        <v>1</v>
      </c>
      <c r="B18" s="126">
        <v>5903</v>
      </c>
      <c r="C18" s="127" t="s">
        <v>257</v>
      </c>
      <c r="D18" s="118" t="s">
        <v>174</v>
      </c>
      <c r="E18" s="119">
        <v>7.8E-2</v>
      </c>
      <c r="F18" s="120">
        <v>55.24</v>
      </c>
      <c r="G18" s="121">
        <f>E18*F18</f>
        <v>4.3099999999999996</v>
      </c>
      <c r="H18" s="122">
        <v>3.5000000000000003E-2</v>
      </c>
      <c r="I18" s="107">
        <f t="shared" si="0"/>
        <v>1.28</v>
      </c>
      <c r="J18" s="113">
        <f>77.84/2</f>
        <v>38.92</v>
      </c>
    </row>
    <row r="19" spans="1:10" s="113" customFormat="1" ht="30" customHeight="1">
      <c r="A19" s="115">
        <v>2</v>
      </c>
      <c r="B19" s="126">
        <v>5901</v>
      </c>
      <c r="C19" s="127" t="s">
        <v>255</v>
      </c>
      <c r="D19" s="118" t="s">
        <v>172</v>
      </c>
      <c r="E19" s="119">
        <v>2.1999999999999999E-2</v>
      </c>
      <c r="F19" s="120">
        <v>316.79000000000002</v>
      </c>
      <c r="G19" s="121">
        <f>E19*F19</f>
        <v>6.97</v>
      </c>
      <c r="H19" s="122">
        <v>1.34E-2</v>
      </c>
      <c r="I19" s="107">
        <f t="shared" si="0"/>
        <v>1.28</v>
      </c>
    </row>
    <row r="20" spans="1:10" s="113" customFormat="1" ht="30" customHeight="1">
      <c r="A20" s="115">
        <v>3</v>
      </c>
      <c r="B20" s="126">
        <v>5689</v>
      </c>
      <c r="C20" s="127" t="s">
        <v>421</v>
      </c>
      <c r="D20" s="118" t="s">
        <v>172</v>
      </c>
      <c r="E20" s="119">
        <v>0.13850000000000001</v>
      </c>
      <c r="F20" s="120">
        <v>7.34</v>
      </c>
      <c r="G20" s="121">
        <f t="shared" ref="G20:G29" si="1">E20*F20</f>
        <v>1.02</v>
      </c>
      <c r="H20" s="122">
        <v>1.34E-2</v>
      </c>
      <c r="I20" s="107">
        <f t="shared" si="0"/>
        <v>1.28</v>
      </c>
      <c r="J20" s="113">
        <f>15.35/2</f>
        <v>7.6749999999999998</v>
      </c>
    </row>
    <row r="21" spans="1:10" s="113" customFormat="1" ht="30" customHeight="1">
      <c r="A21" s="115">
        <v>4</v>
      </c>
      <c r="B21" s="126">
        <v>5690</v>
      </c>
      <c r="C21" s="127" t="s">
        <v>422</v>
      </c>
      <c r="D21" s="118" t="s">
        <v>174</v>
      </c>
      <c r="E21" s="119">
        <v>0.1615</v>
      </c>
      <c r="F21" s="120">
        <v>4.5599999999999996</v>
      </c>
      <c r="G21" s="121">
        <f t="shared" si="1"/>
        <v>0.74</v>
      </c>
      <c r="H21" s="122">
        <v>1.34E-2</v>
      </c>
      <c r="I21" s="107">
        <f t="shared" si="0"/>
        <v>1.28</v>
      </c>
    </row>
    <row r="22" spans="1:10" s="113" customFormat="1" ht="30" customHeight="1">
      <c r="A22" s="115">
        <v>5</v>
      </c>
      <c r="B22" s="126">
        <v>5934</v>
      </c>
      <c r="C22" s="127" t="s">
        <v>261</v>
      </c>
      <c r="D22" s="118" t="s">
        <v>174</v>
      </c>
      <c r="E22" s="119">
        <v>7.1999999999999995E-2</v>
      </c>
      <c r="F22" s="120">
        <v>80.22</v>
      </c>
      <c r="G22" s="121">
        <f t="shared" si="1"/>
        <v>5.78</v>
      </c>
      <c r="H22" s="122">
        <v>4.6399999999999997E-2</v>
      </c>
      <c r="I22" s="107">
        <f t="shared" si="0"/>
        <v>1.28</v>
      </c>
      <c r="J22" s="113">
        <f>142.03/2</f>
        <v>71.015000000000001</v>
      </c>
    </row>
    <row r="23" spans="1:10" s="113" customFormat="1" ht="30" customHeight="1">
      <c r="A23" s="115">
        <v>6</v>
      </c>
      <c r="B23" s="126">
        <v>5932</v>
      </c>
      <c r="C23" s="127" t="s">
        <v>259</v>
      </c>
      <c r="D23" s="118" t="s">
        <v>172</v>
      </c>
      <c r="E23" s="119">
        <v>2.8000000000000001E-2</v>
      </c>
      <c r="F23" s="120">
        <v>247.49</v>
      </c>
      <c r="G23" s="121">
        <f t="shared" si="1"/>
        <v>6.93</v>
      </c>
      <c r="H23" s="122">
        <v>9.4899999999999998E-2</v>
      </c>
      <c r="I23" s="107">
        <f t="shared" si="0"/>
        <v>1.28</v>
      </c>
    </row>
    <row r="24" spans="1:10" s="113" customFormat="1" ht="30" customHeight="1">
      <c r="A24" s="115">
        <v>7</v>
      </c>
      <c r="B24" s="126">
        <v>6880</v>
      </c>
      <c r="C24" s="127" t="s">
        <v>479</v>
      </c>
      <c r="D24" s="118" t="s">
        <v>174</v>
      </c>
      <c r="E24" s="119">
        <v>7.1999999999999995E-2</v>
      </c>
      <c r="F24" s="120">
        <v>77.739999999999995</v>
      </c>
      <c r="G24" s="121">
        <f t="shared" si="1"/>
        <v>5.6</v>
      </c>
      <c r="H24" s="122">
        <v>4.6399999999999997E-2</v>
      </c>
      <c r="I24" s="107">
        <f t="shared" si="0"/>
        <v>1.28</v>
      </c>
      <c r="J24" s="113">
        <f>111.18/2</f>
        <v>55.59</v>
      </c>
    </row>
    <row r="25" spans="1:10" s="113" customFormat="1" ht="30" customHeight="1">
      <c r="A25" s="115">
        <v>8</v>
      </c>
      <c r="B25" s="126">
        <v>6879</v>
      </c>
      <c r="C25" s="127" t="s">
        <v>480</v>
      </c>
      <c r="D25" s="118" t="s">
        <v>172</v>
      </c>
      <c r="E25" s="119">
        <v>2.8000000000000001E-2</v>
      </c>
      <c r="F25" s="120">
        <v>212.35</v>
      </c>
      <c r="G25" s="121">
        <f t="shared" si="1"/>
        <v>5.95</v>
      </c>
      <c r="H25" s="122">
        <v>8.0500000000000002E-2</v>
      </c>
      <c r="I25" s="107">
        <f t="shared" si="0"/>
        <v>1.28</v>
      </c>
    </row>
    <row r="26" spans="1:10" s="113" customFormat="1" ht="30" customHeight="1">
      <c r="A26" s="115">
        <v>9</v>
      </c>
      <c r="B26" s="126">
        <v>96021</v>
      </c>
      <c r="C26" s="127" t="s">
        <v>481</v>
      </c>
      <c r="D26" s="118" t="s">
        <v>174</v>
      </c>
      <c r="E26" s="119">
        <v>8.5000000000000006E-2</v>
      </c>
      <c r="F26" s="120">
        <v>47.58</v>
      </c>
      <c r="G26" s="121">
        <f t="shared" si="1"/>
        <v>4.04</v>
      </c>
      <c r="H26" s="122">
        <v>6.0699999999999997E-2</v>
      </c>
      <c r="I26" s="107">
        <f t="shared" si="0"/>
        <v>1.28</v>
      </c>
      <c r="J26" s="113">
        <f xml:space="preserve"> 79.89/2</f>
        <v>39.945</v>
      </c>
    </row>
    <row r="27" spans="1:10" s="113" customFormat="1" ht="30" customHeight="1">
      <c r="A27" s="115">
        <v>10</v>
      </c>
      <c r="B27" s="126">
        <v>96020</v>
      </c>
      <c r="C27" s="127" t="s">
        <v>482</v>
      </c>
      <c r="D27" s="118" t="s">
        <v>172</v>
      </c>
      <c r="E27" s="119">
        <v>1.4999999999999999E-2</v>
      </c>
      <c r="F27" s="120">
        <v>181.71</v>
      </c>
      <c r="G27" s="121">
        <f t="shared" si="1"/>
        <v>2.73</v>
      </c>
      <c r="H27" s="122">
        <v>0.1071</v>
      </c>
      <c r="I27" s="107">
        <f t="shared" si="0"/>
        <v>1.28</v>
      </c>
    </row>
    <row r="28" spans="1:10" s="113" customFormat="1" ht="30" customHeight="1">
      <c r="A28" s="115">
        <v>11</v>
      </c>
      <c r="B28" s="126">
        <v>7050</v>
      </c>
      <c r="C28" s="127" t="s">
        <v>483</v>
      </c>
      <c r="D28" s="118" t="s">
        <v>174</v>
      </c>
      <c r="E28" s="119">
        <v>7.4999999999999997E-2</v>
      </c>
      <c r="F28" s="120">
        <v>71.36</v>
      </c>
      <c r="G28" s="121">
        <f t="shared" si="1"/>
        <v>5.35</v>
      </c>
      <c r="H28" s="122">
        <v>3.4099999999999998E-2</v>
      </c>
      <c r="I28" s="107">
        <f t="shared" si="0"/>
        <v>1.28</v>
      </c>
      <c r="J28" s="113">
        <f>102.08/2</f>
        <v>51.04</v>
      </c>
    </row>
    <row r="29" spans="1:10" s="113" customFormat="1" ht="30" customHeight="1">
      <c r="A29" s="146">
        <v>12</v>
      </c>
      <c r="B29" s="152">
        <v>7049</v>
      </c>
      <c r="C29" s="153" t="s">
        <v>484</v>
      </c>
      <c r="D29" s="149" t="s">
        <v>172</v>
      </c>
      <c r="E29" s="150">
        <v>2.5000000000000001E-2</v>
      </c>
      <c r="F29" s="151">
        <v>226.94</v>
      </c>
      <c r="G29" s="121">
        <f t="shared" si="1"/>
        <v>5.67</v>
      </c>
      <c r="H29" s="122">
        <v>4.19E-2</v>
      </c>
      <c r="I29" s="107">
        <f t="shared" si="0"/>
        <v>1.28</v>
      </c>
    </row>
    <row r="30" spans="1:10" s="113" customFormat="1" ht="20.100000000000001" customHeight="1">
      <c r="A30" s="2043" t="s">
        <v>44</v>
      </c>
      <c r="B30" s="2044"/>
      <c r="C30" s="2044"/>
      <c r="D30" s="2044"/>
      <c r="E30" s="2044"/>
      <c r="F30" s="2044"/>
      <c r="G30" s="415">
        <f>SUM(G18:G29)</f>
        <v>55.09</v>
      </c>
      <c r="H30" s="123"/>
      <c r="I30" s="107"/>
    </row>
    <row r="31" spans="1:10" s="113" customFormat="1" ht="20.100000000000001" customHeight="1">
      <c r="A31" s="2058" t="s">
        <v>45</v>
      </c>
      <c r="B31" s="2059"/>
      <c r="C31" s="2059"/>
      <c r="D31" s="2059"/>
      <c r="E31" s="2059"/>
      <c r="F31" s="2059"/>
      <c r="G31" s="2060"/>
      <c r="H31" s="111"/>
      <c r="I31" s="107"/>
    </row>
    <row r="32" spans="1:10" s="113" customFormat="1" ht="30" customHeight="1">
      <c r="A32" s="115">
        <v>1</v>
      </c>
      <c r="B32" s="116" t="s">
        <v>485</v>
      </c>
      <c r="C32" s="117" t="s">
        <v>486</v>
      </c>
      <c r="D32" s="118" t="s">
        <v>0</v>
      </c>
      <c r="E32" s="119">
        <v>1.1499999999999999</v>
      </c>
      <c r="F32" s="120">
        <v>55.35</v>
      </c>
      <c r="G32" s="121">
        <f>E32*F32</f>
        <v>63.65</v>
      </c>
      <c r="H32" s="122">
        <v>0.1875</v>
      </c>
      <c r="I32" s="107">
        <f>$I$13</f>
        <v>1.28</v>
      </c>
    </row>
    <row r="33" spans="1:9" s="113" customFormat="1" ht="20.100000000000001" customHeight="1">
      <c r="A33" s="2072" t="s">
        <v>46</v>
      </c>
      <c r="B33" s="2073"/>
      <c r="C33" s="2073"/>
      <c r="D33" s="2073"/>
      <c r="E33" s="2073"/>
      <c r="F33" s="2074"/>
      <c r="G33" s="415">
        <f>SUM(G32:G32)</f>
        <v>63.65</v>
      </c>
      <c r="H33" s="123"/>
      <c r="I33" s="107"/>
    </row>
    <row r="34" spans="1:9" s="113" customFormat="1" ht="20.100000000000001" customHeight="1">
      <c r="A34" s="2058" t="s">
        <v>487</v>
      </c>
      <c r="B34" s="2059"/>
      <c r="C34" s="2059"/>
      <c r="D34" s="2059"/>
      <c r="E34" s="2059"/>
      <c r="F34" s="2059"/>
      <c r="G34" s="2060"/>
      <c r="H34" s="111"/>
      <c r="I34" s="107"/>
    </row>
    <row r="35" spans="1:9" s="113" customFormat="1" ht="30" customHeight="1">
      <c r="A35" s="115">
        <v>1</v>
      </c>
      <c r="B35" s="116" t="s">
        <v>488</v>
      </c>
      <c r="C35" s="154" t="s">
        <v>291</v>
      </c>
      <c r="D35" s="118" t="s">
        <v>0</v>
      </c>
      <c r="E35" s="119">
        <v>1</v>
      </c>
      <c r="F35" s="120">
        <v>6.33</v>
      </c>
      <c r="G35" s="121">
        <f>E35*F35</f>
        <v>6.33</v>
      </c>
      <c r="H35" s="122"/>
      <c r="I35" s="107"/>
    </row>
    <row r="36" spans="1:9" s="113" customFormat="1" ht="30" customHeight="1">
      <c r="A36" s="115">
        <v>2</v>
      </c>
      <c r="B36" s="144">
        <v>93591</v>
      </c>
      <c r="C36" s="117" t="s">
        <v>289</v>
      </c>
      <c r="D36" s="118" t="s">
        <v>221</v>
      </c>
      <c r="E36" s="119">
        <v>28</v>
      </c>
      <c r="F36" s="120">
        <v>2.78</v>
      </c>
      <c r="G36" s="121">
        <f>E36*F36</f>
        <v>77.84</v>
      </c>
      <c r="H36" s="122"/>
      <c r="I36" s="128"/>
    </row>
    <row r="37" spans="1:9" s="113" customFormat="1" ht="20.100000000000001" customHeight="1">
      <c r="A37" s="2043" t="s">
        <v>489</v>
      </c>
      <c r="B37" s="2044"/>
      <c r="C37" s="2044"/>
      <c r="D37" s="2044"/>
      <c r="E37" s="2044"/>
      <c r="F37" s="2044"/>
      <c r="G37" s="415">
        <f>SUM(G35:G36)</f>
        <v>84.17</v>
      </c>
      <c r="H37" s="123"/>
      <c r="I37" s="107"/>
    </row>
    <row r="38" spans="1:9" s="113" customFormat="1" ht="20.100000000000001" customHeight="1">
      <c r="A38" s="2082" t="s">
        <v>47</v>
      </c>
      <c r="B38" s="2083"/>
      <c r="C38" s="2083"/>
      <c r="D38" s="2083"/>
      <c r="E38" s="2083"/>
      <c r="F38" s="2083"/>
      <c r="G38" s="2084"/>
      <c r="H38" s="129"/>
      <c r="I38" s="107"/>
    </row>
    <row r="39" spans="1:9" s="113" customFormat="1" ht="20.100000000000001" customHeight="1">
      <c r="A39" s="124" t="s">
        <v>33</v>
      </c>
      <c r="B39" s="118"/>
      <c r="C39" s="118" t="s">
        <v>48</v>
      </c>
      <c r="D39" s="2045" t="s">
        <v>37</v>
      </c>
      <c r="E39" s="2046"/>
      <c r="F39" s="2046"/>
      <c r="G39" s="2047"/>
      <c r="H39" s="114"/>
      <c r="I39" s="107"/>
    </row>
    <row r="40" spans="1:9" s="113" customFormat="1" ht="20.100000000000001" customHeight="1">
      <c r="A40" s="124" t="s">
        <v>49</v>
      </c>
      <c r="B40" s="118"/>
      <c r="C40" s="118" t="s">
        <v>50</v>
      </c>
      <c r="D40" s="2085" t="s">
        <v>51</v>
      </c>
      <c r="E40" s="2085"/>
      <c r="F40" s="2085"/>
      <c r="G40" s="125">
        <f>G16</f>
        <v>0.46</v>
      </c>
      <c r="H40" s="114"/>
      <c r="I40" s="107"/>
    </row>
    <row r="41" spans="1:9" s="113" customFormat="1" ht="20.100000000000001" customHeight="1">
      <c r="A41" s="124" t="s">
        <v>52</v>
      </c>
      <c r="B41" s="118"/>
      <c r="C41" s="118" t="s">
        <v>53</v>
      </c>
      <c r="D41" s="2085" t="s">
        <v>54</v>
      </c>
      <c r="E41" s="2085"/>
      <c r="F41" s="2085"/>
      <c r="G41" s="125">
        <f>G30</f>
        <v>55.09</v>
      </c>
      <c r="H41" s="114"/>
      <c r="I41" s="107"/>
    </row>
    <row r="42" spans="1:9" s="113" customFormat="1" ht="20.100000000000001" customHeight="1">
      <c r="A42" s="124" t="s">
        <v>14</v>
      </c>
      <c r="B42" s="118"/>
      <c r="C42" s="118" t="s">
        <v>55</v>
      </c>
      <c r="D42" s="2085" t="s">
        <v>56</v>
      </c>
      <c r="E42" s="2085"/>
      <c r="F42" s="2085"/>
      <c r="G42" s="125">
        <f>G33</f>
        <v>63.65</v>
      </c>
      <c r="H42" s="114"/>
      <c r="I42" s="107"/>
    </row>
    <row r="43" spans="1:9" s="113" customFormat="1" ht="20.100000000000001" customHeight="1">
      <c r="A43" s="124" t="s">
        <v>7</v>
      </c>
      <c r="B43" s="118"/>
      <c r="C43" s="118" t="s">
        <v>490</v>
      </c>
      <c r="D43" s="2085" t="s">
        <v>491</v>
      </c>
      <c r="E43" s="2085"/>
      <c r="F43" s="2085"/>
      <c r="G43" s="125">
        <f>G37</f>
        <v>84.17</v>
      </c>
      <c r="H43" s="114"/>
      <c r="I43" s="107"/>
    </row>
    <row r="44" spans="1:9" s="113" customFormat="1" ht="20.100000000000001" customHeight="1">
      <c r="A44" s="124" t="s">
        <v>59</v>
      </c>
      <c r="B44" s="118"/>
      <c r="C44" s="130" t="s">
        <v>492</v>
      </c>
      <c r="D44" s="2086" t="s">
        <v>58</v>
      </c>
      <c r="E44" s="2086"/>
      <c r="F44" s="2086"/>
      <c r="G44" s="131">
        <f>G40+G41+G42+G43</f>
        <v>203.37</v>
      </c>
      <c r="H44" s="132">
        <v>596</v>
      </c>
      <c r="I44" s="107"/>
    </row>
    <row r="45" spans="1:9" s="113" customFormat="1" ht="20.100000000000001" customHeight="1">
      <c r="A45" s="124"/>
      <c r="B45" s="118"/>
      <c r="C45" s="130"/>
      <c r="D45" s="133" t="s">
        <v>196</v>
      </c>
      <c r="E45" s="134"/>
      <c r="F45" s="135">
        <v>0.27460000000000001</v>
      </c>
      <c r="G45" s="145">
        <f>G44*F45</f>
        <v>55.85</v>
      </c>
      <c r="H45" s="136"/>
      <c r="I45" s="107"/>
    </row>
    <row r="46" spans="1:9" s="113" customFormat="1" ht="20.100000000000001" customHeight="1" thickBot="1">
      <c r="A46" s="137"/>
      <c r="B46" s="138"/>
      <c r="C46" s="138"/>
      <c r="D46" s="2081" t="s">
        <v>60</v>
      </c>
      <c r="E46" s="2081"/>
      <c r="F46" s="2081"/>
      <c r="G46" s="139">
        <f>G44+G45</f>
        <v>259.22000000000003</v>
      </c>
      <c r="H46" s="140"/>
      <c r="I46" s="107"/>
    </row>
    <row r="47" spans="1:9">
      <c r="A47" s="141"/>
      <c r="B47" s="141"/>
      <c r="C47" s="141"/>
      <c r="D47" s="142"/>
      <c r="E47" s="142"/>
      <c r="F47" s="142"/>
      <c r="G47" s="143"/>
      <c r="H47" s="143"/>
    </row>
  </sheetData>
  <mergeCells count="25">
    <mergeCell ref="D46:F46"/>
    <mergeCell ref="A38:G38"/>
    <mergeCell ref="D40:F40"/>
    <mergeCell ref="D41:F41"/>
    <mergeCell ref="D42:F42"/>
    <mergeCell ref="D43:F43"/>
    <mergeCell ref="D44:F44"/>
    <mergeCell ref="A2:G2"/>
    <mergeCell ref="A16:F16"/>
    <mergeCell ref="A30:F30"/>
    <mergeCell ref="A33:F33"/>
    <mergeCell ref="B7:G7"/>
    <mergeCell ref="A13:G13"/>
    <mergeCell ref="A17:G17"/>
    <mergeCell ref="A37:F37"/>
    <mergeCell ref="D39:G39"/>
    <mergeCell ref="A3:G3"/>
    <mergeCell ref="A4:G4"/>
    <mergeCell ref="A5:G5"/>
    <mergeCell ref="A8:G8"/>
    <mergeCell ref="A31:G31"/>
    <mergeCell ref="A34:G34"/>
    <mergeCell ref="A9:A10"/>
    <mergeCell ref="C9:F10"/>
    <mergeCell ref="A11:G11"/>
  </mergeCells>
  <printOptions horizontalCentered="1"/>
  <pageMargins left="0.51181102362204722" right="0.51181102362204722" top="0.78740157480314965" bottom="0.78740157480314965" header="0.31496062992125984" footer="0.31496062992125984"/>
  <pageSetup paperSize="9" scale="70" orientation="portrait" r:id="rId1"/>
  <drawing r:id="rId2"/>
  <legacy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ilha20">
    <tabColor theme="7" tint="0.39997558519241921"/>
  </sheetPr>
  <dimension ref="A1:H56"/>
  <sheetViews>
    <sheetView view="pageBreakPreview" zoomScale="115" zoomScaleNormal="100" zoomScaleSheetLayoutView="115" workbookViewId="0">
      <selection activeCell="C2" sqref="C2"/>
    </sheetView>
  </sheetViews>
  <sheetFormatPr defaultColWidth="9.140625" defaultRowHeight="14.25"/>
  <cols>
    <col min="1" max="2" width="10.7109375" style="614" customWidth="1"/>
    <col min="3" max="3" width="40.7109375" style="614" customWidth="1"/>
    <col min="4" max="4" width="10.7109375" style="614" customWidth="1"/>
    <col min="5" max="7" width="14.7109375" style="614" customWidth="1"/>
    <col min="8" max="16384" width="9.140625" style="614"/>
  </cols>
  <sheetData>
    <row r="1" spans="1:8" s="232" customFormat="1" ht="15" customHeight="1">
      <c r="A1" s="231"/>
      <c r="B1" s="2035"/>
      <c r="C1" s="2035"/>
      <c r="D1" s="2035"/>
      <c r="E1" s="2035"/>
      <c r="F1" s="2035"/>
      <c r="G1" s="2036"/>
    </row>
    <row r="2" spans="1:8" s="232" customFormat="1" ht="45.75" customHeight="1">
      <c r="A2" s="236"/>
      <c r="B2" s="529"/>
      <c r="C2" s="529"/>
      <c r="D2" s="529"/>
      <c r="E2" s="529"/>
      <c r="F2" s="529"/>
      <c r="G2" s="522"/>
    </row>
    <row r="3" spans="1:8" s="232" customFormat="1" ht="15" customHeight="1">
      <c r="A3" s="1977" t="s">
        <v>17</v>
      </c>
      <c r="B3" s="1978"/>
      <c r="C3" s="1978"/>
      <c r="D3" s="1978"/>
      <c r="E3" s="1978"/>
      <c r="F3" s="1978"/>
      <c r="G3" s="1979"/>
    </row>
    <row r="4" spans="1:8" s="232" customFormat="1" ht="15" customHeight="1">
      <c r="A4" s="1940" t="s">
        <v>185</v>
      </c>
      <c r="B4" s="1941"/>
      <c r="C4" s="1941"/>
      <c r="D4" s="1941"/>
      <c r="E4" s="1941"/>
      <c r="F4" s="1941"/>
      <c r="G4" s="1942"/>
    </row>
    <row r="5" spans="1:8" s="232" customFormat="1" ht="15" customHeight="1">
      <c r="A5" s="1940" t="s">
        <v>16</v>
      </c>
      <c r="B5" s="1941"/>
      <c r="C5" s="1941"/>
      <c r="D5" s="1941"/>
      <c r="E5" s="1941"/>
      <c r="F5" s="1941"/>
      <c r="G5" s="1942"/>
    </row>
    <row r="6" spans="1:8" s="232" customFormat="1" ht="15" customHeight="1">
      <c r="A6" s="523"/>
      <c r="B6" s="530"/>
      <c r="C6" s="530"/>
      <c r="D6" s="530"/>
      <c r="E6" s="530"/>
      <c r="F6" s="530"/>
      <c r="G6" s="524"/>
    </row>
    <row r="7" spans="1:8" s="592" customFormat="1">
      <c r="A7" s="591" t="s">
        <v>654</v>
      </c>
      <c r="B7" s="2087" t="s">
        <v>3494</v>
      </c>
      <c r="C7" s="2088"/>
      <c r="D7" s="2088"/>
      <c r="E7" s="2088"/>
      <c r="F7" s="2088"/>
      <c r="G7" s="2089"/>
    </row>
    <row r="8" spans="1:8" s="232" customFormat="1" ht="15" customHeight="1" thickBot="1">
      <c r="A8" s="233"/>
      <c r="B8" s="1983"/>
      <c r="C8" s="1983"/>
      <c r="D8" s="1983"/>
      <c r="E8" s="1983"/>
      <c r="F8" s="1983"/>
      <c r="G8" s="1984"/>
    </row>
    <row r="9" spans="1:8" s="592" customFormat="1" ht="24" customHeight="1" thickTop="1">
      <c r="A9" s="525" t="s">
        <v>183</v>
      </c>
      <c r="B9" s="593" t="s">
        <v>692</v>
      </c>
      <c r="C9" s="1974" t="s">
        <v>656</v>
      </c>
      <c r="D9" s="1975"/>
      <c r="E9" s="1975"/>
      <c r="F9" s="1976"/>
      <c r="G9" s="308" t="s">
        <v>531</v>
      </c>
    </row>
    <row r="10" spans="1:8" s="592" customFormat="1" ht="29.25" customHeight="1" thickBot="1">
      <c r="A10" s="526" t="s">
        <v>693</v>
      </c>
      <c r="B10" s="594">
        <v>180263</v>
      </c>
      <c r="C10" s="1962" t="str">
        <f>[66]ORÇAMENTO!F104</f>
        <v>Recuperação de PV´s ou Caixas de águas pluviais para bueiros simples</v>
      </c>
      <c r="D10" s="1963"/>
      <c r="E10" s="1963"/>
      <c r="F10" s="1964"/>
      <c r="G10" s="155" t="s">
        <v>694</v>
      </c>
    </row>
    <row r="11" spans="1:8" s="592" customFormat="1" ht="12.75" customHeight="1" thickTop="1">
      <c r="A11" s="2090"/>
      <c r="B11" s="2091"/>
      <c r="C11" s="2091"/>
      <c r="D11" s="2091"/>
      <c r="E11" s="2091"/>
      <c r="F11" s="2091"/>
      <c r="G11" s="2092"/>
    </row>
    <row r="12" spans="1:8" s="596" customFormat="1" ht="20.100000000000001" customHeight="1">
      <c r="A12" s="241" t="s">
        <v>33</v>
      </c>
      <c r="B12" s="242" t="s">
        <v>252</v>
      </c>
      <c r="C12" s="243" t="s">
        <v>652</v>
      </c>
      <c r="D12" s="242" t="s">
        <v>35</v>
      </c>
      <c r="E12" s="243" t="s">
        <v>149</v>
      </c>
      <c r="F12" s="244" t="s">
        <v>36</v>
      </c>
      <c r="G12" s="245" t="s">
        <v>657</v>
      </c>
      <c r="H12" s="595"/>
    </row>
    <row r="13" spans="1:8" s="592" customFormat="1" ht="20.100000000000001" customHeight="1">
      <c r="A13" s="2093" t="s">
        <v>32</v>
      </c>
      <c r="B13" s="2094"/>
      <c r="C13" s="2094"/>
      <c r="D13" s="2094"/>
      <c r="E13" s="2094"/>
      <c r="F13" s="2094"/>
      <c r="G13" s="2095"/>
    </row>
    <row r="14" spans="1:8" s="592" customFormat="1" ht="20.100000000000001" customHeight="1">
      <c r="A14" s="597">
        <v>1</v>
      </c>
      <c r="B14" s="598">
        <v>280023</v>
      </c>
      <c r="C14" s="599" t="s">
        <v>264</v>
      </c>
      <c r="D14" s="598" t="s">
        <v>222</v>
      </c>
      <c r="E14" s="600">
        <v>2.4</v>
      </c>
      <c r="F14" s="601">
        <v>24.68</v>
      </c>
      <c r="G14" s="602">
        <f>E14*F14</f>
        <v>59.23</v>
      </c>
    </row>
    <row r="15" spans="1:8" s="592" customFormat="1" ht="20.100000000000001" customHeight="1">
      <c r="A15" s="597">
        <v>2</v>
      </c>
      <c r="B15" s="598">
        <v>280004</v>
      </c>
      <c r="C15" s="599" t="s">
        <v>695</v>
      </c>
      <c r="D15" s="598" t="s">
        <v>222</v>
      </c>
      <c r="E15" s="603">
        <f>E14*2</f>
        <v>4.8</v>
      </c>
      <c r="F15" s="601">
        <v>19.98</v>
      </c>
      <c r="G15" s="602">
        <f>E15*F15</f>
        <v>95.9</v>
      </c>
    </row>
    <row r="16" spans="1:8" s="592" customFormat="1" ht="20.100000000000001" customHeight="1">
      <c r="A16" s="2096" t="s">
        <v>528</v>
      </c>
      <c r="B16" s="2097"/>
      <c r="C16" s="2097"/>
      <c r="D16" s="2097"/>
      <c r="E16" s="2097"/>
      <c r="F16" s="2097"/>
      <c r="G16" s="604">
        <f>SUM(G14:G15)</f>
        <v>155.13</v>
      </c>
    </row>
    <row r="17" spans="1:7" s="592" customFormat="1" ht="20.100000000000001" customHeight="1">
      <c r="A17" s="2098" t="s">
        <v>43</v>
      </c>
      <c r="B17" s="2099"/>
      <c r="C17" s="2099"/>
      <c r="D17" s="2099"/>
      <c r="E17" s="2099"/>
      <c r="F17" s="2099"/>
      <c r="G17" s="2100"/>
    </row>
    <row r="18" spans="1:7" s="592" customFormat="1" ht="27.75" customHeight="1">
      <c r="A18" s="597"/>
      <c r="B18" s="605"/>
      <c r="C18" s="606"/>
      <c r="D18" s="607"/>
      <c r="E18" s="600"/>
      <c r="F18" s="608"/>
      <c r="G18" s="602">
        <f t="shared" ref="G18:G29" si="0">E18*F18</f>
        <v>0</v>
      </c>
    </row>
    <row r="19" spans="1:7" s="592" customFormat="1" ht="27.75" hidden="1" customHeight="1">
      <c r="A19" s="597"/>
      <c r="B19" s="605"/>
      <c r="C19" s="606"/>
      <c r="D19" s="607"/>
      <c r="E19" s="600"/>
      <c r="F19" s="608"/>
      <c r="G19" s="602">
        <f t="shared" si="0"/>
        <v>0</v>
      </c>
    </row>
    <row r="20" spans="1:7" s="592" customFormat="1" ht="27.75" hidden="1" customHeight="1">
      <c r="A20" s="597"/>
      <c r="B20" s="605"/>
      <c r="C20" s="606"/>
      <c r="D20" s="607"/>
      <c r="E20" s="600"/>
      <c r="F20" s="608"/>
      <c r="G20" s="602">
        <f t="shared" si="0"/>
        <v>0</v>
      </c>
    </row>
    <row r="21" spans="1:7" s="592" customFormat="1" ht="27.75" hidden="1" customHeight="1">
      <c r="A21" s="597"/>
      <c r="B21" s="605"/>
      <c r="C21" s="606"/>
      <c r="D21" s="607"/>
      <c r="E21" s="600"/>
      <c r="F21" s="608"/>
      <c r="G21" s="602">
        <f t="shared" si="0"/>
        <v>0</v>
      </c>
    </row>
    <row r="22" spans="1:7" s="592" customFormat="1" ht="27.75" hidden="1" customHeight="1">
      <c r="A22" s="597"/>
      <c r="B22" s="605"/>
      <c r="C22" s="606"/>
      <c r="D22" s="607"/>
      <c r="E22" s="600"/>
      <c r="F22" s="608"/>
      <c r="G22" s="602">
        <f t="shared" si="0"/>
        <v>0</v>
      </c>
    </row>
    <row r="23" spans="1:7" s="592" customFormat="1" ht="27.75" hidden="1" customHeight="1">
      <c r="A23" s="597"/>
      <c r="B23" s="605"/>
      <c r="C23" s="606"/>
      <c r="D23" s="607"/>
      <c r="E23" s="600"/>
      <c r="F23" s="608"/>
      <c r="G23" s="602">
        <f t="shared" si="0"/>
        <v>0</v>
      </c>
    </row>
    <row r="24" spans="1:7" s="592" customFormat="1" ht="27.75" hidden="1" customHeight="1">
      <c r="A24" s="597"/>
      <c r="B24" s="605"/>
      <c r="C24" s="606"/>
      <c r="D24" s="607"/>
      <c r="E24" s="600"/>
      <c r="F24" s="608"/>
      <c r="G24" s="602">
        <f t="shared" si="0"/>
        <v>0</v>
      </c>
    </row>
    <row r="25" spans="1:7" s="592" customFormat="1" ht="27.75" hidden="1" customHeight="1">
      <c r="A25" s="597"/>
      <c r="B25" s="605"/>
      <c r="C25" s="606"/>
      <c r="D25" s="607"/>
      <c r="E25" s="600"/>
      <c r="F25" s="608"/>
      <c r="G25" s="602">
        <f t="shared" si="0"/>
        <v>0</v>
      </c>
    </row>
    <row r="26" spans="1:7" s="592" customFormat="1" ht="27.75" hidden="1" customHeight="1">
      <c r="A26" s="597"/>
      <c r="B26" s="605"/>
      <c r="C26" s="606"/>
      <c r="D26" s="607"/>
      <c r="E26" s="600"/>
      <c r="F26" s="608"/>
      <c r="G26" s="602">
        <f t="shared" si="0"/>
        <v>0</v>
      </c>
    </row>
    <row r="27" spans="1:7" s="592" customFormat="1" ht="27.75" hidden="1" customHeight="1">
      <c r="A27" s="597"/>
      <c r="B27" s="605"/>
      <c r="C27" s="606"/>
      <c r="D27" s="607"/>
      <c r="E27" s="600"/>
      <c r="F27" s="608"/>
      <c r="G27" s="602">
        <f t="shared" si="0"/>
        <v>0</v>
      </c>
    </row>
    <row r="28" spans="1:7" s="592" customFormat="1" ht="27.75" hidden="1" customHeight="1">
      <c r="A28" s="597"/>
      <c r="B28" s="605"/>
      <c r="C28" s="606"/>
      <c r="D28" s="607"/>
      <c r="E28" s="600"/>
      <c r="F28" s="608"/>
      <c r="G28" s="602">
        <f t="shared" si="0"/>
        <v>0</v>
      </c>
    </row>
    <row r="29" spans="1:7" s="592" customFormat="1" ht="27.75" hidden="1" customHeight="1">
      <c r="A29" s="597"/>
      <c r="B29" s="605"/>
      <c r="C29" s="606"/>
      <c r="D29" s="607"/>
      <c r="E29" s="600"/>
      <c r="F29" s="608"/>
      <c r="G29" s="602">
        <f t="shared" si="0"/>
        <v>0</v>
      </c>
    </row>
    <row r="30" spans="1:7" s="592" customFormat="1" ht="20.100000000000001" customHeight="1">
      <c r="A30" s="2096" t="s">
        <v>529</v>
      </c>
      <c r="B30" s="2097"/>
      <c r="C30" s="2097"/>
      <c r="D30" s="2097"/>
      <c r="E30" s="2097"/>
      <c r="F30" s="2097"/>
      <c r="G30" s="604">
        <f>SUM(G18:G29)</f>
        <v>0</v>
      </c>
    </row>
    <row r="31" spans="1:7" s="592" customFormat="1" ht="20.100000000000001" customHeight="1">
      <c r="A31" s="2101" t="s">
        <v>696</v>
      </c>
      <c r="B31" s="2102"/>
      <c r="C31" s="2102"/>
      <c r="D31" s="2102"/>
      <c r="E31" s="2102"/>
      <c r="F31" s="2102"/>
      <c r="G31" s="2103"/>
    </row>
    <row r="32" spans="1:7" s="592" customFormat="1" ht="20.100000000000001" customHeight="1">
      <c r="A32" s="597">
        <v>1</v>
      </c>
      <c r="B32" s="605">
        <v>20174</v>
      </c>
      <c r="C32" s="609" t="s">
        <v>697</v>
      </c>
      <c r="D32" s="607" t="s">
        <v>0</v>
      </c>
      <c r="E32" s="608">
        <v>3.28</v>
      </c>
      <c r="F32" s="608">
        <v>126.85</v>
      </c>
      <c r="G32" s="602">
        <f>E32*F32</f>
        <v>416.07</v>
      </c>
    </row>
    <row r="33" spans="1:8" s="592" customFormat="1" ht="20.100000000000001" customHeight="1">
      <c r="A33" s="597">
        <f t="shared" ref="A33:A38" si="1">A32+1</f>
        <v>2</v>
      </c>
      <c r="B33" s="605">
        <v>50681</v>
      </c>
      <c r="C33" s="609" t="s">
        <v>698</v>
      </c>
      <c r="D33" s="607" t="s">
        <v>0</v>
      </c>
      <c r="E33" s="608">
        <f>0.49/2</f>
        <v>0.25</v>
      </c>
      <c r="F33" s="608">
        <v>3635.61</v>
      </c>
      <c r="G33" s="602">
        <f t="shared" ref="G33:G46" si="2">E33*F33</f>
        <v>908.9</v>
      </c>
    </row>
    <row r="34" spans="1:8" s="592" customFormat="1" ht="20.100000000000001" customHeight="1">
      <c r="A34" s="597">
        <f t="shared" si="1"/>
        <v>3</v>
      </c>
      <c r="B34" s="605">
        <v>30010</v>
      </c>
      <c r="C34" s="609" t="s">
        <v>699</v>
      </c>
      <c r="D34" s="607" t="s">
        <v>0</v>
      </c>
      <c r="E34" s="608">
        <f>3.6/2</f>
        <v>1.8</v>
      </c>
      <c r="F34" s="608">
        <v>79.760000000000005</v>
      </c>
      <c r="G34" s="602">
        <f t="shared" si="2"/>
        <v>143.57</v>
      </c>
    </row>
    <row r="35" spans="1:8" s="592" customFormat="1" ht="20.100000000000001" customHeight="1">
      <c r="A35" s="597">
        <f t="shared" si="1"/>
        <v>4</v>
      </c>
      <c r="B35" s="605">
        <v>30254</v>
      </c>
      <c r="C35" s="609" t="s">
        <v>700</v>
      </c>
      <c r="D35" s="607" t="s">
        <v>0</v>
      </c>
      <c r="E35" s="608">
        <f>1.08/2</f>
        <v>0.54</v>
      </c>
      <c r="F35" s="608">
        <v>16.100000000000001</v>
      </c>
      <c r="G35" s="602">
        <f t="shared" si="2"/>
        <v>8.69</v>
      </c>
    </row>
    <row r="36" spans="1:8" s="592" customFormat="1" ht="20.100000000000001" customHeight="1">
      <c r="A36" s="597">
        <f t="shared" si="1"/>
        <v>5</v>
      </c>
      <c r="B36" s="605">
        <v>60045</v>
      </c>
      <c r="C36" s="609" t="s">
        <v>701</v>
      </c>
      <c r="D36" s="607" t="s">
        <v>2</v>
      </c>
      <c r="E36" s="608">
        <f>7.2/2</f>
        <v>3.6</v>
      </c>
      <c r="F36" s="608">
        <v>135.19</v>
      </c>
      <c r="G36" s="602">
        <f t="shared" si="2"/>
        <v>486.68</v>
      </c>
    </row>
    <row r="37" spans="1:8" s="592" customFormat="1" ht="20.100000000000001" customHeight="1">
      <c r="A37" s="597">
        <f t="shared" si="1"/>
        <v>6</v>
      </c>
      <c r="B37" s="605" t="s">
        <v>702</v>
      </c>
      <c r="C37" s="609" t="s">
        <v>703</v>
      </c>
      <c r="D37" s="607" t="s">
        <v>704</v>
      </c>
      <c r="E37" s="608"/>
      <c r="F37" s="608">
        <v>558.86</v>
      </c>
      <c r="G37" s="602">
        <f t="shared" si="2"/>
        <v>0</v>
      </c>
    </row>
    <row r="38" spans="1:8" s="592" customFormat="1" ht="20.100000000000001" customHeight="1">
      <c r="A38" s="597">
        <f t="shared" si="1"/>
        <v>7</v>
      </c>
      <c r="B38" s="605">
        <v>11296</v>
      </c>
      <c r="C38" s="609" t="s">
        <v>3485</v>
      </c>
      <c r="D38" s="607" t="s">
        <v>704</v>
      </c>
      <c r="E38" s="608">
        <v>1</v>
      </c>
      <c r="F38" s="608">
        <v>2552.25</v>
      </c>
      <c r="G38" s="602">
        <f t="shared" si="2"/>
        <v>2552.25</v>
      </c>
    </row>
    <row r="39" spans="1:8" s="592" customFormat="1" ht="20.100000000000001" customHeight="1">
      <c r="A39" s="597"/>
      <c r="B39" s="605"/>
      <c r="C39" s="609"/>
      <c r="D39" s="607"/>
      <c r="E39" s="608"/>
      <c r="F39" s="608"/>
      <c r="G39" s="602">
        <f t="shared" si="2"/>
        <v>0</v>
      </c>
    </row>
    <row r="40" spans="1:8" s="592" customFormat="1" ht="20.100000000000001" customHeight="1">
      <c r="A40" s="597"/>
      <c r="B40" s="605"/>
      <c r="C40" s="609"/>
      <c r="D40" s="607"/>
      <c r="E40" s="608"/>
      <c r="F40" s="608"/>
      <c r="G40" s="602">
        <f t="shared" si="2"/>
        <v>0</v>
      </c>
    </row>
    <row r="41" spans="1:8" s="592" customFormat="1" ht="20.100000000000001" customHeight="1">
      <c r="A41" s="597"/>
      <c r="B41" s="605"/>
      <c r="C41" s="609"/>
      <c r="D41" s="607"/>
      <c r="E41" s="608"/>
      <c r="F41" s="608"/>
      <c r="G41" s="602">
        <f t="shared" si="2"/>
        <v>0</v>
      </c>
    </row>
    <row r="42" spans="1:8" s="592" customFormat="1" ht="20.100000000000001" customHeight="1">
      <c r="A42" s="597"/>
      <c r="B42" s="605"/>
      <c r="C42" s="609"/>
      <c r="D42" s="607"/>
      <c r="E42" s="608"/>
      <c r="F42" s="608"/>
      <c r="G42" s="602">
        <f t="shared" si="2"/>
        <v>0</v>
      </c>
    </row>
    <row r="43" spans="1:8" s="592" customFormat="1" ht="20.100000000000001" customHeight="1">
      <c r="A43" s="597"/>
      <c r="B43" s="605"/>
      <c r="C43" s="609"/>
      <c r="D43" s="607"/>
      <c r="E43" s="608"/>
      <c r="F43" s="608"/>
      <c r="G43" s="602">
        <f t="shared" si="2"/>
        <v>0</v>
      </c>
    </row>
    <row r="44" spans="1:8" s="592" customFormat="1" ht="20.100000000000001" customHeight="1">
      <c r="A44" s="597"/>
      <c r="B44" s="605"/>
      <c r="C44" s="609"/>
      <c r="D44" s="607"/>
      <c r="E44" s="608"/>
      <c r="F44" s="608"/>
      <c r="G44" s="602">
        <f t="shared" si="2"/>
        <v>0</v>
      </c>
    </row>
    <row r="45" spans="1:8" s="592" customFormat="1" ht="20.100000000000001" customHeight="1">
      <c r="A45" s="597"/>
      <c r="B45" s="605"/>
      <c r="C45" s="609"/>
      <c r="D45" s="607"/>
      <c r="E45" s="608"/>
      <c r="F45" s="608"/>
      <c r="G45" s="602">
        <f t="shared" si="2"/>
        <v>0</v>
      </c>
    </row>
    <row r="46" spans="1:8" s="592" customFormat="1" ht="20.100000000000001" customHeight="1">
      <c r="A46" s="597"/>
      <c r="B46" s="605"/>
      <c r="C46" s="609"/>
      <c r="D46" s="607"/>
      <c r="E46" s="608"/>
      <c r="F46" s="608"/>
      <c r="G46" s="602">
        <f t="shared" si="2"/>
        <v>0</v>
      </c>
    </row>
    <row r="47" spans="1:8" s="592" customFormat="1" ht="20.100000000000001" customHeight="1">
      <c r="A47" s="2096" t="s">
        <v>530</v>
      </c>
      <c r="B47" s="2097"/>
      <c r="C47" s="2097"/>
      <c r="D47" s="2097"/>
      <c r="E47" s="2097"/>
      <c r="F47" s="2097"/>
      <c r="G47" s="604">
        <f>SUM(G32:G46)</f>
        <v>4516.16</v>
      </c>
    </row>
    <row r="48" spans="1:8" s="596" customFormat="1" ht="20.100000000000001" customHeight="1">
      <c r="A48" s="1955" t="s">
        <v>47</v>
      </c>
      <c r="B48" s="1956"/>
      <c r="C48" s="1956"/>
      <c r="D48" s="1956"/>
      <c r="E48" s="1956"/>
      <c r="F48" s="1956"/>
      <c r="G48" s="1957"/>
      <c r="H48" s="595"/>
    </row>
    <row r="49" spans="1:8" s="596" customFormat="1" ht="20.100000000000001" customHeight="1">
      <c r="A49" s="156" t="s">
        <v>33</v>
      </c>
      <c r="B49" s="157"/>
      <c r="C49" s="157" t="s">
        <v>48</v>
      </c>
      <c r="D49" s="1958" t="s">
        <v>658</v>
      </c>
      <c r="E49" s="1959"/>
      <c r="F49" s="1959"/>
      <c r="G49" s="1960"/>
      <c r="H49" s="595"/>
    </row>
    <row r="50" spans="1:8" s="596" customFormat="1" ht="20.100000000000001" customHeight="1">
      <c r="A50" s="156" t="s">
        <v>49</v>
      </c>
      <c r="B50" s="157"/>
      <c r="C50" s="157" t="s">
        <v>50</v>
      </c>
      <c r="D50" s="1943" t="s">
        <v>51</v>
      </c>
      <c r="E50" s="1943"/>
      <c r="F50" s="1943"/>
      <c r="G50" s="158">
        <f>G16</f>
        <v>155.13</v>
      </c>
      <c r="H50" s="595"/>
    </row>
    <row r="51" spans="1:8" s="596" customFormat="1" ht="20.100000000000001" customHeight="1">
      <c r="A51" s="156" t="s">
        <v>52</v>
      </c>
      <c r="B51" s="157"/>
      <c r="C51" s="157" t="s">
        <v>53</v>
      </c>
      <c r="D51" s="1943" t="s">
        <v>54</v>
      </c>
      <c r="E51" s="1943"/>
      <c r="F51" s="1943"/>
      <c r="G51" s="158">
        <f>G30</f>
        <v>0</v>
      </c>
      <c r="H51" s="595"/>
    </row>
    <row r="52" spans="1:8" s="596" customFormat="1" ht="20.100000000000001" customHeight="1">
      <c r="A52" s="156" t="s">
        <v>14</v>
      </c>
      <c r="B52" s="157"/>
      <c r="C52" s="157" t="s">
        <v>55</v>
      </c>
      <c r="D52" s="1943" t="s">
        <v>56</v>
      </c>
      <c r="E52" s="1943"/>
      <c r="F52" s="1943"/>
      <c r="G52" s="158">
        <f>G47</f>
        <v>4516.16</v>
      </c>
      <c r="H52" s="595"/>
    </row>
    <row r="53" spans="1:8" s="596" customFormat="1" ht="20.100000000000001" customHeight="1">
      <c r="A53" s="156" t="s">
        <v>7</v>
      </c>
      <c r="B53" s="157"/>
      <c r="C53" s="545" t="s">
        <v>57</v>
      </c>
      <c r="D53" s="1944" t="s">
        <v>58</v>
      </c>
      <c r="E53" s="1944"/>
      <c r="F53" s="1944"/>
      <c r="G53" s="546">
        <f>G50+G51+G52</f>
        <v>4671.29</v>
      </c>
      <c r="H53" s="595"/>
    </row>
    <row r="54" spans="1:8" s="596" customFormat="1" ht="20.100000000000001" customHeight="1">
      <c r="A54" s="156"/>
      <c r="B54" s="157"/>
      <c r="C54" s="545"/>
      <c r="D54" s="1945" t="s">
        <v>196</v>
      </c>
      <c r="E54" s="1946"/>
      <c r="F54" s="547">
        <v>0.27460000000000001</v>
      </c>
      <c r="G54" s="159">
        <f>G53*F54</f>
        <v>1282.74</v>
      </c>
      <c r="H54" s="595"/>
    </row>
    <row r="55" spans="1:8" s="596" customFormat="1" ht="20.100000000000001" customHeight="1" thickBot="1">
      <c r="A55" s="1947" t="s">
        <v>60</v>
      </c>
      <c r="B55" s="1948"/>
      <c r="C55" s="1948"/>
      <c r="D55" s="1948"/>
      <c r="E55" s="1948"/>
      <c r="F55" s="1949"/>
      <c r="G55" s="160">
        <f>G53+G54</f>
        <v>5954.03</v>
      </c>
      <c r="H55" s="595"/>
    </row>
    <row r="56" spans="1:8" s="592" customFormat="1" ht="20.100000000000001" customHeight="1">
      <c r="A56" s="610"/>
      <c r="B56" s="611"/>
      <c r="C56" s="611"/>
      <c r="D56" s="612"/>
      <c r="E56" s="611"/>
      <c r="F56" s="611"/>
      <c r="G56" s="613"/>
    </row>
  </sheetData>
  <mergeCells count="23">
    <mergeCell ref="D51:F51"/>
    <mergeCell ref="D52:F52"/>
    <mergeCell ref="D53:F53"/>
    <mergeCell ref="D54:E54"/>
    <mergeCell ref="A55:F55"/>
    <mergeCell ref="B8:G8"/>
    <mergeCell ref="D50:F50"/>
    <mergeCell ref="C9:F9"/>
    <mergeCell ref="C10:F10"/>
    <mergeCell ref="A11:G11"/>
    <mergeCell ref="A13:G13"/>
    <mergeCell ref="A16:F16"/>
    <mergeCell ref="A17:G17"/>
    <mergeCell ref="A30:F30"/>
    <mergeCell ref="A31:G31"/>
    <mergeCell ref="A47:F47"/>
    <mergeCell ref="A48:G48"/>
    <mergeCell ref="D49:G49"/>
    <mergeCell ref="B1:G1"/>
    <mergeCell ref="A3:G3"/>
    <mergeCell ref="A4:G4"/>
    <mergeCell ref="A5:G5"/>
    <mergeCell ref="B7:G7"/>
  </mergeCells>
  <pageMargins left="0.511811024" right="0.511811024" top="0.78740157499999996" bottom="0.78740157499999996" header="0.31496062000000002" footer="0.31496062000000002"/>
  <pageSetup paperSize="9" scale="7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ilha21">
    <tabColor theme="7" tint="0.39997558519241921"/>
  </sheetPr>
  <dimension ref="A1:H60"/>
  <sheetViews>
    <sheetView view="pageBreakPreview" zoomScaleNormal="100" zoomScaleSheetLayoutView="100" workbookViewId="0">
      <selection activeCell="D2" sqref="D2"/>
    </sheetView>
  </sheetViews>
  <sheetFormatPr defaultColWidth="9.140625" defaultRowHeight="14.25"/>
  <cols>
    <col min="1" max="2" width="10.7109375" style="614" customWidth="1"/>
    <col min="3" max="3" width="40.7109375" style="614" customWidth="1"/>
    <col min="4" max="4" width="10.7109375" style="614" customWidth="1"/>
    <col min="5" max="7" width="14.7109375" style="614" customWidth="1"/>
    <col min="8" max="16384" width="9.140625" style="614"/>
  </cols>
  <sheetData>
    <row r="1" spans="1:8" s="232" customFormat="1" ht="15" customHeight="1">
      <c r="A1" s="231"/>
      <c r="B1" s="2035"/>
      <c r="C1" s="2035"/>
      <c r="D1" s="2035"/>
      <c r="E1" s="2035"/>
      <c r="F1" s="2035"/>
      <c r="G1" s="2036"/>
    </row>
    <row r="2" spans="1:8" s="232" customFormat="1" ht="45.75" customHeight="1">
      <c r="A2" s="236"/>
      <c r="B2" s="529"/>
      <c r="C2" s="529"/>
      <c r="D2" s="529"/>
      <c r="E2" s="529"/>
      <c r="F2" s="529"/>
      <c r="G2" s="522"/>
    </row>
    <row r="3" spans="1:8" s="232" customFormat="1" ht="15" customHeight="1">
      <c r="A3" s="1977" t="s">
        <v>17</v>
      </c>
      <c r="B3" s="1978"/>
      <c r="C3" s="1978"/>
      <c r="D3" s="1978"/>
      <c r="E3" s="1978"/>
      <c r="F3" s="1978"/>
      <c r="G3" s="1979"/>
    </row>
    <row r="4" spans="1:8" s="232" customFormat="1" ht="15" customHeight="1">
      <c r="A4" s="1940" t="s">
        <v>185</v>
      </c>
      <c r="B4" s="1941"/>
      <c r="C4" s="1941"/>
      <c r="D4" s="1941"/>
      <c r="E4" s="1941"/>
      <c r="F4" s="1941"/>
      <c r="G4" s="1942"/>
    </row>
    <row r="5" spans="1:8" s="232" customFormat="1" ht="15" customHeight="1">
      <c r="A5" s="1940" t="s">
        <v>16</v>
      </c>
      <c r="B5" s="1941"/>
      <c r="C5" s="1941"/>
      <c r="D5" s="1941"/>
      <c r="E5" s="1941"/>
      <c r="F5" s="1941"/>
      <c r="G5" s="1942"/>
    </row>
    <row r="6" spans="1:8" s="232" customFormat="1" ht="15" customHeight="1">
      <c r="A6" s="523"/>
      <c r="B6" s="530"/>
      <c r="C6" s="530"/>
      <c r="D6" s="530"/>
      <c r="E6" s="530"/>
      <c r="F6" s="530"/>
      <c r="G6" s="524"/>
    </row>
    <row r="7" spans="1:8" s="592" customFormat="1" ht="15" customHeight="1">
      <c r="A7" s="591" t="s">
        <v>654</v>
      </c>
      <c r="B7" s="2087" t="s">
        <v>3494</v>
      </c>
      <c r="C7" s="2088"/>
      <c r="D7" s="2088"/>
      <c r="E7" s="2088"/>
      <c r="F7" s="2088"/>
      <c r="G7" s="2089"/>
    </row>
    <row r="8" spans="1:8" s="232" customFormat="1" ht="15" customHeight="1" thickBot="1">
      <c r="A8" s="233"/>
      <c r="B8" s="1983"/>
      <c r="C8" s="1983"/>
      <c r="D8" s="1983"/>
      <c r="E8" s="1983"/>
      <c r="F8" s="1983"/>
      <c r="G8" s="1984"/>
    </row>
    <row r="9" spans="1:8" s="592" customFormat="1" ht="24" customHeight="1" thickTop="1">
      <c r="A9" s="525" t="s">
        <v>183</v>
      </c>
      <c r="B9" s="593" t="s">
        <v>705</v>
      </c>
      <c r="C9" s="1974" t="s">
        <v>656</v>
      </c>
      <c r="D9" s="1975"/>
      <c r="E9" s="1975"/>
      <c r="F9" s="1976"/>
      <c r="G9" s="308" t="s">
        <v>531</v>
      </c>
    </row>
    <row r="10" spans="1:8" s="592" customFormat="1" ht="29.25" customHeight="1" thickBot="1">
      <c r="A10" s="526" t="s">
        <v>706</v>
      </c>
      <c r="B10" s="594">
        <v>97956</v>
      </c>
      <c r="C10" s="1962" t="str">
        <f>[66]ORÇAMENTO!F105</f>
        <v>Recuperação de BL´s simples</v>
      </c>
      <c r="D10" s="1963"/>
      <c r="E10" s="1963"/>
      <c r="F10" s="1964"/>
      <c r="G10" s="155" t="s">
        <v>694</v>
      </c>
    </row>
    <row r="11" spans="1:8" s="592" customFormat="1" ht="12.75" customHeight="1" thickTop="1">
      <c r="A11" s="2090"/>
      <c r="B11" s="2091"/>
      <c r="C11" s="2091"/>
      <c r="D11" s="2091"/>
      <c r="E11" s="2091"/>
      <c r="F11" s="2091"/>
      <c r="G11" s="2092"/>
    </row>
    <row r="12" spans="1:8" s="596" customFormat="1" ht="20.100000000000001" customHeight="1">
      <c r="A12" s="241" t="s">
        <v>33</v>
      </c>
      <c r="B12" s="242" t="s">
        <v>252</v>
      </c>
      <c r="C12" s="243" t="s">
        <v>652</v>
      </c>
      <c r="D12" s="242" t="s">
        <v>35</v>
      </c>
      <c r="E12" s="243" t="s">
        <v>149</v>
      </c>
      <c r="F12" s="244" t="s">
        <v>36</v>
      </c>
      <c r="G12" s="245" t="s">
        <v>657</v>
      </c>
      <c r="H12" s="595"/>
    </row>
    <row r="13" spans="1:8" s="592" customFormat="1" ht="20.100000000000001" customHeight="1">
      <c r="A13" s="2093" t="s">
        <v>32</v>
      </c>
      <c r="B13" s="2094"/>
      <c r="C13" s="2094"/>
      <c r="D13" s="2094"/>
      <c r="E13" s="2094"/>
      <c r="F13" s="2094"/>
      <c r="G13" s="2095"/>
    </row>
    <row r="14" spans="1:8" s="592" customFormat="1" ht="20.100000000000001" customHeight="1">
      <c r="A14" s="597">
        <v>1</v>
      </c>
      <c r="B14" s="598">
        <v>88309</v>
      </c>
      <c r="C14" s="599" t="s">
        <v>264</v>
      </c>
      <c r="D14" s="598" t="s">
        <v>222</v>
      </c>
      <c r="E14" s="615">
        <v>9.5631000000000004</v>
      </c>
      <c r="F14" s="601">
        <v>24.72</v>
      </c>
      <c r="G14" s="602">
        <f>E14*F14</f>
        <v>236.4</v>
      </c>
    </row>
    <row r="15" spans="1:8" s="592" customFormat="1" ht="20.100000000000001" customHeight="1">
      <c r="A15" s="597">
        <v>2</v>
      </c>
      <c r="B15" s="598">
        <v>88316</v>
      </c>
      <c r="C15" s="599" t="s">
        <v>187</v>
      </c>
      <c r="D15" s="598" t="s">
        <v>222</v>
      </c>
      <c r="E15" s="615">
        <v>7.5138999999999996</v>
      </c>
      <c r="F15" s="601">
        <v>19.940000000000001</v>
      </c>
      <c r="G15" s="602">
        <f>E15*F15</f>
        <v>149.83000000000001</v>
      </c>
    </row>
    <row r="16" spans="1:8" s="592" customFormat="1" ht="20.100000000000001" customHeight="1">
      <c r="A16" s="2096" t="s">
        <v>528</v>
      </c>
      <c r="B16" s="2097"/>
      <c r="C16" s="2097"/>
      <c r="D16" s="2097"/>
      <c r="E16" s="2097"/>
      <c r="F16" s="2097"/>
      <c r="G16" s="604">
        <f>SUM(G14:G15)</f>
        <v>386.23</v>
      </c>
    </row>
    <row r="17" spans="1:7" s="592" customFormat="1" ht="20.100000000000001" customHeight="1">
      <c r="A17" s="2098" t="s">
        <v>43</v>
      </c>
      <c r="B17" s="2099"/>
      <c r="C17" s="2099"/>
      <c r="D17" s="2099"/>
      <c r="E17" s="2099"/>
      <c r="F17" s="2099"/>
      <c r="G17" s="2100"/>
    </row>
    <row r="18" spans="1:7" s="592" customFormat="1" ht="96">
      <c r="A18" s="597">
        <v>1</v>
      </c>
      <c r="B18" s="605">
        <v>5678</v>
      </c>
      <c r="C18" s="606" t="s">
        <v>707</v>
      </c>
      <c r="D18" s="607" t="s">
        <v>172</v>
      </c>
      <c r="E18" s="616">
        <v>3.1300000000000001E-2</v>
      </c>
      <c r="F18" s="600">
        <v>150.97999999999999</v>
      </c>
      <c r="G18" s="602">
        <f t="shared" ref="G18:G29" si="0">E18*F18</f>
        <v>4.7300000000000004</v>
      </c>
    </row>
    <row r="19" spans="1:7" s="592" customFormat="1" ht="27.75" customHeight="1">
      <c r="A19" s="597"/>
      <c r="B19" s="605">
        <v>5679</v>
      </c>
      <c r="C19" s="606" t="s">
        <v>707</v>
      </c>
      <c r="D19" s="607" t="s">
        <v>174</v>
      </c>
      <c r="E19" s="616">
        <v>6.4000000000000001E-2</v>
      </c>
      <c r="F19" s="608">
        <v>62.76</v>
      </c>
      <c r="G19" s="602">
        <f t="shared" si="0"/>
        <v>4.0199999999999996</v>
      </c>
    </row>
    <row r="20" spans="1:7" s="592" customFormat="1" ht="27.75" hidden="1" customHeight="1">
      <c r="A20" s="597"/>
      <c r="B20" s="605"/>
      <c r="C20" s="606"/>
      <c r="D20" s="607"/>
      <c r="E20" s="600"/>
      <c r="F20" s="608"/>
      <c r="G20" s="602">
        <f t="shared" si="0"/>
        <v>0</v>
      </c>
    </row>
    <row r="21" spans="1:7" s="592" customFormat="1" ht="27.75" hidden="1" customHeight="1">
      <c r="A21" s="597"/>
      <c r="B21" s="605"/>
      <c r="C21" s="606"/>
      <c r="D21" s="607"/>
      <c r="E21" s="600"/>
      <c r="F21" s="608"/>
      <c r="G21" s="602">
        <f t="shared" si="0"/>
        <v>0</v>
      </c>
    </row>
    <row r="22" spans="1:7" s="592" customFormat="1" ht="27.75" hidden="1" customHeight="1">
      <c r="A22" s="597"/>
      <c r="B22" s="605"/>
      <c r="C22" s="606"/>
      <c r="D22" s="607"/>
      <c r="E22" s="600"/>
      <c r="F22" s="608"/>
      <c r="G22" s="602">
        <f t="shared" si="0"/>
        <v>0</v>
      </c>
    </row>
    <row r="23" spans="1:7" s="592" customFormat="1" ht="27.75" hidden="1" customHeight="1">
      <c r="A23" s="597"/>
      <c r="B23" s="605"/>
      <c r="C23" s="606"/>
      <c r="D23" s="607"/>
      <c r="E23" s="600"/>
      <c r="F23" s="608"/>
      <c r="G23" s="602">
        <f t="shared" si="0"/>
        <v>0</v>
      </c>
    </row>
    <row r="24" spans="1:7" s="592" customFormat="1" ht="27.75" hidden="1" customHeight="1">
      <c r="A24" s="597"/>
      <c r="B24" s="605"/>
      <c r="C24" s="606"/>
      <c r="D24" s="607"/>
      <c r="E24" s="600"/>
      <c r="F24" s="608"/>
      <c r="G24" s="602">
        <f t="shared" si="0"/>
        <v>0</v>
      </c>
    </row>
    <row r="25" spans="1:7" s="592" customFormat="1" ht="27.75" hidden="1" customHeight="1">
      <c r="A25" s="597"/>
      <c r="B25" s="605"/>
      <c r="C25" s="606"/>
      <c r="D25" s="607"/>
      <c r="E25" s="600"/>
      <c r="F25" s="608"/>
      <c r="G25" s="602">
        <f t="shared" si="0"/>
        <v>0</v>
      </c>
    </row>
    <row r="26" spans="1:7" s="592" customFormat="1" ht="27.75" hidden="1" customHeight="1">
      <c r="A26" s="597"/>
      <c r="B26" s="605"/>
      <c r="C26" s="606"/>
      <c r="D26" s="607"/>
      <c r="E26" s="600"/>
      <c r="F26" s="608"/>
      <c r="G26" s="602">
        <f t="shared" si="0"/>
        <v>0</v>
      </c>
    </row>
    <row r="27" spans="1:7" s="592" customFormat="1" ht="27.75" hidden="1" customHeight="1">
      <c r="A27" s="597"/>
      <c r="B27" s="605"/>
      <c r="C27" s="606"/>
      <c r="D27" s="607"/>
      <c r="E27" s="600"/>
      <c r="F27" s="608"/>
      <c r="G27" s="602">
        <f t="shared" si="0"/>
        <v>0</v>
      </c>
    </row>
    <row r="28" spans="1:7" s="592" customFormat="1" ht="27.75" hidden="1" customHeight="1">
      <c r="A28" s="597"/>
      <c r="B28" s="605"/>
      <c r="C28" s="606"/>
      <c r="D28" s="607"/>
      <c r="E28" s="600"/>
      <c r="F28" s="608"/>
      <c r="G28" s="602">
        <f t="shared" si="0"/>
        <v>0</v>
      </c>
    </row>
    <row r="29" spans="1:7" s="592" customFormat="1" ht="27.75" hidden="1" customHeight="1">
      <c r="A29" s="597"/>
      <c r="B29" s="605"/>
      <c r="C29" s="606"/>
      <c r="D29" s="607"/>
      <c r="E29" s="600"/>
      <c r="F29" s="608"/>
      <c r="G29" s="602">
        <f t="shared" si="0"/>
        <v>0</v>
      </c>
    </row>
    <row r="30" spans="1:7" s="592" customFormat="1" ht="20.100000000000001" customHeight="1">
      <c r="A30" s="2096" t="s">
        <v>529</v>
      </c>
      <c r="B30" s="2097"/>
      <c r="C30" s="2097"/>
      <c r="D30" s="2097"/>
      <c r="E30" s="2097"/>
      <c r="F30" s="2097"/>
      <c r="G30" s="604">
        <f>SUM(G18:G29)</f>
        <v>8.75</v>
      </c>
    </row>
    <row r="31" spans="1:7" s="592" customFormat="1" ht="20.100000000000001" customHeight="1">
      <c r="A31" s="2101" t="s">
        <v>696</v>
      </c>
      <c r="B31" s="2102"/>
      <c r="C31" s="2102"/>
      <c r="D31" s="2102"/>
      <c r="E31" s="2102"/>
      <c r="F31" s="2102"/>
      <c r="G31" s="2103"/>
    </row>
    <row r="32" spans="1:7" s="592" customFormat="1" ht="24">
      <c r="A32" s="597">
        <v>1</v>
      </c>
      <c r="B32" s="605">
        <v>660</v>
      </c>
      <c r="C32" s="609" t="s">
        <v>708</v>
      </c>
      <c r="D32" s="607" t="s">
        <v>694</v>
      </c>
      <c r="E32" s="608">
        <v>21</v>
      </c>
      <c r="F32" s="608">
        <v>3.38</v>
      </c>
      <c r="G32" s="602">
        <f>E32*F32</f>
        <v>70.98</v>
      </c>
    </row>
    <row r="33" spans="1:7" s="592" customFormat="1" ht="24">
      <c r="A33" s="597">
        <f>A32+1</f>
        <v>2</v>
      </c>
      <c r="B33" s="605">
        <v>2692</v>
      </c>
      <c r="C33" s="609" t="s">
        <v>709</v>
      </c>
      <c r="D33" s="607" t="s">
        <v>173</v>
      </c>
      <c r="E33" s="617">
        <v>8.2000000000000007E-3</v>
      </c>
      <c r="F33" s="608">
        <v>8.3000000000000007</v>
      </c>
      <c r="G33" s="602">
        <f t="shared" ref="G33:G50" si="1">E33*F33</f>
        <v>7.0000000000000007E-2</v>
      </c>
    </row>
    <row r="34" spans="1:7" s="592" customFormat="1" ht="24">
      <c r="A34" s="597">
        <f t="shared" ref="A34:A48" si="2">A33+1</f>
        <v>3</v>
      </c>
      <c r="B34" s="605">
        <v>4491</v>
      </c>
      <c r="C34" s="609" t="s">
        <v>710</v>
      </c>
      <c r="D34" s="607" t="s">
        <v>469</v>
      </c>
      <c r="E34" s="618">
        <v>0.17760000000000001</v>
      </c>
      <c r="F34" s="608">
        <v>10.27</v>
      </c>
      <c r="G34" s="602">
        <f t="shared" si="1"/>
        <v>1.82</v>
      </c>
    </row>
    <row r="35" spans="1:7" s="592" customFormat="1" ht="24">
      <c r="A35" s="597">
        <f t="shared" si="2"/>
        <v>4</v>
      </c>
      <c r="B35" s="605">
        <v>4517</v>
      </c>
      <c r="C35" s="609" t="s">
        <v>711</v>
      </c>
      <c r="D35" s="607" t="s">
        <v>469</v>
      </c>
      <c r="E35" s="619">
        <v>0.2112</v>
      </c>
      <c r="F35" s="608">
        <v>3.59</v>
      </c>
      <c r="G35" s="602">
        <f t="shared" si="1"/>
        <v>0.76</v>
      </c>
    </row>
    <row r="36" spans="1:7" s="592" customFormat="1" ht="24">
      <c r="A36" s="597">
        <f t="shared" si="2"/>
        <v>5</v>
      </c>
      <c r="B36" s="605">
        <v>5069</v>
      </c>
      <c r="C36" s="609" t="s">
        <v>712</v>
      </c>
      <c r="D36" s="607" t="s">
        <v>271</v>
      </c>
      <c r="E36" s="619">
        <v>1.8700000000000001E-2</v>
      </c>
      <c r="F36" s="608">
        <v>18.239999999999998</v>
      </c>
      <c r="G36" s="602">
        <f t="shared" si="1"/>
        <v>0.34</v>
      </c>
    </row>
    <row r="37" spans="1:7" s="592" customFormat="1" ht="36">
      <c r="A37" s="597">
        <f t="shared" si="2"/>
        <v>6</v>
      </c>
      <c r="B37" s="605">
        <v>6193</v>
      </c>
      <c r="C37" s="609" t="s">
        <v>713</v>
      </c>
      <c r="D37" s="607" t="s">
        <v>714</v>
      </c>
      <c r="E37" s="620">
        <v>0.66239999999999999</v>
      </c>
      <c r="F37" s="608">
        <v>16.95</v>
      </c>
      <c r="G37" s="602">
        <f t="shared" si="1"/>
        <v>11.23</v>
      </c>
    </row>
    <row r="38" spans="1:7" s="592" customFormat="1" ht="24">
      <c r="A38" s="597">
        <f>A37+1</f>
        <v>7</v>
      </c>
      <c r="B38" s="605">
        <v>25067</v>
      </c>
      <c r="C38" s="609" t="s">
        <v>715</v>
      </c>
      <c r="D38" s="607" t="s">
        <v>694</v>
      </c>
      <c r="E38" s="615">
        <v>47.175699999999999</v>
      </c>
      <c r="F38" s="608">
        <v>5.44</v>
      </c>
      <c r="G38" s="602">
        <f t="shared" si="1"/>
        <v>256.64</v>
      </c>
    </row>
    <row r="39" spans="1:7" s="592" customFormat="1" ht="36">
      <c r="A39" s="597">
        <f t="shared" si="2"/>
        <v>8</v>
      </c>
      <c r="B39" s="605">
        <v>43386</v>
      </c>
      <c r="C39" s="609" t="s">
        <v>716</v>
      </c>
      <c r="D39" s="607" t="s">
        <v>694</v>
      </c>
      <c r="E39" s="615">
        <v>1</v>
      </c>
      <c r="F39" s="608">
        <v>45.18</v>
      </c>
      <c r="G39" s="602">
        <f t="shared" si="1"/>
        <v>45.18</v>
      </c>
    </row>
    <row r="40" spans="1:7" s="592" customFormat="1" ht="48">
      <c r="A40" s="597">
        <f t="shared" si="2"/>
        <v>9</v>
      </c>
      <c r="B40" s="605">
        <v>87316</v>
      </c>
      <c r="C40" s="609" t="s">
        <v>717</v>
      </c>
      <c r="D40" s="607" t="s">
        <v>193</v>
      </c>
      <c r="E40" s="615">
        <v>4.1799999999999997E-2</v>
      </c>
      <c r="F40" s="608">
        <v>574.44000000000005</v>
      </c>
      <c r="G40" s="602">
        <f t="shared" si="1"/>
        <v>24.01</v>
      </c>
    </row>
    <row r="41" spans="1:7" s="592" customFormat="1" ht="36">
      <c r="A41" s="597">
        <f t="shared" si="2"/>
        <v>10</v>
      </c>
      <c r="B41" s="605">
        <v>88628</v>
      </c>
      <c r="C41" s="609" t="s">
        <v>718</v>
      </c>
      <c r="D41" s="607" t="s">
        <v>193</v>
      </c>
      <c r="E41" s="615">
        <v>0.47460000000000002</v>
      </c>
      <c r="F41" s="608">
        <v>704.73</v>
      </c>
      <c r="G41" s="602">
        <f t="shared" si="1"/>
        <v>334.46</v>
      </c>
    </row>
    <row r="42" spans="1:7" s="592" customFormat="1" ht="24">
      <c r="A42" s="597">
        <f t="shared" si="2"/>
        <v>11</v>
      </c>
      <c r="B42" s="605">
        <v>89993</v>
      </c>
      <c r="C42" s="609" t="s">
        <v>719</v>
      </c>
      <c r="D42" s="607" t="s">
        <v>193</v>
      </c>
      <c r="E42" s="615">
        <v>2.9899999999999999E-2</v>
      </c>
      <c r="F42" s="608">
        <v>1261.5999999999999</v>
      </c>
      <c r="G42" s="602">
        <f t="shared" si="1"/>
        <v>37.72</v>
      </c>
    </row>
    <row r="43" spans="1:7" s="592" customFormat="1" ht="24">
      <c r="A43" s="597">
        <f t="shared" si="2"/>
        <v>12</v>
      </c>
      <c r="B43" s="605">
        <v>89995</v>
      </c>
      <c r="C43" s="609" t="s">
        <v>720</v>
      </c>
      <c r="D43" s="607" t="s">
        <v>193</v>
      </c>
      <c r="E43" s="615">
        <v>6.1499999999999999E-2</v>
      </c>
      <c r="F43" s="608">
        <v>1228.06</v>
      </c>
      <c r="G43" s="602">
        <f t="shared" si="1"/>
        <v>75.53</v>
      </c>
    </row>
    <row r="44" spans="1:7" s="592" customFormat="1" ht="24">
      <c r="A44" s="597">
        <f t="shared" si="2"/>
        <v>13</v>
      </c>
      <c r="B44" s="605">
        <v>89996</v>
      </c>
      <c r="C44" s="609" t="s">
        <v>721</v>
      </c>
      <c r="D44" s="607" t="s">
        <v>271</v>
      </c>
      <c r="E44" s="615">
        <v>0.98719999999999997</v>
      </c>
      <c r="F44" s="608">
        <v>10.26</v>
      </c>
      <c r="G44" s="602">
        <f t="shared" si="1"/>
        <v>10.130000000000001</v>
      </c>
    </row>
    <row r="45" spans="1:7" s="592" customFormat="1" ht="24">
      <c r="A45" s="597">
        <f t="shared" si="2"/>
        <v>14</v>
      </c>
      <c r="B45" s="605">
        <v>89998</v>
      </c>
      <c r="C45" s="609" t="s">
        <v>722</v>
      </c>
      <c r="D45" s="607" t="s">
        <v>271</v>
      </c>
      <c r="E45" s="615">
        <v>2.468</v>
      </c>
      <c r="F45" s="608">
        <v>9.7799999999999994</v>
      </c>
      <c r="G45" s="602">
        <f t="shared" si="1"/>
        <v>24.14</v>
      </c>
    </row>
    <row r="46" spans="1:7" s="592" customFormat="1" ht="48">
      <c r="A46" s="597">
        <f t="shared" si="2"/>
        <v>15</v>
      </c>
      <c r="B46" s="605">
        <v>94970</v>
      </c>
      <c r="C46" s="609" t="s">
        <v>723</v>
      </c>
      <c r="D46" s="607" t="s">
        <v>193</v>
      </c>
      <c r="E46" s="615">
        <v>0.1628</v>
      </c>
      <c r="F46" s="608">
        <v>628.78</v>
      </c>
      <c r="G46" s="602">
        <f t="shared" si="1"/>
        <v>102.37</v>
      </c>
    </row>
    <row r="47" spans="1:7" s="592" customFormat="1" ht="36">
      <c r="A47" s="597">
        <f t="shared" si="2"/>
        <v>16</v>
      </c>
      <c r="B47" s="605">
        <v>97735</v>
      </c>
      <c r="C47" s="609" t="s">
        <v>724</v>
      </c>
      <c r="D47" s="607" t="s">
        <v>193</v>
      </c>
      <c r="E47" s="615">
        <v>6.1600000000000002E-2</v>
      </c>
      <c r="F47" s="608">
        <v>2494.2199999999998</v>
      </c>
      <c r="G47" s="602">
        <f t="shared" si="1"/>
        <v>153.63999999999999</v>
      </c>
    </row>
    <row r="48" spans="1:7" s="592" customFormat="1" ht="24">
      <c r="A48" s="597">
        <f t="shared" si="2"/>
        <v>17</v>
      </c>
      <c r="B48" s="605">
        <v>101616</v>
      </c>
      <c r="C48" s="609" t="s">
        <v>725</v>
      </c>
      <c r="D48" s="607" t="s">
        <v>269</v>
      </c>
      <c r="E48" s="615">
        <v>1.17</v>
      </c>
      <c r="F48" s="608">
        <v>5.77</v>
      </c>
      <c r="G48" s="602">
        <f t="shared" si="1"/>
        <v>6.75</v>
      </c>
    </row>
    <row r="49" spans="1:8" s="592" customFormat="1" ht="20.100000000000001" customHeight="1">
      <c r="A49" s="597"/>
      <c r="B49" s="605"/>
      <c r="C49" s="609"/>
      <c r="D49" s="607"/>
      <c r="E49" s="608"/>
      <c r="F49" s="608"/>
      <c r="G49" s="602">
        <f t="shared" si="1"/>
        <v>0</v>
      </c>
    </row>
    <row r="50" spans="1:8" s="592" customFormat="1" ht="20.100000000000001" customHeight="1">
      <c r="A50" s="597"/>
      <c r="B50" s="605"/>
      <c r="C50" s="609"/>
      <c r="D50" s="607"/>
      <c r="E50" s="608"/>
      <c r="F50" s="608"/>
      <c r="G50" s="602">
        <f t="shared" si="1"/>
        <v>0</v>
      </c>
    </row>
    <row r="51" spans="1:8" s="592" customFormat="1" ht="20.100000000000001" customHeight="1">
      <c r="A51" s="2096" t="s">
        <v>530</v>
      </c>
      <c r="B51" s="2097"/>
      <c r="C51" s="2097"/>
      <c r="D51" s="2097"/>
      <c r="E51" s="2097"/>
      <c r="F51" s="2097"/>
      <c r="G51" s="604">
        <f>SUM(G32:G50)</f>
        <v>1155.77</v>
      </c>
    </row>
    <row r="52" spans="1:8" s="596" customFormat="1" ht="20.100000000000001" customHeight="1">
      <c r="A52" s="1955" t="s">
        <v>47</v>
      </c>
      <c r="B52" s="1956"/>
      <c r="C52" s="1956"/>
      <c r="D52" s="1956"/>
      <c r="E52" s="1956"/>
      <c r="F52" s="1956"/>
      <c r="G52" s="1957"/>
      <c r="H52" s="595"/>
    </row>
    <row r="53" spans="1:8" s="596" customFormat="1" ht="20.100000000000001" customHeight="1">
      <c r="A53" s="156" t="s">
        <v>33</v>
      </c>
      <c r="B53" s="157"/>
      <c r="C53" s="157" t="s">
        <v>48</v>
      </c>
      <c r="D53" s="1958" t="s">
        <v>658</v>
      </c>
      <c r="E53" s="1959"/>
      <c r="F53" s="1959"/>
      <c r="G53" s="1960"/>
      <c r="H53" s="595"/>
    </row>
    <row r="54" spans="1:8" s="596" customFormat="1" ht="20.100000000000001" customHeight="1">
      <c r="A54" s="156" t="s">
        <v>49</v>
      </c>
      <c r="B54" s="157"/>
      <c r="C54" s="157" t="s">
        <v>50</v>
      </c>
      <c r="D54" s="1943" t="s">
        <v>51</v>
      </c>
      <c r="E54" s="1943"/>
      <c r="F54" s="1943"/>
      <c r="G54" s="158">
        <f>G16</f>
        <v>386.23</v>
      </c>
      <c r="H54" s="595"/>
    </row>
    <row r="55" spans="1:8" s="596" customFormat="1" ht="20.100000000000001" customHeight="1">
      <c r="A55" s="156" t="s">
        <v>52</v>
      </c>
      <c r="B55" s="157"/>
      <c r="C55" s="157" t="s">
        <v>53</v>
      </c>
      <c r="D55" s="1943" t="s">
        <v>54</v>
      </c>
      <c r="E55" s="1943"/>
      <c r="F55" s="1943"/>
      <c r="G55" s="158">
        <f>G30</f>
        <v>8.75</v>
      </c>
      <c r="H55" s="595"/>
    </row>
    <row r="56" spans="1:8" s="596" customFormat="1" ht="20.100000000000001" customHeight="1">
      <c r="A56" s="156" t="s">
        <v>14</v>
      </c>
      <c r="B56" s="157"/>
      <c r="C56" s="157" t="s">
        <v>55</v>
      </c>
      <c r="D56" s="1943" t="s">
        <v>56</v>
      </c>
      <c r="E56" s="1943"/>
      <c r="F56" s="1943"/>
      <c r="G56" s="158">
        <f>G51</f>
        <v>1155.77</v>
      </c>
      <c r="H56" s="595"/>
    </row>
    <row r="57" spans="1:8" s="596" customFormat="1" ht="20.100000000000001" customHeight="1">
      <c r="A57" s="156" t="s">
        <v>7</v>
      </c>
      <c r="B57" s="157"/>
      <c r="C57" s="545" t="s">
        <v>57</v>
      </c>
      <c r="D57" s="1944" t="s">
        <v>58</v>
      </c>
      <c r="E57" s="1944"/>
      <c r="F57" s="1944"/>
      <c r="G57" s="546">
        <f>G54+G55+G56</f>
        <v>1550.75</v>
      </c>
      <c r="H57" s="595"/>
    </row>
    <row r="58" spans="1:8" s="596" customFormat="1" ht="20.100000000000001" customHeight="1">
      <c r="A58" s="156"/>
      <c r="B58" s="157"/>
      <c r="C58" s="545"/>
      <c r="D58" s="1945" t="s">
        <v>196</v>
      </c>
      <c r="E58" s="1946"/>
      <c r="F58" s="547">
        <v>0.27460000000000001</v>
      </c>
      <c r="G58" s="159">
        <f>G57*F58</f>
        <v>425.84</v>
      </c>
      <c r="H58" s="595"/>
    </row>
    <row r="59" spans="1:8" s="596" customFormat="1" ht="20.100000000000001" customHeight="1" thickBot="1">
      <c r="A59" s="1947" t="s">
        <v>60</v>
      </c>
      <c r="B59" s="1948"/>
      <c r="C59" s="1948"/>
      <c r="D59" s="1948"/>
      <c r="E59" s="1948"/>
      <c r="F59" s="1949"/>
      <c r="G59" s="160">
        <f>G57+G58</f>
        <v>1976.59</v>
      </c>
      <c r="H59" s="595"/>
    </row>
    <row r="60" spans="1:8" s="592" customFormat="1" ht="20.100000000000001" customHeight="1">
      <c r="A60" s="610"/>
      <c r="B60" s="611"/>
      <c r="C60" s="611"/>
      <c r="D60" s="612"/>
      <c r="E60" s="611"/>
      <c r="F60" s="611"/>
      <c r="G60" s="613"/>
    </row>
  </sheetData>
  <mergeCells count="23">
    <mergeCell ref="D55:F55"/>
    <mergeCell ref="D56:F56"/>
    <mergeCell ref="D57:F57"/>
    <mergeCell ref="D58:E58"/>
    <mergeCell ref="A59:F59"/>
    <mergeCell ref="B8:G8"/>
    <mergeCell ref="D54:F54"/>
    <mergeCell ref="C9:F9"/>
    <mergeCell ref="C10:F10"/>
    <mergeCell ref="A11:G11"/>
    <mergeCell ref="A13:G13"/>
    <mergeCell ref="A16:F16"/>
    <mergeCell ref="A17:G17"/>
    <mergeCell ref="A30:F30"/>
    <mergeCell ref="A31:G31"/>
    <mergeCell ref="A51:F51"/>
    <mergeCell ref="A52:G52"/>
    <mergeCell ref="D53:G53"/>
    <mergeCell ref="B1:G1"/>
    <mergeCell ref="A3:G3"/>
    <mergeCell ref="A4:G4"/>
    <mergeCell ref="A5:G5"/>
    <mergeCell ref="B7:G7"/>
  </mergeCells>
  <pageMargins left="0.511811024" right="0.511811024" top="0.78740157499999996" bottom="0.78740157499999996" header="0.31496062000000002" footer="0.31496062000000002"/>
  <pageSetup paperSize="9" scale="7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E8B04-9BAB-47D4-AE1A-A52C0C55B108}">
  <sheetPr>
    <tabColor theme="7" tint="0.39997558519241921"/>
  </sheetPr>
  <dimension ref="A5:H34"/>
  <sheetViews>
    <sheetView workbookViewId="0">
      <selection activeCell="G13" sqref="G13:H13"/>
    </sheetView>
  </sheetViews>
  <sheetFormatPr defaultRowHeight="12.75"/>
  <cols>
    <col min="3" max="3" width="31.7109375" customWidth="1"/>
    <col min="6" max="6" width="12.5703125" customWidth="1"/>
    <col min="7" max="7" width="13" customWidth="1"/>
    <col min="8" max="8" width="30.28515625" customWidth="1"/>
    <col min="259" max="259" width="25.28515625" customWidth="1"/>
    <col min="262" max="262" width="12.5703125" customWidth="1"/>
    <col min="264" max="264" width="23.5703125" customWidth="1"/>
    <col min="515" max="515" width="25.28515625" customWidth="1"/>
    <col min="518" max="518" width="12.5703125" customWidth="1"/>
    <col min="520" max="520" width="23.5703125" customWidth="1"/>
    <col min="771" max="771" width="25.28515625" customWidth="1"/>
    <col min="774" max="774" width="12.5703125" customWidth="1"/>
    <col min="776" max="776" width="23.5703125" customWidth="1"/>
    <col min="1027" max="1027" width="25.28515625" customWidth="1"/>
    <col min="1030" max="1030" width="12.5703125" customWidth="1"/>
    <col min="1032" max="1032" width="23.5703125" customWidth="1"/>
    <col min="1283" max="1283" width="25.28515625" customWidth="1"/>
    <col min="1286" max="1286" width="12.5703125" customWidth="1"/>
    <col min="1288" max="1288" width="23.5703125" customWidth="1"/>
    <col min="1539" max="1539" width="25.28515625" customWidth="1"/>
    <col min="1542" max="1542" width="12.5703125" customWidth="1"/>
    <col min="1544" max="1544" width="23.5703125" customWidth="1"/>
    <col min="1795" max="1795" width="25.28515625" customWidth="1"/>
    <col min="1798" max="1798" width="12.5703125" customWidth="1"/>
    <col min="1800" max="1800" width="23.5703125" customWidth="1"/>
    <col min="2051" max="2051" width="25.28515625" customWidth="1"/>
    <col min="2054" max="2054" width="12.5703125" customWidth="1"/>
    <col min="2056" max="2056" width="23.5703125" customWidth="1"/>
    <col min="2307" max="2307" width="25.28515625" customWidth="1"/>
    <col min="2310" max="2310" width="12.5703125" customWidth="1"/>
    <col min="2312" max="2312" width="23.5703125" customWidth="1"/>
    <col min="2563" max="2563" width="25.28515625" customWidth="1"/>
    <col min="2566" max="2566" width="12.5703125" customWidth="1"/>
    <col min="2568" max="2568" width="23.5703125" customWidth="1"/>
    <col min="2819" max="2819" width="25.28515625" customWidth="1"/>
    <col min="2822" max="2822" width="12.5703125" customWidth="1"/>
    <col min="2824" max="2824" width="23.5703125" customWidth="1"/>
    <col min="3075" max="3075" width="25.28515625" customWidth="1"/>
    <col min="3078" max="3078" width="12.5703125" customWidth="1"/>
    <col min="3080" max="3080" width="23.5703125" customWidth="1"/>
    <col min="3331" max="3331" width="25.28515625" customWidth="1"/>
    <col min="3334" max="3334" width="12.5703125" customWidth="1"/>
    <col min="3336" max="3336" width="23.5703125" customWidth="1"/>
    <col min="3587" max="3587" width="25.28515625" customWidth="1"/>
    <col min="3590" max="3590" width="12.5703125" customWidth="1"/>
    <col min="3592" max="3592" width="23.5703125" customWidth="1"/>
    <col min="3843" max="3843" width="25.28515625" customWidth="1"/>
    <col min="3846" max="3846" width="12.5703125" customWidth="1"/>
    <col min="3848" max="3848" width="23.5703125" customWidth="1"/>
    <col min="4099" max="4099" width="25.28515625" customWidth="1"/>
    <col min="4102" max="4102" width="12.5703125" customWidth="1"/>
    <col min="4104" max="4104" width="23.5703125" customWidth="1"/>
    <col min="4355" max="4355" width="25.28515625" customWidth="1"/>
    <col min="4358" max="4358" width="12.5703125" customWidth="1"/>
    <col min="4360" max="4360" width="23.5703125" customWidth="1"/>
    <col min="4611" max="4611" width="25.28515625" customWidth="1"/>
    <col min="4614" max="4614" width="12.5703125" customWidth="1"/>
    <col min="4616" max="4616" width="23.5703125" customWidth="1"/>
    <col min="4867" max="4867" width="25.28515625" customWidth="1"/>
    <col min="4870" max="4870" width="12.5703125" customWidth="1"/>
    <col min="4872" max="4872" width="23.5703125" customWidth="1"/>
    <col min="5123" max="5123" width="25.28515625" customWidth="1"/>
    <col min="5126" max="5126" width="12.5703125" customWidth="1"/>
    <col min="5128" max="5128" width="23.5703125" customWidth="1"/>
    <col min="5379" max="5379" width="25.28515625" customWidth="1"/>
    <col min="5382" max="5382" width="12.5703125" customWidth="1"/>
    <col min="5384" max="5384" width="23.5703125" customWidth="1"/>
    <col min="5635" max="5635" width="25.28515625" customWidth="1"/>
    <col min="5638" max="5638" width="12.5703125" customWidth="1"/>
    <col min="5640" max="5640" width="23.5703125" customWidth="1"/>
    <col min="5891" max="5891" width="25.28515625" customWidth="1"/>
    <col min="5894" max="5894" width="12.5703125" customWidth="1"/>
    <col min="5896" max="5896" width="23.5703125" customWidth="1"/>
    <col min="6147" max="6147" width="25.28515625" customWidth="1"/>
    <col min="6150" max="6150" width="12.5703125" customWidth="1"/>
    <col min="6152" max="6152" width="23.5703125" customWidth="1"/>
    <col min="6403" max="6403" width="25.28515625" customWidth="1"/>
    <col min="6406" max="6406" width="12.5703125" customWidth="1"/>
    <col min="6408" max="6408" width="23.5703125" customWidth="1"/>
    <col min="6659" max="6659" width="25.28515625" customWidth="1"/>
    <col min="6662" max="6662" width="12.5703125" customWidth="1"/>
    <col min="6664" max="6664" width="23.5703125" customWidth="1"/>
    <col min="6915" max="6915" width="25.28515625" customWidth="1"/>
    <col min="6918" max="6918" width="12.5703125" customWidth="1"/>
    <col min="6920" max="6920" width="23.5703125" customWidth="1"/>
    <col min="7171" max="7171" width="25.28515625" customWidth="1"/>
    <col min="7174" max="7174" width="12.5703125" customWidth="1"/>
    <col min="7176" max="7176" width="23.5703125" customWidth="1"/>
    <col min="7427" max="7427" width="25.28515625" customWidth="1"/>
    <col min="7430" max="7430" width="12.5703125" customWidth="1"/>
    <col min="7432" max="7432" width="23.5703125" customWidth="1"/>
    <col min="7683" max="7683" width="25.28515625" customWidth="1"/>
    <col min="7686" max="7686" width="12.5703125" customWidth="1"/>
    <col min="7688" max="7688" width="23.5703125" customWidth="1"/>
    <col min="7939" max="7939" width="25.28515625" customWidth="1"/>
    <col min="7942" max="7942" width="12.5703125" customWidth="1"/>
    <col min="7944" max="7944" width="23.5703125" customWidth="1"/>
    <col min="8195" max="8195" width="25.28515625" customWidth="1"/>
    <col min="8198" max="8198" width="12.5703125" customWidth="1"/>
    <col min="8200" max="8200" width="23.5703125" customWidth="1"/>
    <col min="8451" max="8451" width="25.28515625" customWidth="1"/>
    <col min="8454" max="8454" width="12.5703125" customWidth="1"/>
    <col min="8456" max="8456" width="23.5703125" customWidth="1"/>
    <col min="8707" max="8707" width="25.28515625" customWidth="1"/>
    <col min="8710" max="8710" width="12.5703125" customWidth="1"/>
    <col min="8712" max="8712" width="23.5703125" customWidth="1"/>
    <col min="8963" max="8963" width="25.28515625" customWidth="1"/>
    <col min="8966" max="8966" width="12.5703125" customWidth="1"/>
    <col min="8968" max="8968" width="23.5703125" customWidth="1"/>
    <col min="9219" max="9219" width="25.28515625" customWidth="1"/>
    <col min="9222" max="9222" width="12.5703125" customWidth="1"/>
    <col min="9224" max="9224" width="23.5703125" customWidth="1"/>
    <col min="9475" max="9475" width="25.28515625" customWidth="1"/>
    <col min="9478" max="9478" width="12.5703125" customWidth="1"/>
    <col min="9480" max="9480" width="23.5703125" customWidth="1"/>
    <col min="9731" max="9731" width="25.28515625" customWidth="1"/>
    <col min="9734" max="9734" width="12.5703125" customWidth="1"/>
    <col min="9736" max="9736" width="23.5703125" customWidth="1"/>
    <col min="9987" max="9987" width="25.28515625" customWidth="1"/>
    <col min="9990" max="9990" width="12.5703125" customWidth="1"/>
    <col min="9992" max="9992" width="23.5703125" customWidth="1"/>
    <col min="10243" max="10243" width="25.28515625" customWidth="1"/>
    <col min="10246" max="10246" width="12.5703125" customWidth="1"/>
    <col min="10248" max="10248" width="23.5703125" customWidth="1"/>
    <col min="10499" max="10499" width="25.28515625" customWidth="1"/>
    <col min="10502" max="10502" width="12.5703125" customWidth="1"/>
    <col min="10504" max="10504" width="23.5703125" customWidth="1"/>
    <col min="10755" max="10755" width="25.28515625" customWidth="1"/>
    <col min="10758" max="10758" width="12.5703125" customWidth="1"/>
    <col min="10760" max="10760" width="23.5703125" customWidth="1"/>
    <col min="11011" max="11011" width="25.28515625" customWidth="1"/>
    <col min="11014" max="11014" width="12.5703125" customWidth="1"/>
    <col min="11016" max="11016" width="23.5703125" customWidth="1"/>
    <col min="11267" max="11267" width="25.28515625" customWidth="1"/>
    <col min="11270" max="11270" width="12.5703125" customWidth="1"/>
    <col min="11272" max="11272" width="23.5703125" customWidth="1"/>
    <col min="11523" max="11523" width="25.28515625" customWidth="1"/>
    <col min="11526" max="11526" width="12.5703125" customWidth="1"/>
    <col min="11528" max="11528" width="23.5703125" customWidth="1"/>
    <col min="11779" max="11779" width="25.28515625" customWidth="1"/>
    <col min="11782" max="11782" width="12.5703125" customWidth="1"/>
    <col min="11784" max="11784" width="23.5703125" customWidth="1"/>
    <col min="12035" max="12035" width="25.28515625" customWidth="1"/>
    <col min="12038" max="12038" width="12.5703125" customWidth="1"/>
    <col min="12040" max="12040" width="23.5703125" customWidth="1"/>
    <col min="12291" max="12291" width="25.28515625" customWidth="1"/>
    <col min="12294" max="12294" width="12.5703125" customWidth="1"/>
    <col min="12296" max="12296" width="23.5703125" customWidth="1"/>
    <col min="12547" max="12547" width="25.28515625" customWidth="1"/>
    <col min="12550" max="12550" width="12.5703125" customWidth="1"/>
    <col min="12552" max="12552" width="23.5703125" customWidth="1"/>
    <col min="12803" max="12803" width="25.28515625" customWidth="1"/>
    <col min="12806" max="12806" width="12.5703125" customWidth="1"/>
    <col min="12808" max="12808" width="23.5703125" customWidth="1"/>
    <col min="13059" max="13059" width="25.28515625" customWidth="1"/>
    <col min="13062" max="13062" width="12.5703125" customWidth="1"/>
    <col min="13064" max="13064" width="23.5703125" customWidth="1"/>
    <col min="13315" max="13315" width="25.28515625" customWidth="1"/>
    <col min="13318" max="13318" width="12.5703125" customWidth="1"/>
    <col min="13320" max="13320" width="23.5703125" customWidth="1"/>
    <col min="13571" max="13571" width="25.28515625" customWidth="1"/>
    <col min="13574" max="13574" width="12.5703125" customWidth="1"/>
    <col min="13576" max="13576" width="23.5703125" customWidth="1"/>
    <col min="13827" max="13827" width="25.28515625" customWidth="1"/>
    <col min="13830" max="13830" width="12.5703125" customWidth="1"/>
    <col min="13832" max="13832" width="23.5703125" customWidth="1"/>
    <col min="14083" max="14083" width="25.28515625" customWidth="1"/>
    <col min="14086" max="14086" width="12.5703125" customWidth="1"/>
    <col min="14088" max="14088" width="23.5703125" customWidth="1"/>
    <col min="14339" max="14339" width="25.28515625" customWidth="1"/>
    <col min="14342" max="14342" width="12.5703125" customWidth="1"/>
    <col min="14344" max="14344" width="23.5703125" customWidth="1"/>
    <col min="14595" max="14595" width="25.28515625" customWidth="1"/>
    <col min="14598" max="14598" width="12.5703125" customWidth="1"/>
    <col min="14600" max="14600" width="23.5703125" customWidth="1"/>
    <col min="14851" max="14851" width="25.28515625" customWidth="1"/>
    <col min="14854" max="14854" width="12.5703125" customWidth="1"/>
    <col min="14856" max="14856" width="23.5703125" customWidth="1"/>
    <col min="15107" max="15107" width="25.28515625" customWidth="1"/>
    <col min="15110" max="15110" width="12.5703125" customWidth="1"/>
    <col min="15112" max="15112" width="23.5703125" customWidth="1"/>
    <col min="15363" max="15363" width="25.28515625" customWidth="1"/>
    <col min="15366" max="15366" width="12.5703125" customWidth="1"/>
    <col min="15368" max="15368" width="23.5703125" customWidth="1"/>
    <col min="15619" max="15619" width="25.28515625" customWidth="1"/>
    <col min="15622" max="15622" width="12.5703125" customWidth="1"/>
    <col min="15624" max="15624" width="23.5703125" customWidth="1"/>
    <col min="15875" max="15875" width="25.28515625" customWidth="1"/>
    <col min="15878" max="15878" width="12.5703125" customWidth="1"/>
    <col min="15880" max="15880" width="23.5703125" customWidth="1"/>
    <col min="16131" max="16131" width="25.28515625" customWidth="1"/>
    <col min="16134" max="16134" width="12.5703125" customWidth="1"/>
    <col min="16136" max="16136" width="23.5703125" customWidth="1"/>
  </cols>
  <sheetData>
    <row r="5" spans="1:8" ht="14.25">
      <c r="A5" s="1977" t="s">
        <v>17</v>
      </c>
      <c r="B5" s="1978"/>
      <c r="C5" s="1978"/>
      <c r="D5" s="1978"/>
      <c r="E5" s="1978"/>
      <c r="F5" s="1978"/>
      <c r="G5" s="1978"/>
      <c r="H5" s="1978"/>
    </row>
    <row r="6" spans="1:8" ht="14.25">
      <c r="A6" s="1940" t="s">
        <v>1075</v>
      </c>
      <c r="B6" s="1941"/>
      <c r="C6" s="1941"/>
      <c r="D6" s="1941"/>
      <c r="E6" s="1941"/>
      <c r="F6" s="1941"/>
      <c r="G6" s="1941"/>
      <c r="H6" s="1941"/>
    </row>
    <row r="7" spans="1:8" ht="28.9" customHeight="1">
      <c r="A7" s="2117" t="s">
        <v>654</v>
      </c>
      <c r="B7" s="2117"/>
      <c r="C7" s="2118" t="s">
        <v>1069</v>
      </c>
      <c r="D7" s="2119"/>
      <c r="E7" s="2119"/>
      <c r="F7" s="2119"/>
      <c r="G7" s="2119"/>
      <c r="H7" s="2120"/>
    </row>
    <row r="8" spans="1:8">
      <c r="A8" s="1394" t="s">
        <v>3700</v>
      </c>
      <c r="B8" s="1395"/>
      <c r="C8" s="1396"/>
      <c r="D8" s="1397"/>
      <c r="E8" s="1397"/>
      <c r="F8" s="1397"/>
      <c r="G8" s="1397"/>
      <c r="H8" s="1398" t="s">
        <v>3701</v>
      </c>
    </row>
    <row r="9" spans="1:8" ht="15.75">
      <c r="A9" s="1399" t="s">
        <v>3702</v>
      </c>
      <c r="B9" s="1400"/>
      <c r="C9" s="1400"/>
      <c r="D9" s="1400"/>
      <c r="E9" s="1400"/>
      <c r="F9" s="1400"/>
      <c r="G9" s="1400"/>
      <c r="H9" s="1400"/>
    </row>
    <row r="10" spans="1:8">
      <c r="A10" s="1401" t="s">
        <v>3703</v>
      </c>
      <c r="B10" s="1402" t="s">
        <v>3704</v>
      </c>
      <c r="C10" s="2121" t="s">
        <v>3705</v>
      </c>
      <c r="D10" s="2121"/>
      <c r="E10" s="2121" t="s">
        <v>3706</v>
      </c>
      <c r="F10" s="2121"/>
      <c r="G10" s="2121" t="s">
        <v>3707</v>
      </c>
      <c r="H10" s="2121"/>
    </row>
    <row r="11" spans="1:8">
      <c r="A11" s="1401" t="s">
        <v>3708</v>
      </c>
      <c r="B11" s="1403" t="s">
        <v>3712</v>
      </c>
      <c r="C11" s="2115" t="s">
        <v>3713</v>
      </c>
      <c r="D11" s="2115"/>
      <c r="E11" s="2116" t="s">
        <v>3714</v>
      </c>
      <c r="F11" s="2116"/>
      <c r="G11" s="2116" t="s">
        <v>3715</v>
      </c>
      <c r="H11" s="2116"/>
    </row>
    <row r="12" spans="1:8">
      <c r="A12" s="1401" t="s">
        <v>3709</v>
      </c>
      <c r="B12" s="1403"/>
      <c r="C12" s="2115" t="s">
        <v>3717</v>
      </c>
      <c r="D12" s="2115"/>
      <c r="E12" s="2116" t="s">
        <v>3718</v>
      </c>
      <c r="F12" s="2116"/>
      <c r="G12" s="2116"/>
      <c r="H12" s="2116"/>
    </row>
    <row r="13" spans="1:8">
      <c r="A13" s="1401" t="s">
        <v>3710</v>
      </c>
      <c r="B13" s="1403"/>
      <c r="C13" s="2115" t="s">
        <v>3720</v>
      </c>
      <c r="D13" s="2115"/>
      <c r="E13" s="2116" t="s">
        <v>3721</v>
      </c>
      <c r="F13" s="2116"/>
      <c r="G13" s="2116" t="s">
        <v>3722</v>
      </c>
      <c r="H13" s="2116"/>
    </row>
    <row r="14" spans="1:8">
      <c r="A14" s="1401" t="s">
        <v>3711</v>
      </c>
      <c r="B14" s="1403"/>
      <c r="C14" s="2115"/>
      <c r="D14" s="2115"/>
      <c r="E14" s="2116"/>
      <c r="F14" s="2116"/>
      <c r="G14" s="2116"/>
      <c r="H14" s="2116"/>
    </row>
    <row r="15" spans="1:8">
      <c r="A15" s="1401" t="s">
        <v>3716</v>
      </c>
      <c r="B15" s="1403"/>
      <c r="C15" s="2115"/>
      <c r="D15" s="2115"/>
      <c r="E15" s="2116"/>
      <c r="F15" s="2116"/>
      <c r="G15" s="2116"/>
      <c r="H15" s="2116"/>
    </row>
    <row r="16" spans="1:8">
      <c r="A16" s="1401" t="s">
        <v>3719</v>
      </c>
      <c r="B16" s="1403"/>
      <c r="C16" s="2115"/>
      <c r="D16" s="2115"/>
      <c r="E16" s="2116"/>
      <c r="F16" s="2116"/>
      <c r="G16" s="2116"/>
      <c r="H16" s="2116"/>
    </row>
    <row r="17" spans="1:8">
      <c r="A17" s="1401" t="s">
        <v>3723</v>
      </c>
      <c r="B17" s="1403"/>
      <c r="C17" s="2115"/>
      <c r="D17" s="2115"/>
      <c r="E17" s="2116"/>
      <c r="F17" s="2116"/>
      <c r="G17" s="2116"/>
      <c r="H17" s="2116"/>
    </row>
    <row r="18" spans="1:8">
      <c r="A18" s="1401" t="s">
        <v>3724</v>
      </c>
      <c r="B18" s="1403"/>
      <c r="C18" s="2115"/>
      <c r="D18" s="2115"/>
      <c r="E18" s="2116"/>
      <c r="F18" s="2116"/>
      <c r="G18" s="2116"/>
      <c r="H18" s="2116"/>
    </row>
    <row r="19" spans="1:8">
      <c r="A19" s="1401" t="s">
        <v>3725</v>
      </c>
      <c r="B19" s="1403"/>
      <c r="C19" s="2115"/>
      <c r="D19" s="2115"/>
      <c r="E19" s="2116"/>
      <c r="F19" s="2116"/>
      <c r="G19" s="2116"/>
      <c r="H19" s="2116"/>
    </row>
    <row r="20" spans="1:8">
      <c r="A20" s="1401" t="s">
        <v>3726</v>
      </c>
      <c r="B20" s="1403"/>
      <c r="C20" s="2115"/>
      <c r="D20" s="2115"/>
      <c r="E20" s="2116"/>
      <c r="F20" s="2116"/>
      <c r="G20" s="2116"/>
      <c r="H20" s="2116"/>
    </row>
    <row r="21" spans="1:8">
      <c r="A21" s="1401" t="s">
        <v>3727</v>
      </c>
      <c r="B21" s="1403"/>
      <c r="C21" s="2115"/>
      <c r="D21" s="2115"/>
      <c r="E21" s="2116"/>
      <c r="F21" s="2116"/>
      <c r="G21" s="2116"/>
      <c r="H21" s="2116"/>
    </row>
    <row r="22" spans="1:8">
      <c r="A22" s="1401" t="s">
        <v>3728</v>
      </c>
      <c r="B22" s="1403"/>
      <c r="C22" s="2115"/>
      <c r="D22" s="2115"/>
      <c r="E22" s="2116"/>
      <c r="F22" s="2116"/>
      <c r="G22" s="2116"/>
      <c r="H22" s="2116"/>
    </row>
    <row r="23" spans="1:8" ht="15.75">
      <c r="A23" s="1399" t="s">
        <v>3729</v>
      </c>
      <c r="B23" s="1400"/>
      <c r="C23" s="1400"/>
      <c r="D23" s="1400"/>
      <c r="E23" s="1400"/>
      <c r="F23" s="1400"/>
      <c r="G23" s="1400"/>
      <c r="H23" s="1400"/>
    </row>
    <row r="24" spans="1:8">
      <c r="A24" s="1409"/>
      <c r="B24" s="1400"/>
      <c r="C24" s="1400"/>
      <c r="D24" s="1400"/>
      <c r="E24" s="1400"/>
      <c r="F24" s="1400"/>
      <c r="G24" s="1400"/>
      <c r="H24" s="1400"/>
    </row>
    <row r="25" spans="1:8">
      <c r="A25" s="1409"/>
      <c r="B25" s="1400"/>
      <c r="C25" s="1400"/>
      <c r="D25" s="1400"/>
      <c r="E25" s="1400"/>
      <c r="F25" s="1400"/>
      <c r="G25" s="1400"/>
      <c r="H25" s="1400"/>
    </row>
    <row r="26" spans="1:8">
      <c r="A26" s="1404" t="s">
        <v>181</v>
      </c>
      <c r="B26" s="1404" t="s">
        <v>64</v>
      </c>
      <c r="C26" s="1405" t="s">
        <v>5</v>
      </c>
      <c r="D26" s="1404" t="s">
        <v>20</v>
      </c>
      <c r="E26" s="2109" t="s">
        <v>3730</v>
      </c>
      <c r="F26" s="2109"/>
      <c r="G26" s="2109" t="s">
        <v>3731</v>
      </c>
      <c r="H26" s="2109"/>
    </row>
    <row r="27" spans="1:8">
      <c r="A27" s="1404" t="s">
        <v>276</v>
      </c>
      <c r="B27" s="1406" t="s">
        <v>3737</v>
      </c>
      <c r="C27" s="1407" t="s">
        <v>3738</v>
      </c>
      <c r="D27" s="1408" t="s">
        <v>756</v>
      </c>
      <c r="E27" s="2110">
        <f>SUM(E29:F31)/3</f>
        <v>17570</v>
      </c>
      <c r="F27" s="2110"/>
      <c r="G27" s="2111"/>
      <c r="H27" s="2111"/>
    </row>
    <row r="28" spans="1:8">
      <c r="A28" s="1409"/>
      <c r="B28" s="1410" t="s">
        <v>3732</v>
      </c>
      <c r="C28" s="2112" t="s">
        <v>3733</v>
      </c>
      <c r="D28" s="2113"/>
      <c r="E28" s="2114" t="s">
        <v>3734</v>
      </c>
      <c r="F28" s="2114"/>
      <c r="G28" s="2114" t="s">
        <v>3735</v>
      </c>
      <c r="H28" s="2114"/>
    </row>
    <row r="29" spans="1:8">
      <c r="A29" s="1409"/>
      <c r="B29" s="1411" t="s">
        <v>3708</v>
      </c>
      <c r="C29" s="2104" t="s">
        <v>3713</v>
      </c>
      <c r="D29" s="2105"/>
      <c r="E29" s="2106">
        <v>13640</v>
      </c>
      <c r="F29" s="2106"/>
      <c r="G29" s="2107"/>
      <c r="H29" s="2107"/>
    </row>
    <row r="30" spans="1:8">
      <c r="A30" s="1409"/>
      <c r="B30" s="1411" t="s">
        <v>3709</v>
      </c>
      <c r="C30" s="2104" t="s">
        <v>3717</v>
      </c>
      <c r="D30" s="2105"/>
      <c r="E30" s="2106">
        <v>21000</v>
      </c>
      <c r="F30" s="2106"/>
      <c r="G30" s="2107"/>
      <c r="H30" s="2107"/>
    </row>
    <row r="31" spans="1:8">
      <c r="A31" s="1409"/>
      <c r="B31" s="1411" t="s">
        <v>3710</v>
      </c>
      <c r="C31" s="2104" t="s">
        <v>3720</v>
      </c>
      <c r="D31" s="2105"/>
      <c r="E31" s="2106">
        <v>18070</v>
      </c>
      <c r="F31" s="2106"/>
      <c r="G31" s="2107"/>
      <c r="H31" s="2107"/>
    </row>
    <row r="32" spans="1:8">
      <c r="A32" s="1409"/>
      <c r="B32" s="1411"/>
      <c r="C32" s="2104" t="str">
        <f>IF(B32&lt;&gt;"",VLOOKUP(B32,EMPRESAS,3,FALSE),"")</f>
        <v/>
      </c>
      <c r="D32" s="2105"/>
      <c r="E32" s="2106"/>
      <c r="F32" s="2106"/>
      <c r="G32" s="2107"/>
      <c r="H32" s="2107"/>
    </row>
    <row r="33" spans="1:8">
      <c r="A33" s="1409"/>
      <c r="B33" s="1411"/>
      <c r="C33" s="2104" t="str">
        <f>IF(B33&lt;&gt;"",VLOOKUP(B33,EMPRESAS,3,FALSE),"")</f>
        <v/>
      </c>
      <c r="D33" s="2105"/>
      <c r="E33" s="2106"/>
      <c r="F33" s="2106"/>
      <c r="G33" s="2107"/>
      <c r="H33" s="2107"/>
    </row>
    <row r="34" spans="1:8">
      <c r="A34" s="1409"/>
      <c r="B34" s="1412" t="s">
        <v>3736</v>
      </c>
      <c r="C34" s="2108"/>
      <c r="D34" s="2108"/>
      <c r="E34" s="2108"/>
      <c r="F34" s="2108"/>
      <c r="G34" s="2108"/>
      <c r="H34" s="2108"/>
    </row>
  </sheetData>
  <mergeCells count="66">
    <mergeCell ref="C11:D11"/>
    <mergeCell ref="E11:F11"/>
    <mergeCell ref="G11:H11"/>
    <mergeCell ref="A5:H5"/>
    <mergeCell ref="A6:H6"/>
    <mergeCell ref="A7:B7"/>
    <mergeCell ref="C7:H7"/>
    <mergeCell ref="C10:D10"/>
    <mergeCell ref="E10:F10"/>
    <mergeCell ref="G10:H10"/>
    <mergeCell ref="C12:D12"/>
    <mergeCell ref="E12:F12"/>
    <mergeCell ref="G12:H12"/>
    <mergeCell ref="C13:D13"/>
    <mergeCell ref="E13:F13"/>
    <mergeCell ref="G13:H13"/>
    <mergeCell ref="C14:D14"/>
    <mergeCell ref="E14:F14"/>
    <mergeCell ref="G14:H14"/>
    <mergeCell ref="C15:D15"/>
    <mergeCell ref="E15:F15"/>
    <mergeCell ref="G15:H15"/>
    <mergeCell ref="C16:D16"/>
    <mergeCell ref="E16:F16"/>
    <mergeCell ref="G16:H16"/>
    <mergeCell ref="C17:D17"/>
    <mergeCell ref="E17:F17"/>
    <mergeCell ref="G17:H17"/>
    <mergeCell ref="C18:D18"/>
    <mergeCell ref="E18:F18"/>
    <mergeCell ref="G18:H18"/>
    <mergeCell ref="C19:D19"/>
    <mergeCell ref="E19:F19"/>
    <mergeCell ref="G19:H19"/>
    <mergeCell ref="C22:D22"/>
    <mergeCell ref="E22:F22"/>
    <mergeCell ref="G22:H22"/>
    <mergeCell ref="C20:D20"/>
    <mergeCell ref="E20:F20"/>
    <mergeCell ref="G20:H20"/>
    <mergeCell ref="C21:D21"/>
    <mergeCell ref="E21:F21"/>
    <mergeCell ref="G21:H21"/>
    <mergeCell ref="E26:F26"/>
    <mergeCell ref="G26:H26"/>
    <mergeCell ref="E27:F27"/>
    <mergeCell ref="G27:H27"/>
    <mergeCell ref="C28:D28"/>
    <mergeCell ref="E28:F28"/>
    <mergeCell ref="G28:H28"/>
    <mergeCell ref="C29:D29"/>
    <mergeCell ref="E29:F29"/>
    <mergeCell ref="G29:H29"/>
    <mergeCell ref="C30:D30"/>
    <mergeCell ref="E30:F30"/>
    <mergeCell ref="G30:H30"/>
    <mergeCell ref="C33:D33"/>
    <mergeCell ref="E33:F33"/>
    <mergeCell ref="G33:H33"/>
    <mergeCell ref="C34:H34"/>
    <mergeCell ref="C31:D31"/>
    <mergeCell ref="E31:F31"/>
    <mergeCell ref="G31:H31"/>
    <mergeCell ref="C32:D32"/>
    <mergeCell ref="E32:F32"/>
    <mergeCell ref="G32:H32"/>
  </mergeCells>
  <phoneticPr fontId="44" type="noConversion"/>
  <dataValidations count="2">
    <dataValidation type="list" allowBlank="1" showInputMessage="1" showErrorMessage="1" sqref="B65526:B65530 IX65526:IX65530 ST65526:ST65530 ACP65526:ACP65530 AML65526:AML65530 AWH65526:AWH65530 BGD65526:BGD65530 BPZ65526:BPZ65530 BZV65526:BZV65530 CJR65526:CJR65530 CTN65526:CTN65530 DDJ65526:DDJ65530 DNF65526:DNF65530 DXB65526:DXB65530 EGX65526:EGX65530 EQT65526:EQT65530 FAP65526:FAP65530 FKL65526:FKL65530 FUH65526:FUH65530 GED65526:GED65530 GNZ65526:GNZ65530 GXV65526:GXV65530 HHR65526:HHR65530 HRN65526:HRN65530 IBJ65526:IBJ65530 ILF65526:ILF65530 IVB65526:IVB65530 JEX65526:JEX65530 JOT65526:JOT65530 JYP65526:JYP65530 KIL65526:KIL65530 KSH65526:KSH65530 LCD65526:LCD65530 LLZ65526:LLZ65530 LVV65526:LVV65530 MFR65526:MFR65530 MPN65526:MPN65530 MZJ65526:MZJ65530 NJF65526:NJF65530 NTB65526:NTB65530 OCX65526:OCX65530 OMT65526:OMT65530 OWP65526:OWP65530 PGL65526:PGL65530 PQH65526:PQH65530 QAD65526:QAD65530 QJZ65526:QJZ65530 QTV65526:QTV65530 RDR65526:RDR65530 RNN65526:RNN65530 RXJ65526:RXJ65530 SHF65526:SHF65530 SRB65526:SRB65530 TAX65526:TAX65530 TKT65526:TKT65530 TUP65526:TUP65530 UEL65526:UEL65530 UOH65526:UOH65530 UYD65526:UYD65530 VHZ65526:VHZ65530 VRV65526:VRV65530 WBR65526:WBR65530 WLN65526:WLN65530 WVJ65526:WVJ65530 B131062:B131066 IX131062:IX131066 ST131062:ST131066 ACP131062:ACP131066 AML131062:AML131066 AWH131062:AWH131066 BGD131062:BGD131066 BPZ131062:BPZ131066 BZV131062:BZV131066 CJR131062:CJR131066 CTN131062:CTN131066 DDJ131062:DDJ131066 DNF131062:DNF131066 DXB131062:DXB131066 EGX131062:EGX131066 EQT131062:EQT131066 FAP131062:FAP131066 FKL131062:FKL131066 FUH131062:FUH131066 GED131062:GED131066 GNZ131062:GNZ131066 GXV131062:GXV131066 HHR131062:HHR131066 HRN131062:HRN131066 IBJ131062:IBJ131066 ILF131062:ILF131066 IVB131062:IVB131066 JEX131062:JEX131066 JOT131062:JOT131066 JYP131062:JYP131066 KIL131062:KIL131066 KSH131062:KSH131066 LCD131062:LCD131066 LLZ131062:LLZ131066 LVV131062:LVV131066 MFR131062:MFR131066 MPN131062:MPN131066 MZJ131062:MZJ131066 NJF131062:NJF131066 NTB131062:NTB131066 OCX131062:OCX131066 OMT131062:OMT131066 OWP131062:OWP131066 PGL131062:PGL131066 PQH131062:PQH131066 QAD131062:QAD131066 QJZ131062:QJZ131066 QTV131062:QTV131066 RDR131062:RDR131066 RNN131062:RNN131066 RXJ131062:RXJ131066 SHF131062:SHF131066 SRB131062:SRB131066 TAX131062:TAX131066 TKT131062:TKT131066 TUP131062:TUP131066 UEL131062:UEL131066 UOH131062:UOH131066 UYD131062:UYD131066 VHZ131062:VHZ131066 VRV131062:VRV131066 WBR131062:WBR131066 WLN131062:WLN131066 WVJ131062:WVJ131066 B196598:B196602 IX196598:IX196602 ST196598:ST196602 ACP196598:ACP196602 AML196598:AML196602 AWH196598:AWH196602 BGD196598:BGD196602 BPZ196598:BPZ196602 BZV196598:BZV196602 CJR196598:CJR196602 CTN196598:CTN196602 DDJ196598:DDJ196602 DNF196598:DNF196602 DXB196598:DXB196602 EGX196598:EGX196602 EQT196598:EQT196602 FAP196598:FAP196602 FKL196598:FKL196602 FUH196598:FUH196602 GED196598:GED196602 GNZ196598:GNZ196602 GXV196598:GXV196602 HHR196598:HHR196602 HRN196598:HRN196602 IBJ196598:IBJ196602 ILF196598:ILF196602 IVB196598:IVB196602 JEX196598:JEX196602 JOT196598:JOT196602 JYP196598:JYP196602 KIL196598:KIL196602 KSH196598:KSH196602 LCD196598:LCD196602 LLZ196598:LLZ196602 LVV196598:LVV196602 MFR196598:MFR196602 MPN196598:MPN196602 MZJ196598:MZJ196602 NJF196598:NJF196602 NTB196598:NTB196602 OCX196598:OCX196602 OMT196598:OMT196602 OWP196598:OWP196602 PGL196598:PGL196602 PQH196598:PQH196602 QAD196598:QAD196602 QJZ196598:QJZ196602 QTV196598:QTV196602 RDR196598:RDR196602 RNN196598:RNN196602 RXJ196598:RXJ196602 SHF196598:SHF196602 SRB196598:SRB196602 TAX196598:TAX196602 TKT196598:TKT196602 TUP196598:TUP196602 UEL196598:UEL196602 UOH196598:UOH196602 UYD196598:UYD196602 VHZ196598:VHZ196602 VRV196598:VRV196602 WBR196598:WBR196602 WLN196598:WLN196602 WVJ196598:WVJ196602 B262134:B262138 IX262134:IX262138 ST262134:ST262138 ACP262134:ACP262138 AML262134:AML262138 AWH262134:AWH262138 BGD262134:BGD262138 BPZ262134:BPZ262138 BZV262134:BZV262138 CJR262134:CJR262138 CTN262134:CTN262138 DDJ262134:DDJ262138 DNF262134:DNF262138 DXB262134:DXB262138 EGX262134:EGX262138 EQT262134:EQT262138 FAP262134:FAP262138 FKL262134:FKL262138 FUH262134:FUH262138 GED262134:GED262138 GNZ262134:GNZ262138 GXV262134:GXV262138 HHR262134:HHR262138 HRN262134:HRN262138 IBJ262134:IBJ262138 ILF262134:ILF262138 IVB262134:IVB262138 JEX262134:JEX262138 JOT262134:JOT262138 JYP262134:JYP262138 KIL262134:KIL262138 KSH262134:KSH262138 LCD262134:LCD262138 LLZ262134:LLZ262138 LVV262134:LVV262138 MFR262134:MFR262138 MPN262134:MPN262138 MZJ262134:MZJ262138 NJF262134:NJF262138 NTB262134:NTB262138 OCX262134:OCX262138 OMT262134:OMT262138 OWP262134:OWP262138 PGL262134:PGL262138 PQH262134:PQH262138 QAD262134:QAD262138 QJZ262134:QJZ262138 QTV262134:QTV262138 RDR262134:RDR262138 RNN262134:RNN262138 RXJ262134:RXJ262138 SHF262134:SHF262138 SRB262134:SRB262138 TAX262134:TAX262138 TKT262134:TKT262138 TUP262134:TUP262138 UEL262134:UEL262138 UOH262134:UOH262138 UYD262134:UYD262138 VHZ262134:VHZ262138 VRV262134:VRV262138 WBR262134:WBR262138 WLN262134:WLN262138 WVJ262134:WVJ262138 B327670:B327674 IX327670:IX327674 ST327670:ST327674 ACP327670:ACP327674 AML327670:AML327674 AWH327670:AWH327674 BGD327670:BGD327674 BPZ327670:BPZ327674 BZV327670:BZV327674 CJR327670:CJR327674 CTN327670:CTN327674 DDJ327670:DDJ327674 DNF327670:DNF327674 DXB327670:DXB327674 EGX327670:EGX327674 EQT327670:EQT327674 FAP327670:FAP327674 FKL327670:FKL327674 FUH327670:FUH327674 GED327670:GED327674 GNZ327670:GNZ327674 GXV327670:GXV327674 HHR327670:HHR327674 HRN327670:HRN327674 IBJ327670:IBJ327674 ILF327670:ILF327674 IVB327670:IVB327674 JEX327670:JEX327674 JOT327670:JOT327674 JYP327670:JYP327674 KIL327670:KIL327674 KSH327670:KSH327674 LCD327670:LCD327674 LLZ327670:LLZ327674 LVV327670:LVV327674 MFR327670:MFR327674 MPN327670:MPN327674 MZJ327670:MZJ327674 NJF327670:NJF327674 NTB327670:NTB327674 OCX327670:OCX327674 OMT327670:OMT327674 OWP327670:OWP327674 PGL327670:PGL327674 PQH327670:PQH327674 QAD327670:QAD327674 QJZ327670:QJZ327674 QTV327670:QTV327674 RDR327670:RDR327674 RNN327670:RNN327674 RXJ327670:RXJ327674 SHF327670:SHF327674 SRB327670:SRB327674 TAX327670:TAX327674 TKT327670:TKT327674 TUP327670:TUP327674 UEL327670:UEL327674 UOH327670:UOH327674 UYD327670:UYD327674 VHZ327670:VHZ327674 VRV327670:VRV327674 WBR327670:WBR327674 WLN327670:WLN327674 WVJ327670:WVJ327674 B393206:B393210 IX393206:IX393210 ST393206:ST393210 ACP393206:ACP393210 AML393206:AML393210 AWH393206:AWH393210 BGD393206:BGD393210 BPZ393206:BPZ393210 BZV393206:BZV393210 CJR393206:CJR393210 CTN393206:CTN393210 DDJ393206:DDJ393210 DNF393206:DNF393210 DXB393206:DXB393210 EGX393206:EGX393210 EQT393206:EQT393210 FAP393206:FAP393210 FKL393206:FKL393210 FUH393206:FUH393210 GED393206:GED393210 GNZ393206:GNZ393210 GXV393206:GXV393210 HHR393206:HHR393210 HRN393206:HRN393210 IBJ393206:IBJ393210 ILF393206:ILF393210 IVB393206:IVB393210 JEX393206:JEX393210 JOT393206:JOT393210 JYP393206:JYP393210 KIL393206:KIL393210 KSH393206:KSH393210 LCD393206:LCD393210 LLZ393206:LLZ393210 LVV393206:LVV393210 MFR393206:MFR393210 MPN393206:MPN393210 MZJ393206:MZJ393210 NJF393206:NJF393210 NTB393206:NTB393210 OCX393206:OCX393210 OMT393206:OMT393210 OWP393206:OWP393210 PGL393206:PGL393210 PQH393206:PQH393210 QAD393206:QAD393210 QJZ393206:QJZ393210 QTV393206:QTV393210 RDR393206:RDR393210 RNN393206:RNN393210 RXJ393206:RXJ393210 SHF393206:SHF393210 SRB393206:SRB393210 TAX393206:TAX393210 TKT393206:TKT393210 TUP393206:TUP393210 UEL393206:UEL393210 UOH393206:UOH393210 UYD393206:UYD393210 VHZ393206:VHZ393210 VRV393206:VRV393210 WBR393206:WBR393210 WLN393206:WLN393210 WVJ393206:WVJ393210 B458742:B458746 IX458742:IX458746 ST458742:ST458746 ACP458742:ACP458746 AML458742:AML458746 AWH458742:AWH458746 BGD458742:BGD458746 BPZ458742:BPZ458746 BZV458742:BZV458746 CJR458742:CJR458746 CTN458742:CTN458746 DDJ458742:DDJ458746 DNF458742:DNF458746 DXB458742:DXB458746 EGX458742:EGX458746 EQT458742:EQT458746 FAP458742:FAP458746 FKL458742:FKL458746 FUH458742:FUH458746 GED458742:GED458746 GNZ458742:GNZ458746 GXV458742:GXV458746 HHR458742:HHR458746 HRN458742:HRN458746 IBJ458742:IBJ458746 ILF458742:ILF458746 IVB458742:IVB458746 JEX458742:JEX458746 JOT458742:JOT458746 JYP458742:JYP458746 KIL458742:KIL458746 KSH458742:KSH458746 LCD458742:LCD458746 LLZ458742:LLZ458746 LVV458742:LVV458746 MFR458742:MFR458746 MPN458742:MPN458746 MZJ458742:MZJ458746 NJF458742:NJF458746 NTB458742:NTB458746 OCX458742:OCX458746 OMT458742:OMT458746 OWP458742:OWP458746 PGL458742:PGL458746 PQH458742:PQH458746 QAD458742:QAD458746 QJZ458742:QJZ458746 QTV458742:QTV458746 RDR458742:RDR458746 RNN458742:RNN458746 RXJ458742:RXJ458746 SHF458742:SHF458746 SRB458742:SRB458746 TAX458742:TAX458746 TKT458742:TKT458746 TUP458742:TUP458746 UEL458742:UEL458746 UOH458742:UOH458746 UYD458742:UYD458746 VHZ458742:VHZ458746 VRV458742:VRV458746 WBR458742:WBR458746 WLN458742:WLN458746 WVJ458742:WVJ458746 B524278:B524282 IX524278:IX524282 ST524278:ST524282 ACP524278:ACP524282 AML524278:AML524282 AWH524278:AWH524282 BGD524278:BGD524282 BPZ524278:BPZ524282 BZV524278:BZV524282 CJR524278:CJR524282 CTN524278:CTN524282 DDJ524278:DDJ524282 DNF524278:DNF524282 DXB524278:DXB524282 EGX524278:EGX524282 EQT524278:EQT524282 FAP524278:FAP524282 FKL524278:FKL524282 FUH524278:FUH524282 GED524278:GED524282 GNZ524278:GNZ524282 GXV524278:GXV524282 HHR524278:HHR524282 HRN524278:HRN524282 IBJ524278:IBJ524282 ILF524278:ILF524282 IVB524278:IVB524282 JEX524278:JEX524282 JOT524278:JOT524282 JYP524278:JYP524282 KIL524278:KIL524282 KSH524278:KSH524282 LCD524278:LCD524282 LLZ524278:LLZ524282 LVV524278:LVV524282 MFR524278:MFR524282 MPN524278:MPN524282 MZJ524278:MZJ524282 NJF524278:NJF524282 NTB524278:NTB524282 OCX524278:OCX524282 OMT524278:OMT524282 OWP524278:OWP524282 PGL524278:PGL524282 PQH524278:PQH524282 QAD524278:QAD524282 QJZ524278:QJZ524282 QTV524278:QTV524282 RDR524278:RDR524282 RNN524278:RNN524282 RXJ524278:RXJ524282 SHF524278:SHF524282 SRB524278:SRB524282 TAX524278:TAX524282 TKT524278:TKT524282 TUP524278:TUP524282 UEL524278:UEL524282 UOH524278:UOH524282 UYD524278:UYD524282 VHZ524278:VHZ524282 VRV524278:VRV524282 WBR524278:WBR524282 WLN524278:WLN524282 WVJ524278:WVJ524282 B589814:B589818 IX589814:IX589818 ST589814:ST589818 ACP589814:ACP589818 AML589814:AML589818 AWH589814:AWH589818 BGD589814:BGD589818 BPZ589814:BPZ589818 BZV589814:BZV589818 CJR589814:CJR589818 CTN589814:CTN589818 DDJ589814:DDJ589818 DNF589814:DNF589818 DXB589814:DXB589818 EGX589814:EGX589818 EQT589814:EQT589818 FAP589814:FAP589818 FKL589814:FKL589818 FUH589814:FUH589818 GED589814:GED589818 GNZ589814:GNZ589818 GXV589814:GXV589818 HHR589814:HHR589818 HRN589814:HRN589818 IBJ589814:IBJ589818 ILF589814:ILF589818 IVB589814:IVB589818 JEX589814:JEX589818 JOT589814:JOT589818 JYP589814:JYP589818 KIL589814:KIL589818 KSH589814:KSH589818 LCD589814:LCD589818 LLZ589814:LLZ589818 LVV589814:LVV589818 MFR589814:MFR589818 MPN589814:MPN589818 MZJ589814:MZJ589818 NJF589814:NJF589818 NTB589814:NTB589818 OCX589814:OCX589818 OMT589814:OMT589818 OWP589814:OWP589818 PGL589814:PGL589818 PQH589814:PQH589818 QAD589814:QAD589818 QJZ589814:QJZ589818 QTV589814:QTV589818 RDR589814:RDR589818 RNN589814:RNN589818 RXJ589814:RXJ589818 SHF589814:SHF589818 SRB589814:SRB589818 TAX589814:TAX589818 TKT589814:TKT589818 TUP589814:TUP589818 UEL589814:UEL589818 UOH589814:UOH589818 UYD589814:UYD589818 VHZ589814:VHZ589818 VRV589814:VRV589818 WBR589814:WBR589818 WLN589814:WLN589818 WVJ589814:WVJ589818 B655350:B655354 IX655350:IX655354 ST655350:ST655354 ACP655350:ACP655354 AML655350:AML655354 AWH655350:AWH655354 BGD655350:BGD655354 BPZ655350:BPZ655354 BZV655350:BZV655354 CJR655350:CJR655354 CTN655350:CTN655354 DDJ655350:DDJ655354 DNF655350:DNF655354 DXB655350:DXB655354 EGX655350:EGX655354 EQT655350:EQT655354 FAP655350:FAP655354 FKL655350:FKL655354 FUH655350:FUH655354 GED655350:GED655354 GNZ655350:GNZ655354 GXV655350:GXV655354 HHR655350:HHR655354 HRN655350:HRN655354 IBJ655350:IBJ655354 ILF655350:ILF655354 IVB655350:IVB655354 JEX655350:JEX655354 JOT655350:JOT655354 JYP655350:JYP655354 KIL655350:KIL655354 KSH655350:KSH655354 LCD655350:LCD655354 LLZ655350:LLZ655354 LVV655350:LVV655354 MFR655350:MFR655354 MPN655350:MPN655354 MZJ655350:MZJ655354 NJF655350:NJF655354 NTB655350:NTB655354 OCX655350:OCX655354 OMT655350:OMT655354 OWP655350:OWP655354 PGL655350:PGL655354 PQH655350:PQH655354 QAD655350:QAD655354 QJZ655350:QJZ655354 QTV655350:QTV655354 RDR655350:RDR655354 RNN655350:RNN655354 RXJ655350:RXJ655354 SHF655350:SHF655354 SRB655350:SRB655354 TAX655350:TAX655354 TKT655350:TKT655354 TUP655350:TUP655354 UEL655350:UEL655354 UOH655350:UOH655354 UYD655350:UYD655354 VHZ655350:VHZ655354 VRV655350:VRV655354 WBR655350:WBR655354 WLN655350:WLN655354 WVJ655350:WVJ655354 B720886:B720890 IX720886:IX720890 ST720886:ST720890 ACP720886:ACP720890 AML720886:AML720890 AWH720886:AWH720890 BGD720886:BGD720890 BPZ720886:BPZ720890 BZV720886:BZV720890 CJR720886:CJR720890 CTN720886:CTN720890 DDJ720886:DDJ720890 DNF720886:DNF720890 DXB720886:DXB720890 EGX720886:EGX720890 EQT720886:EQT720890 FAP720886:FAP720890 FKL720886:FKL720890 FUH720886:FUH720890 GED720886:GED720890 GNZ720886:GNZ720890 GXV720886:GXV720890 HHR720886:HHR720890 HRN720886:HRN720890 IBJ720886:IBJ720890 ILF720886:ILF720890 IVB720886:IVB720890 JEX720886:JEX720890 JOT720886:JOT720890 JYP720886:JYP720890 KIL720886:KIL720890 KSH720886:KSH720890 LCD720886:LCD720890 LLZ720886:LLZ720890 LVV720886:LVV720890 MFR720886:MFR720890 MPN720886:MPN720890 MZJ720886:MZJ720890 NJF720886:NJF720890 NTB720886:NTB720890 OCX720886:OCX720890 OMT720886:OMT720890 OWP720886:OWP720890 PGL720886:PGL720890 PQH720886:PQH720890 QAD720886:QAD720890 QJZ720886:QJZ720890 QTV720886:QTV720890 RDR720886:RDR720890 RNN720886:RNN720890 RXJ720886:RXJ720890 SHF720886:SHF720890 SRB720886:SRB720890 TAX720886:TAX720890 TKT720886:TKT720890 TUP720886:TUP720890 UEL720886:UEL720890 UOH720886:UOH720890 UYD720886:UYD720890 VHZ720886:VHZ720890 VRV720886:VRV720890 WBR720886:WBR720890 WLN720886:WLN720890 WVJ720886:WVJ720890 B786422:B786426 IX786422:IX786426 ST786422:ST786426 ACP786422:ACP786426 AML786422:AML786426 AWH786422:AWH786426 BGD786422:BGD786426 BPZ786422:BPZ786426 BZV786422:BZV786426 CJR786422:CJR786426 CTN786422:CTN786426 DDJ786422:DDJ786426 DNF786422:DNF786426 DXB786422:DXB786426 EGX786422:EGX786426 EQT786422:EQT786426 FAP786422:FAP786426 FKL786422:FKL786426 FUH786422:FUH786426 GED786422:GED786426 GNZ786422:GNZ786426 GXV786422:GXV786426 HHR786422:HHR786426 HRN786422:HRN786426 IBJ786422:IBJ786426 ILF786422:ILF786426 IVB786422:IVB786426 JEX786422:JEX786426 JOT786422:JOT786426 JYP786422:JYP786426 KIL786422:KIL786426 KSH786422:KSH786426 LCD786422:LCD786426 LLZ786422:LLZ786426 LVV786422:LVV786426 MFR786422:MFR786426 MPN786422:MPN786426 MZJ786422:MZJ786426 NJF786422:NJF786426 NTB786422:NTB786426 OCX786422:OCX786426 OMT786422:OMT786426 OWP786422:OWP786426 PGL786422:PGL786426 PQH786422:PQH786426 QAD786422:QAD786426 QJZ786422:QJZ786426 QTV786422:QTV786426 RDR786422:RDR786426 RNN786422:RNN786426 RXJ786422:RXJ786426 SHF786422:SHF786426 SRB786422:SRB786426 TAX786422:TAX786426 TKT786422:TKT786426 TUP786422:TUP786426 UEL786422:UEL786426 UOH786422:UOH786426 UYD786422:UYD786426 VHZ786422:VHZ786426 VRV786422:VRV786426 WBR786422:WBR786426 WLN786422:WLN786426 WVJ786422:WVJ786426 B851958:B851962 IX851958:IX851962 ST851958:ST851962 ACP851958:ACP851962 AML851958:AML851962 AWH851958:AWH851962 BGD851958:BGD851962 BPZ851958:BPZ851962 BZV851958:BZV851962 CJR851958:CJR851962 CTN851958:CTN851962 DDJ851958:DDJ851962 DNF851958:DNF851962 DXB851958:DXB851962 EGX851958:EGX851962 EQT851958:EQT851962 FAP851958:FAP851962 FKL851958:FKL851962 FUH851958:FUH851962 GED851958:GED851962 GNZ851958:GNZ851962 GXV851958:GXV851962 HHR851958:HHR851962 HRN851958:HRN851962 IBJ851958:IBJ851962 ILF851958:ILF851962 IVB851958:IVB851962 JEX851958:JEX851962 JOT851958:JOT851962 JYP851958:JYP851962 KIL851958:KIL851962 KSH851958:KSH851962 LCD851958:LCD851962 LLZ851958:LLZ851962 LVV851958:LVV851962 MFR851958:MFR851962 MPN851958:MPN851962 MZJ851958:MZJ851962 NJF851958:NJF851962 NTB851958:NTB851962 OCX851958:OCX851962 OMT851958:OMT851962 OWP851958:OWP851962 PGL851958:PGL851962 PQH851958:PQH851962 QAD851958:QAD851962 QJZ851958:QJZ851962 QTV851958:QTV851962 RDR851958:RDR851962 RNN851958:RNN851962 RXJ851958:RXJ851962 SHF851958:SHF851962 SRB851958:SRB851962 TAX851958:TAX851962 TKT851958:TKT851962 TUP851958:TUP851962 UEL851958:UEL851962 UOH851958:UOH851962 UYD851958:UYD851962 VHZ851958:VHZ851962 VRV851958:VRV851962 WBR851958:WBR851962 WLN851958:WLN851962 WVJ851958:WVJ851962 B917494:B917498 IX917494:IX917498 ST917494:ST917498 ACP917494:ACP917498 AML917494:AML917498 AWH917494:AWH917498 BGD917494:BGD917498 BPZ917494:BPZ917498 BZV917494:BZV917498 CJR917494:CJR917498 CTN917494:CTN917498 DDJ917494:DDJ917498 DNF917494:DNF917498 DXB917494:DXB917498 EGX917494:EGX917498 EQT917494:EQT917498 FAP917494:FAP917498 FKL917494:FKL917498 FUH917494:FUH917498 GED917494:GED917498 GNZ917494:GNZ917498 GXV917494:GXV917498 HHR917494:HHR917498 HRN917494:HRN917498 IBJ917494:IBJ917498 ILF917494:ILF917498 IVB917494:IVB917498 JEX917494:JEX917498 JOT917494:JOT917498 JYP917494:JYP917498 KIL917494:KIL917498 KSH917494:KSH917498 LCD917494:LCD917498 LLZ917494:LLZ917498 LVV917494:LVV917498 MFR917494:MFR917498 MPN917494:MPN917498 MZJ917494:MZJ917498 NJF917494:NJF917498 NTB917494:NTB917498 OCX917494:OCX917498 OMT917494:OMT917498 OWP917494:OWP917498 PGL917494:PGL917498 PQH917494:PQH917498 QAD917494:QAD917498 QJZ917494:QJZ917498 QTV917494:QTV917498 RDR917494:RDR917498 RNN917494:RNN917498 RXJ917494:RXJ917498 SHF917494:SHF917498 SRB917494:SRB917498 TAX917494:TAX917498 TKT917494:TKT917498 TUP917494:TUP917498 UEL917494:UEL917498 UOH917494:UOH917498 UYD917494:UYD917498 VHZ917494:VHZ917498 VRV917494:VRV917498 WBR917494:WBR917498 WLN917494:WLN917498 WVJ917494:WVJ917498 B983030:B983034 IX983030:IX983034 ST983030:ST983034 ACP983030:ACP983034 AML983030:AML983034 AWH983030:AWH983034 BGD983030:BGD983034 BPZ983030:BPZ983034 BZV983030:BZV983034 CJR983030:CJR983034 CTN983030:CTN983034 DDJ983030:DDJ983034 DNF983030:DNF983034 DXB983030:DXB983034 EGX983030:EGX983034 EQT983030:EQT983034 FAP983030:FAP983034 FKL983030:FKL983034 FUH983030:FUH983034 GED983030:GED983034 GNZ983030:GNZ983034 GXV983030:GXV983034 HHR983030:HHR983034 HRN983030:HRN983034 IBJ983030:IBJ983034 ILF983030:ILF983034 IVB983030:IVB983034 JEX983030:JEX983034 JOT983030:JOT983034 JYP983030:JYP983034 KIL983030:KIL983034 KSH983030:KSH983034 LCD983030:LCD983034 LLZ983030:LLZ983034 LVV983030:LVV983034 MFR983030:MFR983034 MPN983030:MPN983034 MZJ983030:MZJ983034 NJF983030:NJF983034 NTB983030:NTB983034 OCX983030:OCX983034 OMT983030:OMT983034 OWP983030:OWP983034 PGL983030:PGL983034 PQH983030:PQH983034 QAD983030:QAD983034 QJZ983030:QJZ983034 QTV983030:QTV983034 RDR983030:RDR983034 RNN983030:RNN983034 RXJ983030:RXJ983034 SHF983030:SHF983034 SRB983030:SRB983034 TAX983030:TAX983034 TKT983030:TKT983034 TUP983030:TUP983034 UEL983030:UEL983034 UOH983030:UOH983034 UYD983030:UYD983034 VHZ983030:VHZ983034 VRV983030:VRV983034 WBR983030:WBR983034 WLN983030:WLN983034 WVJ983030:WVJ983034 B65536:B65540 IX65536:IX65540 ST65536:ST65540 ACP65536:ACP65540 AML65536:AML65540 AWH65536:AWH65540 BGD65536:BGD65540 BPZ65536:BPZ65540 BZV65536:BZV65540 CJR65536:CJR65540 CTN65536:CTN65540 DDJ65536:DDJ65540 DNF65536:DNF65540 DXB65536:DXB65540 EGX65536:EGX65540 EQT65536:EQT65540 FAP65536:FAP65540 FKL65536:FKL65540 FUH65536:FUH65540 GED65536:GED65540 GNZ65536:GNZ65540 GXV65536:GXV65540 HHR65536:HHR65540 HRN65536:HRN65540 IBJ65536:IBJ65540 ILF65536:ILF65540 IVB65536:IVB65540 JEX65536:JEX65540 JOT65536:JOT65540 JYP65536:JYP65540 KIL65536:KIL65540 KSH65536:KSH65540 LCD65536:LCD65540 LLZ65536:LLZ65540 LVV65536:LVV65540 MFR65536:MFR65540 MPN65536:MPN65540 MZJ65536:MZJ65540 NJF65536:NJF65540 NTB65536:NTB65540 OCX65536:OCX65540 OMT65536:OMT65540 OWP65536:OWP65540 PGL65536:PGL65540 PQH65536:PQH65540 QAD65536:QAD65540 QJZ65536:QJZ65540 QTV65536:QTV65540 RDR65536:RDR65540 RNN65536:RNN65540 RXJ65536:RXJ65540 SHF65536:SHF65540 SRB65536:SRB65540 TAX65536:TAX65540 TKT65536:TKT65540 TUP65536:TUP65540 UEL65536:UEL65540 UOH65536:UOH65540 UYD65536:UYD65540 VHZ65536:VHZ65540 VRV65536:VRV65540 WBR65536:WBR65540 WLN65536:WLN65540 WVJ65536:WVJ65540 B131072:B131076 IX131072:IX131076 ST131072:ST131076 ACP131072:ACP131076 AML131072:AML131076 AWH131072:AWH131076 BGD131072:BGD131076 BPZ131072:BPZ131076 BZV131072:BZV131076 CJR131072:CJR131076 CTN131072:CTN131076 DDJ131072:DDJ131076 DNF131072:DNF131076 DXB131072:DXB131076 EGX131072:EGX131076 EQT131072:EQT131076 FAP131072:FAP131076 FKL131072:FKL131076 FUH131072:FUH131076 GED131072:GED131076 GNZ131072:GNZ131076 GXV131072:GXV131076 HHR131072:HHR131076 HRN131072:HRN131076 IBJ131072:IBJ131076 ILF131072:ILF131076 IVB131072:IVB131076 JEX131072:JEX131076 JOT131072:JOT131076 JYP131072:JYP131076 KIL131072:KIL131076 KSH131072:KSH131076 LCD131072:LCD131076 LLZ131072:LLZ131076 LVV131072:LVV131076 MFR131072:MFR131076 MPN131072:MPN131076 MZJ131072:MZJ131076 NJF131072:NJF131076 NTB131072:NTB131076 OCX131072:OCX131076 OMT131072:OMT131076 OWP131072:OWP131076 PGL131072:PGL131076 PQH131072:PQH131076 QAD131072:QAD131076 QJZ131072:QJZ131076 QTV131072:QTV131076 RDR131072:RDR131076 RNN131072:RNN131076 RXJ131072:RXJ131076 SHF131072:SHF131076 SRB131072:SRB131076 TAX131072:TAX131076 TKT131072:TKT131076 TUP131072:TUP131076 UEL131072:UEL131076 UOH131072:UOH131076 UYD131072:UYD131076 VHZ131072:VHZ131076 VRV131072:VRV131076 WBR131072:WBR131076 WLN131072:WLN131076 WVJ131072:WVJ131076 B196608:B196612 IX196608:IX196612 ST196608:ST196612 ACP196608:ACP196612 AML196608:AML196612 AWH196608:AWH196612 BGD196608:BGD196612 BPZ196608:BPZ196612 BZV196608:BZV196612 CJR196608:CJR196612 CTN196608:CTN196612 DDJ196608:DDJ196612 DNF196608:DNF196612 DXB196608:DXB196612 EGX196608:EGX196612 EQT196608:EQT196612 FAP196608:FAP196612 FKL196608:FKL196612 FUH196608:FUH196612 GED196608:GED196612 GNZ196608:GNZ196612 GXV196608:GXV196612 HHR196608:HHR196612 HRN196608:HRN196612 IBJ196608:IBJ196612 ILF196608:ILF196612 IVB196608:IVB196612 JEX196608:JEX196612 JOT196608:JOT196612 JYP196608:JYP196612 KIL196608:KIL196612 KSH196608:KSH196612 LCD196608:LCD196612 LLZ196608:LLZ196612 LVV196608:LVV196612 MFR196608:MFR196612 MPN196608:MPN196612 MZJ196608:MZJ196612 NJF196608:NJF196612 NTB196608:NTB196612 OCX196608:OCX196612 OMT196608:OMT196612 OWP196608:OWP196612 PGL196608:PGL196612 PQH196608:PQH196612 QAD196608:QAD196612 QJZ196608:QJZ196612 QTV196608:QTV196612 RDR196608:RDR196612 RNN196608:RNN196612 RXJ196608:RXJ196612 SHF196608:SHF196612 SRB196608:SRB196612 TAX196608:TAX196612 TKT196608:TKT196612 TUP196608:TUP196612 UEL196608:UEL196612 UOH196608:UOH196612 UYD196608:UYD196612 VHZ196608:VHZ196612 VRV196608:VRV196612 WBR196608:WBR196612 WLN196608:WLN196612 WVJ196608:WVJ196612 B262144:B262148 IX262144:IX262148 ST262144:ST262148 ACP262144:ACP262148 AML262144:AML262148 AWH262144:AWH262148 BGD262144:BGD262148 BPZ262144:BPZ262148 BZV262144:BZV262148 CJR262144:CJR262148 CTN262144:CTN262148 DDJ262144:DDJ262148 DNF262144:DNF262148 DXB262144:DXB262148 EGX262144:EGX262148 EQT262144:EQT262148 FAP262144:FAP262148 FKL262144:FKL262148 FUH262144:FUH262148 GED262144:GED262148 GNZ262144:GNZ262148 GXV262144:GXV262148 HHR262144:HHR262148 HRN262144:HRN262148 IBJ262144:IBJ262148 ILF262144:ILF262148 IVB262144:IVB262148 JEX262144:JEX262148 JOT262144:JOT262148 JYP262144:JYP262148 KIL262144:KIL262148 KSH262144:KSH262148 LCD262144:LCD262148 LLZ262144:LLZ262148 LVV262144:LVV262148 MFR262144:MFR262148 MPN262144:MPN262148 MZJ262144:MZJ262148 NJF262144:NJF262148 NTB262144:NTB262148 OCX262144:OCX262148 OMT262144:OMT262148 OWP262144:OWP262148 PGL262144:PGL262148 PQH262144:PQH262148 QAD262144:QAD262148 QJZ262144:QJZ262148 QTV262144:QTV262148 RDR262144:RDR262148 RNN262144:RNN262148 RXJ262144:RXJ262148 SHF262144:SHF262148 SRB262144:SRB262148 TAX262144:TAX262148 TKT262144:TKT262148 TUP262144:TUP262148 UEL262144:UEL262148 UOH262144:UOH262148 UYD262144:UYD262148 VHZ262144:VHZ262148 VRV262144:VRV262148 WBR262144:WBR262148 WLN262144:WLN262148 WVJ262144:WVJ262148 B327680:B327684 IX327680:IX327684 ST327680:ST327684 ACP327680:ACP327684 AML327680:AML327684 AWH327680:AWH327684 BGD327680:BGD327684 BPZ327680:BPZ327684 BZV327680:BZV327684 CJR327680:CJR327684 CTN327680:CTN327684 DDJ327680:DDJ327684 DNF327680:DNF327684 DXB327680:DXB327684 EGX327680:EGX327684 EQT327680:EQT327684 FAP327680:FAP327684 FKL327680:FKL327684 FUH327680:FUH327684 GED327680:GED327684 GNZ327680:GNZ327684 GXV327680:GXV327684 HHR327680:HHR327684 HRN327680:HRN327684 IBJ327680:IBJ327684 ILF327680:ILF327684 IVB327680:IVB327684 JEX327680:JEX327684 JOT327680:JOT327684 JYP327680:JYP327684 KIL327680:KIL327684 KSH327680:KSH327684 LCD327680:LCD327684 LLZ327680:LLZ327684 LVV327680:LVV327684 MFR327680:MFR327684 MPN327680:MPN327684 MZJ327680:MZJ327684 NJF327680:NJF327684 NTB327680:NTB327684 OCX327680:OCX327684 OMT327680:OMT327684 OWP327680:OWP327684 PGL327680:PGL327684 PQH327680:PQH327684 QAD327680:QAD327684 QJZ327680:QJZ327684 QTV327680:QTV327684 RDR327680:RDR327684 RNN327680:RNN327684 RXJ327680:RXJ327684 SHF327680:SHF327684 SRB327680:SRB327684 TAX327680:TAX327684 TKT327680:TKT327684 TUP327680:TUP327684 UEL327680:UEL327684 UOH327680:UOH327684 UYD327680:UYD327684 VHZ327680:VHZ327684 VRV327680:VRV327684 WBR327680:WBR327684 WLN327680:WLN327684 WVJ327680:WVJ327684 B393216:B393220 IX393216:IX393220 ST393216:ST393220 ACP393216:ACP393220 AML393216:AML393220 AWH393216:AWH393220 BGD393216:BGD393220 BPZ393216:BPZ393220 BZV393216:BZV393220 CJR393216:CJR393220 CTN393216:CTN393220 DDJ393216:DDJ393220 DNF393216:DNF393220 DXB393216:DXB393220 EGX393216:EGX393220 EQT393216:EQT393220 FAP393216:FAP393220 FKL393216:FKL393220 FUH393216:FUH393220 GED393216:GED393220 GNZ393216:GNZ393220 GXV393216:GXV393220 HHR393216:HHR393220 HRN393216:HRN393220 IBJ393216:IBJ393220 ILF393216:ILF393220 IVB393216:IVB393220 JEX393216:JEX393220 JOT393216:JOT393220 JYP393216:JYP393220 KIL393216:KIL393220 KSH393216:KSH393220 LCD393216:LCD393220 LLZ393216:LLZ393220 LVV393216:LVV393220 MFR393216:MFR393220 MPN393216:MPN393220 MZJ393216:MZJ393220 NJF393216:NJF393220 NTB393216:NTB393220 OCX393216:OCX393220 OMT393216:OMT393220 OWP393216:OWP393220 PGL393216:PGL393220 PQH393216:PQH393220 QAD393216:QAD393220 QJZ393216:QJZ393220 QTV393216:QTV393220 RDR393216:RDR393220 RNN393216:RNN393220 RXJ393216:RXJ393220 SHF393216:SHF393220 SRB393216:SRB393220 TAX393216:TAX393220 TKT393216:TKT393220 TUP393216:TUP393220 UEL393216:UEL393220 UOH393216:UOH393220 UYD393216:UYD393220 VHZ393216:VHZ393220 VRV393216:VRV393220 WBR393216:WBR393220 WLN393216:WLN393220 WVJ393216:WVJ393220 B458752:B458756 IX458752:IX458756 ST458752:ST458756 ACP458752:ACP458756 AML458752:AML458756 AWH458752:AWH458756 BGD458752:BGD458756 BPZ458752:BPZ458756 BZV458752:BZV458756 CJR458752:CJR458756 CTN458752:CTN458756 DDJ458752:DDJ458756 DNF458752:DNF458756 DXB458752:DXB458756 EGX458752:EGX458756 EQT458752:EQT458756 FAP458752:FAP458756 FKL458752:FKL458756 FUH458752:FUH458756 GED458752:GED458756 GNZ458752:GNZ458756 GXV458752:GXV458756 HHR458752:HHR458756 HRN458752:HRN458756 IBJ458752:IBJ458756 ILF458752:ILF458756 IVB458752:IVB458756 JEX458752:JEX458756 JOT458752:JOT458756 JYP458752:JYP458756 KIL458752:KIL458756 KSH458752:KSH458756 LCD458752:LCD458756 LLZ458752:LLZ458756 LVV458752:LVV458756 MFR458752:MFR458756 MPN458752:MPN458756 MZJ458752:MZJ458756 NJF458752:NJF458756 NTB458752:NTB458756 OCX458752:OCX458756 OMT458752:OMT458756 OWP458752:OWP458756 PGL458752:PGL458756 PQH458752:PQH458756 QAD458752:QAD458756 QJZ458752:QJZ458756 QTV458752:QTV458756 RDR458752:RDR458756 RNN458752:RNN458756 RXJ458752:RXJ458756 SHF458752:SHF458756 SRB458752:SRB458756 TAX458752:TAX458756 TKT458752:TKT458756 TUP458752:TUP458756 UEL458752:UEL458756 UOH458752:UOH458756 UYD458752:UYD458756 VHZ458752:VHZ458756 VRV458752:VRV458756 WBR458752:WBR458756 WLN458752:WLN458756 WVJ458752:WVJ458756 B524288:B524292 IX524288:IX524292 ST524288:ST524292 ACP524288:ACP524292 AML524288:AML524292 AWH524288:AWH524292 BGD524288:BGD524292 BPZ524288:BPZ524292 BZV524288:BZV524292 CJR524288:CJR524292 CTN524288:CTN524292 DDJ524288:DDJ524292 DNF524288:DNF524292 DXB524288:DXB524292 EGX524288:EGX524292 EQT524288:EQT524292 FAP524288:FAP524292 FKL524288:FKL524292 FUH524288:FUH524292 GED524288:GED524292 GNZ524288:GNZ524292 GXV524288:GXV524292 HHR524288:HHR524292 HRN524288:HRN524292 IBJ524288:IBJ524292 ILF524288:ILF524292 IVB524288:IVB524292 JEX524288:JEX524292 JOT524288:JOT524292 JYP524288:JYP524292 KIL524288:KIL524292 KSH524288:KSH524292 LCD524288:LCD524292 LLZ524288:LLZ524292 LVV524288:LVV524292 MFR524288:MFR524292 MPN524288:MPN524292 MZJ524288:MZJ524292 NJF524288:NJF524292 NTB524288:NTB524292 OCX524288:OCX524292 OMT524288:OMT524292 OWP524288:OWP524292 PGL524288:PGL524292 PQH524288:PQH524292 QAD524288:QAD524292 QJZ524288:QJZ524292 QTV524288:QTV524292 RDR524288:RDR524292 RNN524288:RNN524292 RXJ524288:RXJ524292 SHF524288:SHF524292 SRB524288:SRB524292 TAX524288:TAX524292 TKT524288:TKT524292 TUP524288:TUP524292 UEL524288:UEL524292 UOH524288:UOH524292 UYD524288:UYD524292 VHZ524288:VHZ524292 VRV524288:VRV524292 WBR524288:WBR524292 WLN524288:WLN524292 WVJ524288:WVJ524292 B589824:B589828 IX589824:IX589828 ST589824:ST589828 ACP589824:ACP589828 AML589824:AML589828 AWH589824:AWH589828 BGD589824:BGD589828 BPZ589824:BPZ589828 BZV589824:BZV589828 CJR589824:CJR589828 CTN589824:CTN589828 DDJ589824:DDJ589828 DNF589824:DNF589828 DXB589824:DXB589828 EGX589824:EGX589828 EQT589824:EQT589828 FAP589824:FAP589828 FKL589824:FKL589828 FUH589824:FUH589828 GED589824:GED589828 GNZ589824:GNZ589828 GXV589824:GXV589828 HHR589824:HHR589828 HRN589824:HRN589828 IBJ589824:IBJ589828 ILF589824:ILF589828 IVB589824:IVB589828 JEX589824:JEX589828 JOT589824:JOT589828 JYP589824:JYP589828 KIL589824:KIL589828 KSH589824:KSH589828 LCD589824:LCD589828 LLZ589824:LLZ589828 LVV589824:LVV589828 MFR589824:MFR589828 MPN589824:MPN589828 MZJ589824:MZJ589828 NJF589824:NJF589828 NTB589824:NTB589828 OCX589824:OCX589828 OMT589824:OMT589828 OWP589824:OWP589828 PGL589824:PGL589828 PQH589824:PQH589828 QAD589824:QAD589828 QJZ589824:QJZ589828 QTV589824:QTV589828 RDR589824:RDR589828 RNN589824:RNN589828 RXJ589824:RXJ589828 SHF589824:SHF589828 SRB589824:SRB589828 TAX589824:TAX589828 TKT589824:TKT589828 TUP589824:TUP589828 UEL589824:UEL589828 UOH589824:UOH589828 UYD589824:UYD589828 VHZ589824:VHZ589828 VRV589824:VRV589828 WBR589824:WBR589828 WLN589824:WLN589828 WVJ589824:WVJ589828 B655360:B655364 IX655360:IX655364 ST655360:ST655364 ACP655360:ACP655364 AML655360:AML655364 AWH655360:AWH655364 BGD655360:BGD655364 BPZ655360:BPZ655364 BZV655360:BZV655364 CJR655360:CJR655364 CTN655360:CTN655364 DDJ655360:DDJ655364 DNF655360:DNF655364 DXB655360:DXB655364 EGX655360:EGX655364 EQT655360:EQT655364 FAP655360:FAP655364 FKL655360:FKL655364 FUH655360:FUH655364 GED655360:GED655364 GNZ655360:GNZ655364 GXV655360:GXV655364 HHR655360:HHR655364 HRN655360:HRN655364 IBJ655360:IBJ655364 ILF655360:ILF655364 IVB655360:IVB655364 JEX655360:JEX655364 JOT655360:JOT655364 JYP655360:JYP655364 KIL655360:KIL655364 KSH655360:KSH655364 LCD655360:LCD655364 LLZ655360:LLZ655364 LVV655360:LVV655364 MFR655360:MFR655364 MPN655360:MPN655364 MZJ655360:MZJ655364 NJF655360:NJF655364 NTB655360:NTB655364 OCX655360:OCX655364 OMT655360:OMT655364 OWP655360:OWP655364 PGL655360:PGL655364 PQH655360:PQH655364 QAD655360:QAD655364 QJZ655360:QJZ655364 QTV655360:QTV655364 RDR655360:RDR655364 RNN655360:RNN655364 RXJ655360:RXJ655364 SHF655360:SHF655364 SRB655360:SRB655364 TAX655360:TAX655364 TKT655360:TKT655364 TUP655360:TUP655364 UEL655360:UEL655364 UOH655360:UOH655364 UYD655360:UYD655364 VHZ655360:VHZ655364 VRV655360:VRV655364 WBR655360:WBR655364 WLN655360:WLN655364 WVJ655360:WVJ655364 B720896:B720900 IX720896:IX720900 ST720896:ST720900 ACP720896:ACP720900 AML720896:AML720900 AWH720896:AWH720900 BGD720896:BGD720900 BPZ720896:BPZ720900 BZV720896:BZV720900 CJR720896:CJR720900 CTN720896:CTN720900 DDJ720896:DDJ720900 DNF720896:DNF720900 DXB720896:DXB720900 EGX720896:EGX720900 EQT720896:EQT720900 FAP720896:FAP720900 FKL720896:FKL720900 FUH720896:FUH720900 GED720896:GED720900 GNZ720896:GNZ720900 GXV720896:GXV720900 HHR720896:HHR720900 HRN720896:HRN720900 IBJ720896:IBJ720900 ILF720896:ILF720900 IVB720896:IVB720900 JEX720896:JEX720900 JOT720896:JOT720900 JYP720896:JYP720900 KIL720896:KIL720900 KSH720896:KSH720900 LCD720896:LCD720900 LLZ720896:LLZ720900 LVV720896:LVV720900 MFR720896:MFR720900 MPN720896:MPN720900 MZJ720896:MZJ720900 NJF720896:NJF720900 NTB720896:NTB720900 OCX720896:OCX720900 OMT720896:OMT720900 OWP720896:OWP720900 PGL720896:PGL720900 PQH720896:PQH720900 QAD720896:QAD720900 QJZ720896:QJZ720900 QTV720896:QTV720900 RDR720896:RDR720900 RNN720896:RNN720900 RXJ720896:RXJ720900 SHF720896:SHF720900 SRB720896:SRB720900 TAX720896:TAX720900 TKT720896:TKT720900 TUP720896:TUP720900 UEL720896:UEL720900 UOH720896:UOH720900 UYD720896:UYD720900 VHZ720896:VHZ720900 VRV720896:VRV720900 WBR720896:WBR720900 WLN720896:WLN720900 WVJ720896:WVJ720900 B786432:B786436 IX786432:IX786436 ST786432:ST786436 ACP786432:ACP786436 AML786432:AML786436 AWH786432:AWH786436 BGD786432:BGD786436 BPZ786432:BPZ786436 BZV786432:BZV786436 CJR786432:CJR786436 CTN786432:CTN786436 DDJ786432:DDJ786436 DNF786432:DNF786436 DXB786432:DXB786436 EGX786432:EGX786436 EQT786432:EQT786436 FAP786432:FAP786436 FKL786432:FKL786436 FUH786432:FUH786436 GED786432:GED786436 GNZ786432:GNZ786436 GXV786432:GXV786436 HHR786432:HHR786436 HRN786432:HRN786436 IBJ786432:IBJ786436 ILF786432:ILF786436 IVB786432:IVB786436 JEX786432:JEX786436 JOT786432:JOT786436 JYP786432:JYP786436 KIL786432:KIL786436 KSH786432:KSH786436 LCD786432:LCD786436 LLZ786432:LLZ786436 LVV786432:LVV786436 MFR786432:MFR786436 MPN786432:MPN786436 MZJ786432:MZJ786436 NJF786432:NJF786436 NTB786432:NTB786436 OCX786432:OCX786436 OMT786432:OMT786436 OWP786432:OWP786436 PGL786432:PGL786436 PQH786432:PQH786436 QAD786432:QAD786436 QJZ786432:QJZ786436 QTV786432:QTV786436 RDR786432:RDR786436 RNN786432:RNN786436 RXJ786432:RXJ786436 SHF786432:SHF786436 SRB786432:SRB786436 TAX786432:TAX786436 TKT786432:TKT786436 TUP786432:TUP786436 UEL786432:UEL786436 UOH786432:UOH786436 UYD786432:UYD786436 VHZ786432:VHZ786436 VRV786432:VRV786436 WBR786432:WBR786436 WLN786432:WLN786436 WVJ786432:WVJ786436 B851968:B851972 IX851968:IX851972 ST851968:ST851972 ACP851968:ACP851972 AML851968:AML851972 AWH851968:AWH851972 BGD851968:BGD851972 BPZ851968:BPZ851972 BZV851968:BZV851972 CJR851968:CJR851972 CTN851968:CTN851972 DDJ851968:DDJ851972 DNF851968:DNF851972 DXB851968:DXB851972 EGX851968:EGX851972 EQT851968:EQT851972 FAP851968:FAP851972 FKL851968:FKL851972 FUH851968:FUH851972 GED851968:GED851972 GNZ851968:GNZ851972 GXV851968:GXV851972 HHR851968:HHR851972 HRN851968:HRN851972 IBJ851968:IBJ851972 ILF851968:ILF851972 IVB851968:IVB851972 JEX851968:JEX851972 JOT851968:JOT851972 JYP851968:JYP851972 KIL851968:KIL851972 KSH851968:KSH851972 LCD851968:LCD851972 LLZ851968:LLZ851972 LVV851968:LVV851972 MFR851968:MFR851972 MPN851968:MPN851972 MZJ851968:MZJ851972 NJF851968:NJF851972 NTB851968:NTB851972 OCX851968:OCX851972 OMT851968:OMT851972 OWP851968:OWP851972 PGL851968:PGL851972 PQH851968:PQH851972 QAD851968:QAD851972 QJZ851968:QJZ851972 QTV851968:QTV851972 RDR851968:RDR851972 RNN851968:RNN851972 RXJ851968:RXJ851972 SHF851968:SHF851972 SRB851968:SRB851972 TAX851968:TAX851972 TKT851968:TKT851972 TUP851968:TUP851972 UEL851968:UEL851972 UOH851968:UOH851972 UYD851968:UYD851972 VHZ851968:VHZ851972 VRV851968:VRV851972 WBR851968:WBR851972 WLN851968:WLN851972 WVJ851968:WVJ851972 B917504:B917508 IX917504:IX917508 ST917504:ST917508 ACP917504:ACP917508 AML917504:AML917508 AWH917504:AWH917508 BGD917504:BGD917508 BPZ917504:BPZ917508 BZV917504:BZV917508 CJR917504:CJR917508 CTN917504:CTN917508 DDJ917504:DDJ917508 DNF917504:DNF917508 DXB917504:DXB917508 EGX917504:EGX917508 EQT917504:EQT917508 FAP917504:FAP917508 FKL917504:FKL917508 FUH917504:FUH917508 GED917504:GED917508 GNZ917504:GNZ917508 GXV917504:GXV917508 HHR917504:HHR917508 HRN917504:HRN917508 IBJ917504:IBJ917508 ILF917504:ILF917508 IVB917504:IVB917508 JEX917504:JEX917508 JOT917504:JOT917508 JYP917504:JYP917508 KIL917504:KIL917508 KSH917504:KSH917508 LCD917504:LCD917508 LLZ917504:LLZ917508 LVV917504:LVV917508 MFR917504:MFR917508 MPN917504:MPN917508 MZJ917504:MZJ917508 NJF917504:NJF917508 NTB917504:NTB917508 OCX917504:OCX917508 OMT917504:OMT917508 OWP917504:OWP917508 PGL917504:PGL917508 PQH917504:PQH917508 QAD917504:QAD917508 QJZ917504:QJZ917508 QTV917504:QTV917508 RDR917504:RDR917508 RNN917504:RNN917508 RXJ917504:RXJ917508 SHF917504:SHF917508 SRB917504:SRB917508 TAX917504:TAX917508 TKT917504:TKT917508 TUP917504:TUP917508 UEL917504:UEL917508 UOH917504:UOH917508 UYD917504:UYD917508 VHZ917504:VHZ917508 VRV917504:VRV917508 WBR917504:WBR917508 WLN917504:WLN917508 WVJ917504:WVJ917508 B983040:B983044 IX983040:IX983044 ST983040:ST983044 ACP983040:ACP983044 AML983040:AML983044 AWH983040:AWH983044 BGD983040:BGD983044 BPZ983040:BPZ983044 BZV983040:BZV983044 CJR983040:CJR983044 CTN983040:CTN983044 DDJ983040:DDJ983044 DNF983040:DNF983044 DXB983040:DXB983044 EGX983040:EGX983044 EQT983040:EQT983044 FAP983040:FAP983044 FKL983040:FKL983044 FUH983040:FUH983044 GED983040:GED983044 GNZ983040:GNZ983044 GXV983040:GXV983044 HHR983040:HHR983044 HRN983040:HRN983044 IBJ983040:IBJ983044 ILF983040:ILF983044 IVB983040:IVB983044 JEX983040:JEX983044 JOT983040:JOT983044 JYP983040:JYP983044 KIL983040:KIL983044 KSH983040:KSH983044 LCD983040:LCD983044 LLZ983040:LLZ983044 LVV983040:LVV983044 MFR983040:MFR983044 MPN983040:MPN983044 MZJ983040:MZJ983044 NJF983040:NJF983044 NTB983040:NTB983044 OCX983040:OCX983044 OMT983040:OMT983044 OWP983040:OWP983044 PGL983040:PGL983044 PQH983040:PQH983044 QAD983040:QAD983044 QJZ983040:QJZ983044 QTV983040:QTV983044 RDR983040:RDR983044 RNN983040:RNN983044 RXJ983040:RXJ983044 SHF983040:SHF983044 SRB983040:SRB983044 TAX983040:TAX983044 TKT983040:TKT983044 TUP983040:TUP983044 UEL983040:UEL983044 UOH983040:UOH983044 UYD983040:UYD983044 VHZ983040:VHZ983044 VRV983040:VRV983044 WBR983040:WBR983044 WLN983040:WLN983044 WVJ983040:WVJ983044 B65546:B65550 IX65546:IX65550 ST65546:ST65550 ACP65546:ACP65550 AML65546:AML65550 AWH65546:AWH65550 BGD65546:BGD65550 BPZ65546:BPZ65550 BZV65546:BZV65550 CJR65546:CJR65550 CTN65546:CTN65550 DDJ65546:DDJ65550 DNF65546:DNF65550 DXB65546:DXB65550 EGX65546:EGX65550 EQT65546:EQT65550 FAP65546:FAP65550 FKL65546:FKL65550 FUH65546:FUH65550 GED65546:GED65550 GNZ65546:GNZ65550 GXV65546:GXV65550 HHR65546:HHR65550 HRN65546:HRN65550 IBJ65546:IBJ65550 ILF65546:ILF65550 IVB65546:IVB65550 JEX65546:JEX65550 JOT65546:JOT65550 JYP65546:JYP65550 KIL65546:KIL65550 KSH65546:KSH65550 LCD65546:LCD65550 LLZ65546:LLZ65550 LVV65546:LVV65550 MFR65546:MFR65550 MPN65546:MPN65550 MZJ65546:MZJ65550 NJF65546:NJF65550 NTB65546:NTB65550 OCX65546:OCX65550 OMT65546:OMT65550 OWP65546:OWP65550 PGL65546:PGL65550 PQH65546:PQH65550 QAD65546:QAD65550 QJZ65546:QJZ65550 QTV65546:QTV65550 RDR65546:RDR65550 RNN65546:RNN65550 RXJ65546:RXJ65550 SHF65546:SHF65550 SRB65546:SRB65550 TAX65546:TAX65550 TKT65546:TKT65550 TUP65546:TUP65550 UEL65546:UEL65550 UOH65546:UOH65550 UYD65546:UYD65550 VHZ65546:VHZ65550 VRV65546:VRV65550 WBR65546:WBR65550 WLN65546:WLN65550 WVJ65546:WVJ65550 B131082:B131086 IX131082:IX131086 ST131082:ST131086 ACP131082:ACP131086 AML131082:AML131086 AWH131082:AWH131086 BGD131082:BGD131086 BPZ131082:BPZ131086 BZV131082:BZV131086 CJR131082:CJR131086 CTN131082:CTN131086 DDJ131082:DDJ131086 DNF131082:DNF131086 DXB131082:DXB131086 EGX131082:EGX131086 EQT131082:EQT131086 FAP131082:FAP131086 FKL131082:FKL131086 FUH131082:FUH131086 GED131082:GED131086 GNZ131082:GNZ131086 GXV131082:GXV131086 HHR131082:HHR131086 HRN131082:HRN131086 IBJ131082:IBJ131086 ILF131082:ILF131086 IVB131082:IVB131086 JEX131082:JEX131086 JOT131082:JOT131086 JYP131082:JYP131086 KIL131082:KIL131086 KSH131082:KSH131086 LCD131082:LCD131086 LLZ131082:LLZ131086 LVV131082:LVV131086 MFR131082:MFR131086 MPN131082:MPN131086 MZJ131082:MZJ131086 NJF131082:NJF131086 NTB131082:NTB131086 OCX131082:OCX131086 OMT131082:OMT131086 OWP131082:OWP131086 PGL131082:PGL131086 PQH131082:PQH131086 QAD131082:QAD131086 QJZ131082:QJZ131086 QTV131082:QTV131086 RDR131082:RDR131086 RNN131082:RNN131086 RXJ131082:RXJ131086 SHF131082:SHF131086 SRB131082:SRB131086 TAX131082:TAX131086 TKT131082:TKT131086 TUP131082:TUP131086 UEL131082:UEL131086 UOH131082:UOH131086 UYD131082:UYD131086 VHZ131082:VHZ131086 VRV131082:VRV131086 WBR131082:WBR131086 WLN131082:WLN131086 WVJ131082:WVJ131086 B196618:B196622 IX196618:IX196622 ST196618:ST196622 ACP196618:ACP196622 AML196618:AML196622 AWH196618:AWH196622 BGD196618:BGD196622 BPZ196618:BPZ196622 BZV196618:BZV196622 CJR196618:CJR196622 CTN196618:CTN196622 DDJ196618:DDJ196622 DNF196618:DNF196622 DXB196618:DXB196622 EGX196618:EGX196622 EQT196618:EQT196622 FAP196618:FAP196622 FKL196618:FKL196622 FUH196618:FUH196622 GED196618:GED196622 GNZ196618:GNZ196622 GXV196618:GXV196622 HHR196618:HHR196622 HRN196618:HRN196622 IBJ196618:IBJ196622 ILF196618:ILF196622 IVB196618:IVB196622 JEX196618:JEX196622 JOT196618:JOT196622 JYP196618:JYP196622 KIL196618:KIL196622 KSH196618:KSH196622 LCD196618:LCD196622 LLZ196618:LLZ196622 LVV196618:LVV196622 MFR196618:MFR196622 MPN196618:MPN196622 MZJ196618:MZJ196622 NJF196618:NJF196622 NTB196618:NTB196622 OCX196618:OCX196622 OMT196618:OMT196622 OWP196618:OWP196622 PGL196618:PGL196622 PQH196618:PQH196622 QAD196618:QAD196622 QJZ196618:QJZ196622 QTV196618:QTV196622 RDR196618:RDR196622 RNN196618:RNN196622 RXJ196618:RXJ196622 SHF196618:SHF196622 SRB196618:SRB196622 TAX196618:TAX196622 TKT196618:TKT196622 TUP196618:TUP196622 UEL196618:UEL196622 UOH196618:UOH196622 UYD196618:UYD196622 VHZ196618:VHZ196622 VRV196618:VRV196622 WBR196618:WBR196622 WLN196618:WLN196622 WVJ196618:WVJ196622 B262154:B262158 IX262154:IX262158 ST262154:ST262158 ACP262154:ACP262158 AML262154:AML262158 AWH262154:AWH262158 BGD262154:BGD262158 BPZ262154:BPZ262158 BZV262154:BZV262158 CJR262154:CJR262158 CTN262154:CTN262158 DDJ262154:DDJ262158 DNF262154:DNF262158 DXB262154:DXB262158 EGX262154:EGX262158 EQT262154:EQT262158 FAP262154:FAP262158 FKL262154:FKL262158 FUH262154:FUH262158 GED262154:GED262158 GNZ262154:GNZ262158 GXV262154:GXV262158 HHR262154:HHR262158 HRN262154:HRN262158 IBJ262154:IBJ262158 ILF262154:ILF262158 IVB262154:IVB262158 JEX262154:JEX262158 JOT262154:JOT262158 JYP262154:JYP262158 KIL262154:KIL262158 KSH262154:KSH262158 LCD262154:LCD262158 LLZ262154:LLZ262158 LVV262154:LVV262158 MFR262154:MFR262158 MPN262154:MPN262158 MZJ262154:MZJ262158 NJF262154:NJF262158 NTB262154:NTB262158 OCX262154:OCX262158 OMT262154:OMT262158 OWP262154:OWP262158 PGL262154:PGL262158 PQH262154:PQH262158 QAD262154:QAD262158 QJZ262154:QJZ262158 QTV262154:QTV262158 RDR262154:RDR262158 RNN262154:RNN262158 RXJ262154:RXJ262158 SHF262154:SHF262158 SRB262154:SRB262158 TAX262154:TAX262158 TKT262154:TKT262158 TUP262154:TUP262158 UEL262154:UEL262158 UOH262154:UOH262158 UYD262154:UYD262158 VHZ262154:VHZ262158 VRV262154:VRV262158 WBR262154:WBR262158 WLN262154:WLN262158 WVJ262154:WVJ262158 B327690:B327694 IX327690:IX327694 ST327690:ST327694 ACP327690:ACP327694 AML327690:AML327694 AWH327690:AWH327694 BGD327690:BGD327694 BPZ327690:BPZ327694 BZV327690:BZV327694 CJR327690:CJR327694 CTN327690:CTN327694 DDJ327690:DDJ327694 DNF327690:DNF327694 DXB327690:DXB327694 EGX327690:EGX327694 EQT327690:EQT327694 FAP327690:FAP327694 FKL327690:FKL327694 FUH327690:FUH327694 GED327690:GED327694 GNZ327690:GNZ327694 GXV327690:GXV327694 HHR327690:HHR327694 HRN327690:HRN327694 IBJ327690:IBJ327694 ILF327690:ILF327694 IVB327690:IVB327694 JEX327690:JEX327694 JOT327690:JOT327694 JYP327690:JYP327694 KIL327690:KIL327694 KSH327690:KSH327694 LCD327690:LCD327694 LLZ327690:LLZ327694 LVV327690:LVV327694 MFR327690:MFR327694 MPN327690:MPN327694 MZJ327690:MZJ327694 NJF327690:NJF327694 NTB327690:NTB327694 OCX327690:OCX327694 OMT327690:OMT327694 OWP327690:OWP327694 PGL327690:PGL327694 PQH327690:PQH327694 QAD327690:QAD327694 QJZ327690:QJZ327694 QTV327690:QTV327694 RDR327690:RDR327694 RNN327690:RNN327694 RXJ327690:RXJ327694 SHF327690:SHF327694 SRB327690:SRB327694 TAX327690:TAX327694 TKT327690:TKT327694 TUP327690:TUP327694 UEL327690:UEL327694 UOH327690:UOH327694 UYD327690:UYD327694 VHZ327690:VHZ327694 VRV327690:VRV327694 WBR327690:WBR327694 WLN327690:WLN327694 WVJ327690:WVJ327694 B393226:B393230 IX393226:IX393230 ST393226:ST393230 ACP393226:ACP393230 AML393226:AML393230 AWH393226:AWH393230 BGD393226:BGD393230 BPZ393226:BPZ393230 BZV393226:BZV393230 CJR393226:CJR393230 CTN393226:CTN393230 DDJ393226:DDJ393230 DNF393226:DNF393230 DXB393226:DXB393230 EGX393226:EGX393230 EQT393226:EQT393230 FAP393226:FAP393230 FKL393226:FKL393230 FUH393226:FUH393230 GED393226:GED393230 GNZ393226:GNZ393230 GXV393226:GXV393230 HHR393226:HHR393230 HRN393226:HRN393230 IBJ393226:IBJ393230 ILF393226:ILF393230 IVB393226:IVB393230 JEX393226:JEX393230 JOT393226:JOT393230 JYP393226:JYP393230 KIL393226:KIL393230 KSH393226:KSH393230 LCD393226:LCD393230 LLZ393226:LLZ393230 LVV393226:LVV393230 MFR393226:MFR393230 MPN393226:MPN393230 MZJ393226:MZJ393230 NJF393226:NJF393230 NTB393226:NTB393230 OCX393226:OCX393230 OMT393226:OMT393230 OWP393226:OWP393230 PGL393226:PGL393230 PQH393226:PQH393230 QAD393226:QAD393230 QJZ393226:QJZ393230 QTV393226:QTV393230 RDR393226:RDR393230 RNN393226:RNN393230 RXJ393226:RXJ393230 SHF393226:SHF393230 SRB393226:SRB393230 TAX393226:TAX393230 TKT393226:TKT393230 TUP393226:TUP393230 UEL393226:UEL393230 UOH393226:UOH393230 UYD393226:UYD393230 VHZ393226:VHZ393230 VRV393226:VRV393230 WBR393226:WBR393230 WLN393226:WLN393230 WVJ393226:WVJ393230 B458762:B458766 IX458762:IX458766 ST458762:ST458766 ACP458762:ACP458766 AML458762:AML458766 AWH458762:AWH458766 BGD458762:BGD458766 BPZ458762:BPZ458766 BZV458762:BZV458766 CJR458762:CJR458766 CTN458762:CTN458766 DDJ458762:DDJ458766 DNF458762:DNF458766 DXB458762:DXB458766 EGX458762:EGX458766 EQT458762:EQT458766 FAP458762:FAP458766 FKL458762:FKL458766 FUH458762:FUH458766 GED458762:GED458766 GNZ458762:GNZ458766 GXV458762:GXV458766 HHR458762:HHR458766 HRN458762:HRN458766 IBJ458762:IBJ458766 ILF458762:ILF458766 IVB458762:IVB458766 JEX458762:JEX458766 JOT458762:JOT458766 JYP458762:JYP458766 KIL458762:KIL458766 KSH458762:KSH458766 LCD458762:LCD458766 LLZ458762:LLZ458766 LVV458762:LVV458766 MFR458762:MFR458766 MPN458762:MPN458766 MZJ458762:MZJ458766 NJF458762:NJF458766 NTB458762:NTB458766 OCX458762:OCX458766 OMT458762:OMT458766 OWP458762:OWP458766 PGL458762:PGL458766 PQH458762:PQH458766 QAD458762:QAD458766 QJZ458762:QJZ458766 QTV458762:QTV458766 RDR458762:RDR458766 RNN458762:RNN458766 RXJ458762:RXJ458766 SHF458762:SHF458766 SRB458762:SRB458766 TAX458762:TAX458766 TKT458762:TKT458766 TUP458762:TUP458766 UEL458762:UEL458766 UOH458762:UOH458766 UYD458762:UYD458766 VHZ458762:VHZ458766 VRV458762:VRV458766 WBR458762:WBR458766 WLN458762:WLN458766 WVJ458762:WVJ458766 B524298:B524302 IX524298:IX524302 ST524298:ST524302 ACP524298:ACP524302 AML524298:AML524302 AWH524298:AWH524302 BGD524298:BGD524302 BPZ524298:BPZ524302 BZV524298:BZV524302 CJR524298:CJR524302 CTN524298:CTN524302 DDJ524298:DDJ524302 DNF524298:DNF524302 DXB524298:DXB524302 EGX524298:EGX524302 EQT524298:EQT524302 FAP524298:FAP524302 FKL524298:FKL524302 FUH524298:FUH524302 GED524298:GED524302 GNZ524298:GNZ524302 GXV524298:GXV524302 HHR524298:HHR524302 HRN524298:HRN524302 IBJ524298:IBJ524302 ILF524298:ILF524302 IVB524298:IVB524302 JEX524298:JEX524302 JOT524298:JOT524302 JYP524298:JYP524302 KIL524298:KIL524302 KSH524298:KSH524302 LCD524298:LCD524302 LLZ524298:LLZ524302 LVV524298:LVV524302 MFR524298:MFR524302 MPN524298:MPN524302 MZJ524298:MZJ524302 NJF524298:NJF524302 NTB524298:NTB524302 OCX524298:OCX524302 OMT524298:OMT524302 OWP524298:OWP524302 PGL524298:PGL524302 PQH524298:PQH524302 QAD524298:QAD524302 QJZ524298:QJZ524302 QTV524298:QTV524302 RDR524298:RDR524302 RNN524298:RNN524302 RXJ524298:RXJ524302 SHF524298:SHF524302 SRB524298:SRB524302 TAX524298:TAX524302 TKT524298:TKT524302 TUP524298:TUP524302 UEL524298:UEL524302 UOH524298:UOH524302 UYD524298:UYD524302 VHZ524298:VHZ524302 VRV524298:VRV524302 WBR524298:WBR524302 WLN524298:WLN524302 WVJ524298:WVJ524302 B589834:B589838 IX589834:IX589838 ST589834:ST589838 ACP589834:ACP589838 AML589834:AML589838 AWH589834:AWH589838 BGD589834:BGD589838 BPZ589834:BPZ589838 BZV589834:BZV589838 CJR589834:CJR589838 CTN589834:CTN589838 DDJ589834:DDJ589838 DNF589834:DNF589838 DXB589834:DXB589838 EGX589834:EGX589838 EQT589834:EQT589838 FAP589834:FAP589838 FKL589834:FKL589838 FUH589834:FUH589838 GED589834:GED589838 GNZ589834:GNZ589838 GXV589834:GXV589838 HHR589834:HHR589838 HRN589834:HRN589838 IBJ589834:IBJ589838 ILF589834:ILF589838 IVB589834:IVB589838 JEX589834:JEX589838 JOT589834:JOT589838 JYP589834:JYP589838 KIL589834:KIL589838 KSH589834:KSH589838 LCD589834:LCD589838 LLZ589834:LLZ589838 LVV589834:LVV589838 MFR589834:MFR589838 MPN589834:MPN589838 MZJ589834:MZJ589838 NJF589834:NJF589838 NTB589834:NTB589838 OCX589834:OCX589838 OMT589834:OMT589838 OWP589834:OWP589838 PGL589834:PGL589838 PQH589834:PQH589838 QAD589834:QAD589838 QJZ589834:QJZ589838 QTV589834:QTV589838 RDR589834:RDR589838 RNN589834:RNN589838 RXJ589834:RXJ589838 SHF589834:SHF589838 SRB589834:SRB589838 TAX589834:TAX589838 TKT589834:TKT589838 TUP589834:TUP589838 UEL589834:UEL589838 UOH589834:UOH589838 UYD589834:UYD589838 VHZ589834:VHZ589838 VRV589834:VRV589838 WBR589834:WBR589838 WLN589834:WLN589838 WVJ589834:WVJ589838 B655370:B655374 IX655370:IX655374 ST655370:ST655374 ACP655370:ACP655374 AML655370:AML655374 AWH655370:AWH655374 BGD655370:BGD655374 BPZ655370:BPZ655374 BZV655370:BZV655374 CJR655370:CJR655374 CTN655370:CTN655374 DDJ655370:DDJ655374 DNF655370:DNF655374 DXB655370:DXB655374 EGX655370:EGX655374 EQT655370:EQT655374 FAP655370:FAP655374 FKL655370:FKL655374 FUH655370:FUH655374 GED655370:GED655374 GNZ655370:GNZ655374 GXV655370:GXV655374 HHR655370:HHR655374 HRN655370:HRN655374 IBJ655370:IBJ655374 ILF655370:ILF655374 IVB655370:IVB655374 JEX655370:JEX655374 JOT655370:JOT655374 JYP655370:JYP655374 KIL655370:KIL655374 KSH655370:KSH655374 LCD655370:LCD655374 LLZ655370:LLZ655374 LVV655370:LVV655374 MFR655370:MFR655374 MPN655370:MPN655374 MZJ655370:MZJ655374 NJF655370:NJF655374 NTB655370:NTB655374 OCX655370:OCX655374 OMT655370:OMT655374 OWP655370:OWP655374 PGL655370:PGL655374 PQH655370:PQH655374 QAD655370:QAD655374 QJZ655370:QJZ655374 QTV655370:QTV655374 RDR655370:RDR655374 RNN655370:RNN655374 RXJ655370:RXJ655374 SHF655370:SHF655374 SRB655370:SRB655374 TAX655370:TAX655374 TKT655370:TKT655374 TUP655370:TUP655374 UEL655370:UEL655374 UOH655370:UOH655374 UYD655370:UYD655374 VHZ655370:VHZ655374 VRV655370:VRV655374 WBR655370:WBR655374 WLN655370:WLN655374 WVJ655370:WVJ655374 B720906:B720910 IX720906:IX720910 ST720906:ST720910 ACP720906:ACP720910 AML720906:AML720910 AWH720906:AWH720910 BGD720906:BGD720910 BPZ720906:BPZ720910 BZV720906:BZV720910 CJR720906:CJR720910 CTN720906:CTN720910 DDJ720906:DDJ720910 DNF720906:DNF720910 DXB720906:DXB720910 EGX720906:EGX720910 EQT720906:EQT720910 FAP720906:FAP720910 FKL720906:FKL720910 FUH720906:FUH720910 GED720906:GED720910 GNZ720906:GNZ720910 GXV720906:GXV720910 HHR720906:HHR720910 HRN720906:HRN720910 IBJ720906:IBJ720910 ILF720906:ILF720910 IVB720906:IVB720910 JEX720906:JEX720910 JOT720906:JOT720910 JYP720906:JYP720910 KIL720906:KIL720910 KSH720906:KSH720910 LCD720906:LCD720910 LLZ720906:LLZ720910 LVV720906:LVV720910 MFR720906:MFR720910 MPN720906:MPN720910 MZJ720906:MZJ720910 NJF720906:NJF720910 NTB720906:NTB720910 OCX720906:OCX720910 OMT720906:OMT720910 OWP720906:OWP720910 PGL720906:PGL720910 PQH720906:PQH720910 QAD720906:QAD720910 QJZ720906:QJZ720910 QTV720906:QTV720910 RDR720906:RDR720910 RNN720906:RNN720910 RXJ720906:RXJ720910 SHF720906:SHF720910 SRB720906:SRB720910 TAX720906:TAX720910 TKT720906:TKT720910 TUP720906:TUP720910 UEL720906:UEL720910 UOH720906:UOH720910 UYD720906:UYD720910 VHZ720906:VHZ720910 VRV720906:VRV720910 WBR720906:WBR720910 WLN720906:WLN720910 WVJ720906:WVJ720910 B786442:B786446 IX786442:IX786446 ST786442:ST786446 ACP786442:ACP786446 AML786442:AML786446 AWH786442:AWH786446 BGD786442:BGD786446 BPZ786442:BPZ786446 BZV786442:BZV786446 CJR786442:CJR786446 CTN786442:CTN786446 DDJ786442:DDJ786446 DNF786442:DNF786446 DXB786442:DXB786446 EGX786442:EGX786446 EQT786442:EQT786446 FAP786442:FAP786446 FKL786442:FKL786446 FUH786442:FUH786446 GED786442:GED786446 GNZ786442:GNZ786446 GXV786442:GXV786446 HHR786442:HHR786446 HRN786442:HRN786446 IBJ786442:IBJ786446 ILF786442:ILF786446 IVB786442:IVB786446 JEX786442:JEX786446 JOT786442:JOT786446 JYP786442:JYP786446 KIL786442:KIL786446 KSH786442:KSH786446 LCD786442:LCD786446 LLZ786442:LLZ786446 LVV786442:LVV786446 MFR786442:MFR786446 MPN786442:MPN786446 MZJ786442:MZJ786446 NJF786442:NJF786446 NTB786442:NTB786446 OCX786442:OCX786446 OMT786442:OMT786446 OWP786442:OWP786446 PGL786442:PGL786446 PQH786442:PQH786446 QAD786442:QAD786446 QJZ786442:QJZ786446 QTV786442:QTV786446 RDR786442:RDR786446 RNN786442:RNN786446 RXJ786442:RXJ786446 SHF786442:SHF786446 SRB786442:SRB786446 TAX786442:TAX786446 TKT786442:TKT786446 TUP786442:TUP786446 UEL786442:UEL786446 UOH786442:UOH786446 UYD786442:UYD786446 VHZ786442:VHZ786446 VRV786442:VRV786446 WBR786442:WBR786446 WLN786442:WLN786446 WVJ786442:WVJ786446 B851978:B851982 IX851978:IX851982 ST851978:ST851982 ACP851978:ACP851982 AML851978:AML851982 AWH851978:AWH851982 BGD851978:BGD851982 BPZ851978:BPZ851982 BZV851978:BZV851982 CJR851978:CJR851982 CTN851978:CTN851982 DDJ851978:DDJ851982 DNF851978:DNF851982 DXB851978:DXB851982 EGX851978:EGX851982 EQT851978:EQT851982 FAP851978:FAP851982 FKL851978:FKL851982 FUH851978:FUH851982 GED851978:GED851982 GNZ851978:GNZ851982 GXV851978:GXV851982 HHR851978:HHR851982 HRN851978:HRN851982 IBJ851978:IBJ851982 ILF851978:ILF851982 IVB851978:IVB851982 JEX851978:JEX851982 JOT851978:JOT851982 JYP851978:JYP851982 KIL851978:KIL851982 KSH851978:KSH851982 LCD851978:LCD851982 LLZ851978:LLZ851982 LVV851978:LVV851982 MFR851978:MFR851982 MPN851978:MPN851982 MZJ851978:MZJ851982 NJF851978:NJF851982 NTB851978:NTB851982 OCX851978:OCX851982 OMT851978:OMT851982 OWP851978:OWP851982 PGL851978:PGL851982 PQH851978:PQH851982 QAD851978:QAD851982 QJZ851978:QJZ851982 QTV851978:QTV851982 RDR851978:RDR851982 RNN851978:RNN851982 RXJ851978:RXJ851982 SHF851978:SHF851982 SRB851978:SRB851982 TAX851978:TAX851982 TKT851978:TKT851982 TUP851978:TUP851982 UEL851978:UEL851982 UOH851978:UOH851982 UYD851978:UYD851982 VHZ851978:VHZ851982 VRV851978:VRV851982 WBR851978:WBR851982 WLN851978:WLN851982 WVJ851978:WVJ851982 B917514:B917518 IX917514:IX917518 ST917514:ST917518 ACP917514:ACP917518 AML917514:AML917518 AWH917514:AWH917518 BGD917514:BGD917518 BPZ917514:BPZ917518 BZV917514:BZV917518 CJR917514:CJR917518 CTN917514:CTN917518 DDJ917514:DDJ917518 DNF917514:DNF917518 DXB917514:DXB917518 EGX917514:EGX917518 EQT917514:EQT917518 FAP917514:FAP917518 FKL917514:FKL917518 FUH917514:FUH917518 GED917514:GED917518 GNZ917514:GNZ917518 GXV917514:GXV917518 HHR917514:HHR917518 HRN917514:HRN917518 IBJ917514:IBJ917518 ILF917514:ILF917518 IVB917514:IVB917518 JEX917514:JEX917518 JOT917514:JOT917518 JYP917514:JYP917518 KIL917514:KIL917518 KSH917514:KSH917518 LCD917514:LCD917518 LLZ917514:LLZ917518 LVV917514:LVV917518 MFR917514:MFR917518 MPN917514:MPN917518 MZJ917514:MZJ917518 NJF917514:NJF917518 NTB917514:NTB917518 OCX917514:OCX917518 OMT917514:OMT917518 OWP917514:OWP917518 PGL917514:PGL917518 PQH917514:PQH917518 QAD917514:QAD917518 QJZ917514:QJZ917518 QTV917514:QTV917518 RDR917514:RDR917518 RNN917514:RNN917518 RXJ917514:RXJ917518 SHF917514:SHF917518 SRB917514:SRB917518 TAX917514:TAX917518 TKT917514:TKT917518 TUP917514:TUP917518 UEL917514:UEL917518 UOH917514:UOH917518 UYD917514:UYD917518 VHZ917514:VHZ917518 VRV917514:VRV917518 WBR917514:WBR917518 WLN917514:WLN917518 WVJ917514:WVJ917518 B983050:B983054 IX983050:IX983054 ST983050:ST983054 ACP983050:ACP983054 AML983050:AML983054 AWH983050:AWH983054 BGD983050:BGD983054 BPZ983050:BPZ983054 BZV983050:BZV983054 CJR983050:CJR983054 CTN983050:CTN983054 DDJ983050:DDJ983054 DNF983050:DNF983054 DXB983050:DXB983054 EGX983050:EGX983054 EQT983050:EQT983054 FAP983050:FAP983054 FKL983050:FKL983054 FUH983050:FUH983054 GED983050:GED983054 GNZ983050:GNZ983054 GXV983050:GXV983054 HHR983050:HHR983054 HRN983050:HRN983054 IBJ983050:IBJ983054 ILF983050:ILF983054 IVB983050:IVB983054 JEX983050:JEX983054 JOT983050:JOT983054 JYP983050:JYP983054 KIL983050:KIL983054 KSH983050:KSH983054 LCD983050:LCD983054 LLZ983050:LLZ983054 LVV983050:LVV983054 MFR983050:MFR983054 MPN983050:MPN983054 MZJ983050:MZJ983054 NJF983050:NJF983054 NTB983050:NTB983054 OCX983050:OCX983054 OMT983050:OMT983054 OWP983050:OWP983054 PGL983050:PGL983054 PQH983050:PQH983054 QAD983050:QAD983054 QJZ983050:QJZ983054 QTV983050:QTV983054 RDR983050:RDR983054 RNN983050:RNN983054 RXJ983050:RXJ983054 SHF983050:SHF983054 SRB983050:SRB983054 TAX983050:TAX983054 TKT983050:TKT983054 TUP983050:TUP983054 UEL983050:UEL983054 UOH983050:UOH983054 UYD983050:UYD983054 VHZ983050:VHZ983054 VRV983050:VRV983054 WBR983050:WBR983054 WLN983050:WLN983054 WVJ983050:WVJ983054 B29:B33 IX29:IX33 ST29:ST33 ACP29:ACP33 AML29:AML33 AWH29:AWH33 BGD29:BGD33 BPZ29:BPZ33 BZV29:BZV33 CJR29:CJR33 CTN29:CTN33 DDJ29:DDJ33 DNF29:DNF33 DXB29:DXB33 EGX29:EGX33 EQT29:EQT33 FAP29:FAP33 FKL29:FKL33 FUH29:FUH33 GED29:GED33 GNZ29:GNZ33 GXV29:GXV33 HHR29:HHR33 HRN29:HRN33 IBJ29:IBJ33 ILF29:ILF33 IVB29:IVB33 JEX29:JEX33 JOT29:JOT33 JYP29:JYP33 KIL29:KIL33 KSH29:KSH33 LCD29:LCD33 LLZ29:LLZ33 LVV29:LVV33 MFR29:MFR33 MPN29:MPN33 MZJ29:MZJ33 NJF29:NJF33 NTB29:NTB33 OCX29:OCX33 OMT29:OMT33 OWP29:OWP33 PGL29:PGL33 PQH29:PQH33 QAD29:QAD33 QJZ29:QJZ33 QTV29:QTV33 RDR29:RDR33 RNN29:RNN33 RXJ29:RXJ33 SHF29:SHF33 SRB29:SRB33 TAX29:TAX33 TKT29:TKT33 TUP29:TUP33 UEL29:UEL33 UOH29:UOH33 UYD29:UYD33 VHZ29:VHZ33 VRV29:VRV33 WBR29:WBR33 WLN29:WLN33 WVJ29:WVJ33 B65556:B65560 IX65556:IX65560 ST65556:ST65560 ACP65556:ACP65560 AML65556:AML65560 AWH65556:AWH65560 BGD65556:BGD65560 BPZ65556:BPZ65560 BZV65556:BZV65560 CJR65556:CJR65560 CTN65556:CTN65560 DDJ65556:DDJ65560 DNF65556:DNF65560 DXB65556:DXB65560 EGX65556:EGX65560 EQT65556:EQT65560 FAP65556:FAP65560 FKL65556:FKL65560 FUH65556:FUH65560 GED65556:GED65560 GNZ65556:GNZ65560 GXV65556:GXV65560 HHR65556:HHR65560 HRN65556:HRN65560 IBJ65556:IBJ65560 ILF65556:ILF65560 IVB65556:IVB65560 JEX65556:JEX65560 JOT65556:JOT65560 JYP65556:JYP65560 KIL65556:KIL65560 KSH65556:KSH65560 LCD65556:LCD65560 LLZ65556:LLZ65560 LVV65556:LVV65560 MFR65556:MFR65560 MPN65556:MPN65560 MZJ65556:MZJ65560 NJF65556:NJF65560 NTB65556:NTB65560 OCX65556:OCX65560 OMT65556:OMT65560 OWP65556:OWP65560 PGL65556:PGL65560 PQH65556:PQH65560 QAD65556:QAD65560 QJZ65556:QJZ65560 QTV65556:QTV65560 RDR65556:RDR65560 RNN65556:RNN65560 RXJ65556:RXJ65560 SHF65556:SHF65560 SRB65556:SRB65560 TAX65556:TAX65560 TKT65556:TKT65560 TUP65556:TUP65560 UEL65556:UEL65560 UOH65556:UOH65560 UYD65556:UYD65560 VHZ65556:VHZ65560 VRV65556:VRV65560 WBR65556:WBR65560 WLN65556:WLN65560 WVJ65556:WVJ65560 B131092:B131096 IX131092:IX131096 ST131092:ST131096 ACP131092:ACP131096 AML131092:AML131096 AWH131092:AWH131096 BGD131092:BGD131096 BPZ131092:BPZ131096 BZV131092:BZV131096 CJR131092:CJR131096 CTN131092:CTN131096 DDJ131092:DDJ131096 DNF131092:DNF131096 DXB131092:DXB131096 EGX131092:EGX131096 EQT131092:EQT131096 FAP131092:FAP131096 FKL131092:FKL131096 FUH131092:FUH131096 GED131092:GED131096 GNZ131092:GNZ131096 GXV131092:GXV131096 HHR131092:HHR131096 HRN131092:HRN131096 IBJ131092:IBJ131096 ILF131092:ILF131096 IVB131092:IVB131096 JEX131092:JEX131096 JOT131092:JOT131096 JYP131092:JYP131096 KIL131092:KIL131096 KSH131092:KSH131096 LCD131092:LCD131096 LLZ131092:LLZ131096 LVV131092:LVV131096 MFR131092:MFR131096 MPN131092:MPN131096 MZJ131092:MZJ131096 NJF131092:NJF131096 NTB131092:NTB131096 OCX131092:OCX131096 OMT131092:OMT131096 OWP131092:OWP131096 PGL131092:PGL131096 PQH131092:PQH131096 QAD131092:QAD131096 QJZ131092:QJZ131096 QTV131092:QTV131096 RDR131092:RDR131096 RNN131092:RNN131096 RXJ131092:RXJ131096 SHF131092:SHF131096 SRB131092:SRB131096 TAX131092:TAX131096 TKT131092:TKT131096 TUP131092:TUP131096 UEL131092:UEL131096 UOH131092:UOH131096 UYD131092:UYD131096 VHZ131092:VHZ131096 VRV131092:VRV131096 WBR131092:WBR131096 WLN131092:WLN131096 WVJ131092:WVJ131096 B196628:B196632 IX196628:IX196632 ST196628:ST196632 ACP196628:ACP196632 AML196628:AML196632 AWH196628:AWH196632 BGD196628:BGD196632 BPZ196628:BPZ196632 BZV196628:BZV196632 CJR196628:CJR196632 CTN196628:CTN196632 DDJ196628:DDJ196632 DNF196628:DNF196632 DXB196628:DXB196632 EGX196628:EGX196632 EQT196628:EQT196632 FAP196628:FAP196632 FKL196628:FKL196632 FUH196628:FUH196632 GED196628:GED196632 GNZ196628:GNZ196632 GXV196628:GXV196632 HHR196628:HHR196632 HRN196628:HRN196632 IBJ196628:IBJ196632 ILF196628:ILF196632 IVB196628:IVB196632 JEX196628:JEX196632 JOT196628:JOT196632 JYP196628:JYP196632 KIL196628:KIL196632 KSH196628:KSH196632 LCD196628:LCD196632 LLZ196628:LLZ196632 LVV196628:LVV196632 MFR196628:MFR196632 MPN196628:MPN196632 MZJ196628:MZJ196632 NJF196628:NJF196632 NTB196628:NTB196632 OCX196628:OCX196632 OMT196628:OMT196632 OWP196628:OWP196632 PGL196628:PGL196632 PQH196628:PQH196632 QAD196628:QAD196632 QJZ196628:QJZ196632 QTV196628:QTV196632 RDR196628:RDR196632 RNN196628:RNN196632 RXJ196628:RXJ196632 SHF196628:SHF196632 SRB196628:SRB196632 TAX196628:TAX196632 TKT196628:TKT196632 TUP196628:TUP196632 UEL196628:UEL196632 UOH196628:UOH196632 UYD196628:UYD196632 VHZ196628:VHZ196632 VRV196628:VRV196632 WBR196628:WBR196632 WLN196628:WLN196632 WVJ196628:WVJ196632 B262164:B262168 IX262164:IX262168 ST262164:ST262168 ACP262164:ACP262168 AML262164:AML262168 AWH262164:AWH262168 BGD262164:BGD262168 BPZ262164:BPZ262168 BZV262164:BZV262168 CJR262164:CJR262168 CTN262164:CTN262168 DDJ262164:DDJ262168 DNF262164:DNF262168 DXB262164:DXB262168 EGX262164:EGX262168 EQT262164:EQT262168 FAP262164:FAP262168 FKL262164:FKL262168 FUH262164:FUH262168 GED262164:GED262168 GNZ262164:GNZ262168 GXV262164:GXV262168 HHR262164:HHR262168 HRN262164:HRN262168 IBJ262164:IBJ262168 ILF262164:ILF262168 IVB262164:IVB262168 JEX262164:JEX262168 JOT262164:JOT262168 JYP262164:JYP262168 KIL262164:KIL262168 KSH262164:KSH262168 LCD262164:LCD262168 LLZ262164:LLZ262168 LVV262164:LVV262168 MFR262164:MFR262168 MPN262164:MPN262168 MZJ262164:MZJ262168 NJF262164:NJF262168 NTB262164:NTB262168 OCX262164:OCX262168 OMT262164:OMT262168 OWP262164:OWP262168 PGL262164:PGL262168 PQH262164:PQH262168 QAD262164:QAD262168 QJZ262164:QJZ262168 QTV262164:QTV262168 RDR262164:RDR262168 RNN262164:RNN262168 RXJ262164:RXJ262168 SHF262164:SHF262168 SRB262164:SRB262168 TAX262164:TAX262168 TKT262164:TKT262168 TUP262164:TUP262168 UEL262164:UEL262168 UOH262164:UOH262168 UYD262164:UYD262168 VHZ262164:VHZ262168 VRV262164:VRV262168 WBR262164:WBR262168 WLN262164:WLN262168 WVJ262164:WVJ262168 B327700:B327704 IX327700:IX327704 ST327700:ST327704 ACP327700:ACP327704 AML327700:AML327704 AWH327700:AWH327704 BGD327700:BGD327704 BPZ327700:BPZ327704 BZV327700:BZV327704 CJR327700:CJR327704 CTN327700:CTN327704 DDJ327700:DDJ327704 DNF327700:DNF327704 DXB327700:DXB327704 EGX327700:EGX327704 EQT327700:EQT327704 FAP327700:FAP327704 FKL327700:FKL327704 FUH327700:FUH327704 GED327700:GED327704 GNZ327700:GNZ327704 GXV327700:GXV327704 HHR327700:HHR327704 HRN327700:HRN327704 IBJ327700:IBJ327704 ILF327700:ILF327704 IVB327700:IVB327704 JEX327700:JEX327704 JOT327700:JOT327704 JYP327700:JYP327704 KIL327700:KIL327704 KSH327700:KSH327704 LCD327700:LCD327704 LLZ327700:LLZ327704 LVV327700:LVV327704 MFR327700:MFR327704 MPN327700:MPN327704 MZJ327700:MZJ327704 NJF327700:NJF327704 NTB327700:NTB327704 OCX327700:OCX327704 OMT327700:OMT327704 OWP327700:OWP327704 PGL327700:PGL327704 PQH327700:PQH327704 QAD327700:QAD327704 QJZ327700:QJZ327704 QTV327700:QTV327704 RDR327700:RDR327704 RNN327700:RNN327704 RXJ327700:RXJ327704 SHF327700:SHF327704 SRB327700:SRB327704 TAX327700:TAX327704 TKT327700:TKT327704 TUP327700:TUP327704 UEL327700:UEL327704 UOH327700:UOH327704 UYD327700:UYD327704 VHZ327700:VHZ327704 VRV327700:VRV327704 WBR327700:WBR327704 WLN327700:WLN327704 WVJ327700:WVJ327704 B393236:B393240 IX393236:IX393240 ST393236:ST393240 ACP393236:ACP393240 AML393236:AML393240 AWH393236:AWH393240 BGD393236:BGD393240 BPZ393236:BPZ393240 BZV393236:BZV393240 CJR393236:CJR393240 CTN393236:CTN393240 DDJ393236:DDJ393240 DNF393236:DNF393240 DXB393236:DXB393240 EGX393236:EGX393240 EQT393236:EQT393240 FAP393236:FAP393240 FKL393236:FKL393240 FUH393236:FUH393240 GED393236:GED393240 GNZ393236:GNZ393240 GXV393236:GXV393240 HHR393236:HHR393240 HRN393236:HRN393240 IBJ393236:IBJ393240 ILF393236:ILF393240 IVB393236:IVB393240 JEX393236:JEX393240 JOT393236:JOT393240 JYP393236:JYP393240 KIL393236:KIL393240 KSH393236:KSH393240 LCD393236:LCD393240 LLZ393236:LLZ393240 LVV393236:LVV393240 MFR393236:MFR393240 MPN393236:MPN393240 MZJ393236:MZJ393240 NJF393236:NJF393240 NTB393236:NTB393240 OCX393236:OCX393240 OMT393236:OMT393240 OWP393236:OWP393240 PGL393236:PGL393240 PQH393236:PQH393240 QAD393236:QAD393240 QJZ393236:QJZ393240 QTV393236:QTV393240 RDR393236:RDR393240 RNN393236:RNN393240 RXJ393236:RXJ393240 SHF393236:SHF393240 SRB393236:SRB393240 TAX393236:TAX393240 TKT393236:TKT393240 TUP393236:TUP393240 UEL393236:UEL393240 UOH393236:UOH393240 UYD393236:UYD393240 VHZ393236:VHZ393240 VRV393236:VRV393240 WBR393236:WBR393240 WLN393236:WLN393240 WVJ393236:WVJ393240 B458772:B458776 IX458772:IX458776 ST458772:ST458776 ACP458772:ACP458776 AML458772:AML458776 AWH458772:AWH458776 BGD458772:BGD458776 BPZ458772:BPZ458776 BZV458772:BZV458776 CJR458772:CJR458776 CTN458772:CTN458776 DDJ458772:DDJ458776 DNF458772:DNF458776 DXB458772:DXB458776 EGX458772:EGX458776 EQT458772:EQT458776 FAP458772:FAP458776 FKL458772:FKL458776 FUH458772:FUH458776 GED458772:GED458776 GNZ458772:GNZ458776 GXV458772:GXV458776 HHR458772:HHR458776 HRN458772:HRN458776 IBJ458772:IBJ458776 ILF458772:ILF458776 IVB458772:IVB458776 JEX458772:JEX458776 JOT458772:JOT458776 JYP458772:JYP458776 KIL458772:KIL458776 KSH458772:KSH458776 LCD458772:LCD458776 LLZ458772:LLZ458776 LVV458772:LVV458776 MFR458772:MFR458776 MPN458772:MPN458776 MZJ458772:MZJ458776 NJF458772:NJF458776 NTB458772:NTB458776 OCX458772:OCX458776 OMT458772:OMT458776 OWP458772:OWP458776 PGL458772:PGL458776 PQH458772:PQH458776 QAD458772:QAD458776 QJZ458772:QJZ458776 QTV458772:QTV458776 RDR458772:RDR458776 RNN458772:RNN458776 RXJ458772:RXJ458776 SHF458772:SHF458776 SRB458772:SRB458776 TAX458772:TAX458776 TKT458772:TKT458776 TUP458772:TUP458776 UEL458772:UEL458776 UOH458772:UOH458776 UYD458772:UYD458776 VHZ458772:VHZ458776 VRV458772:VRV458776 WBR458772:WBR458776 WLN458772:WLN458776 WVJ458772:WVJ458776 B524308:B524312 IX524308:IX524312 ST524308:ST524312 ACP524308:ACP524312 AML524308:AML524312 AWH524308:AWH524312 BGD524308:BGD524312 BPZ524308:BPZ524312 BZV524308:BZV524312 CJR524308:CJR524312 CTN524308:CTN524312 DDJ524308:DDJ524312 DNF524308:DNF524312 DXB524308:DXB524312 EGX524308:EGX524312 EQT524308:EQT524312 FAP524308:FAP524312 FKL524308:FKL524312 FUH524308:FUH524312 GED524308:GED524312 GNZ524308:GNZ524312 GXV524308:GXV524312 HHR524308:HHR524312 HRN524308:HRN524312 IBJ524308:IBJ524312 ILF524308:ILF524312 IVB524308:IVB524312 JEX524308:JEX524312 JOT524308:JOT524312 JYP524308:JYP524312 KIL524308:KIL524312 KSH524308:KSH524312 LCD524308:LCD524312 LLZ524308:LLZ524312 LVV524308:LVV524312 MFR524308:MFR524312 MPN524308:MPN524312 MZJ524308:MZJ524312 NJF524308:NJF524312 NTB524308:NTB524312 OCX524308:OCX524312 OMT524308:OMT524312 OWP524308:OWP524312 PGL524308:PGL524312 PQH524308:PQH524312 QAD524308:QAD524312 QJZ524308:QJZ524312 QTV524308:QTV524312 RDR524308:RDR524312 RNN524308:RNN524312 RXJ524308:RXJ524312 SHF524308:SHF524312 SRB524308:SRB524312 TAX524308:TAX524312 TKT524308:TKT524312 TUP524308:TUP524312 UEL524308:UEL524312 UOH524308:UOH524312 UYD524308:UYD524312 VHZ524308:VHZ524312 VRV524308:VRV524312 WBR524308:WBR524312 WLN524308:WLN524312 WVJ524308:WVJ524312 B589844:B589848 IX589844:IX589848 ST589844:ST589848 ACP589844:ACP589848 AML589844:AML589848 AWH589844:AWH589848 BGD589844:BGD589848 BPZ589844:BPZ589848 BZV589844:BZV589848 CJR589844:CJR589848 CTN589844:CTN589848 DDJ589844:DDJ589848 DNF589844:DNF589848 DXB589844:DXB589848 EGX589844:EGX589848 EQT589844:EQT589848 FAP589844:FAP589848 FKL589844:FKL589848 FUH589844:FUH589848 GED589844:GED589848 GNZ589844:GNZ589848 GXV589844:GXV589848 HHR589844:HHR589848 HRN589844:HRN589848 IBJ589844:IBJ589848 ILF589844:ILF589848 IVB589844:IVB589848 JEX589844:JEX589848 JOT589844:JOT589848 JYP589844:JYP589848 KIL589844:KIL589848 KSH589844:KSH589848 LCD589844:LCD589848 LLZ589844:LLZ589848 LVV589844:LVV589848 MFR589844:MFR589848 MPN589844:MPN589848 MZJ589844:MZJ589848 NJF589844:NJF589848 NTB589844:NTB589848 OCX589844:OCX589848 OMT589844:OMT589848 OWP589844:OWP589848 PGL589844:PGL589848 PQH589844:PQH589848 QAD589844:QAD589848 QJZ589844:QJZ589848 QTV589844:QTV589848 RDR589844:RDR589848 RNN589844:RNN589848 RXJ589844:RXJ589848 SHF589844:SHF589848 SRB589844:SRB589848 TAX589844:TAX589848 TKT589844:TKT589848 TUP589844:TUP589848 UEL589844:UEL589848 UOH589844:UOH589848 UYD589844:UYD589848 VHZ589844:VHZ589848 VRV589844:VRV589848 WBR589844:WBR589848 WLN589844:WLN589848 WVJ589844:WVJ589848 B655380:B655384 IX655380:IX655384 ST655380:ST655384 ACP655380:ACP655384 AML655380:AML655384 AWH655380:AWH655384 BGD655380:BGD655384 BPZ655380:BPZ655384 BZV655380:BZV655384 CJR655380:CJR655384 CTN655380:CTN655384 DDJ655380:DDJ655384 DNF655380:DNF655384 DXB655380:DXB655384 EGX655380:EGX655384 EQT655380:EQT655384 FAP655380:FAP655384 FKL655380:FKL655384 FUH655380:FUH655384 GED655380:GED655384 GNZ655380:GNZ655384 GXV655380:GXV655384 HHR655380:HHR655384 HRN655380:HRN655384 IBJ655380:IBJ655384 ILF655380:ILF655384 IVB655380:IVB655384 JEX655380:JEX655384 JOT655380:JOT655384 JYP655380:JYP655384 KIL655380:KIL655384 KSH655380:KSH655384 LCD655380:LCD655384 LLZ655380:LLZ655384 LVV655380:LVV655384 MFR655380:MFR655384 MPN655380:MPN655384 MZJ655380:MZJ655384 NJF655380:NJF655384 NTB655380:NTB655384 OCX655380:OCX655384 OMT655380:OMT655384 OWP655380:OWP655384 PGL655380:PGL655384 PQH655380:PQH655384 QAD655380:QAD655384 QJZ655380:QJZ655384 QTV655380:QTV655384 RDR655380:RDR655384 RNN655380:RNN655384 RXJ655380:RXJ655384 SHF655380:SHF655384 SRB655380:SRB655384 TAX655380:TAX655384 TKT655380:TKT655384 TUP655380:TUP655384 UEL655380:UEL655384 UOH655380:UOH655384 UYD655380:UYD655384 VHZ655380:VHZ655384 VRV655380:VRV655384 WBR655380:WBR655384 WLN655380:WLN655384 WVJ655380:WVJ655384 B720916:B720920 IX720916:IX720920 ST720916:ST720920 ACP720916:ACP720920 AML720916:AML720920 AWH720916:AWH720920 BGD720916:BGD720920 BPZ720916:BPZ720920 BZV720916:BZV720920 CJR720916:CJR720920 CTN720916:CTN720920 DDJ720916:DDJ720920 DNF720916:DNF720920 DXB720916:DXB720920 EGX720916:EGX720920 EQT720916:EQT720920 FAP720916:FAP720920 FKL720916:FKL720920 FUH720916:FUH720920 GED720916:GED720920 GNZ720916:GNZ720920 GXV720916:GXV720920 HHR720916:HHR720920 HRN720916:HRN720920 IBJ720916:IBJ720920 ILF720916:ILF720920 IVB720916:IVB720920 JEX720916:JEX720920 JOT720916:JOT720920 JYP720916:JYP720920 KIL720916:KIL720920 KSH720916:KSH720920 LCD720916:LCD720920 LLZ720916:LLZ720920 LVV720916:LVV720920 MFR720916:MFR720920 MPN720916:MPN720920 MZJ720916:MZJ720920 NJF720916:NJF720920 NTB720916:NTB720920 OCX720916:OCX720920 OMT720916:OMT720920 OWP720916:OWP720920 PGL720916:PGL720920 PQH720916:PQH720920 QAD720916:QAD720920 QJZ720916:QJZ720920 QTV720916:QTV720920 RDR720916:RDR720920 RNN720916:RNN720920 RXJ720916:RXJ720920 SHF720916:SHF720920 SRB720916:SRB720920 TAX720916:TAX720920 TKT720916:TKT720920 TUP720916:TUP720920 UEL720916:UEL720920 UOH720916:UOH720920 UYD720916:UYD720920 VHZ720916:VHZ720920 VRV720916:VRV720920 WBR720916:WBR720920 WLN720916:WLN720920 WVJ720916:WVJ720920 B786452:B786456 IX786452:IX786456 ST786452:ST786456 ACP786452:ACP786456 AML786452:AML786456 AWH786452:AWH786456 BGD786452:BGD786456 BPZ786452:BPZ786456 BZV786452:BZV786456 CJR786452:CJR786456 CTN786452:CTN786456 DDJ786452:DDJ786456 DNF786452:DNF786456 DXB786452:DXB786456 EGX786452:EGX786456 EQT786452:EQT786456 FAP786452:FAP786456 FKL786452:FKL786456 FUH786452:FUH786456 GED786452:GED786456 GNZ786452:GNZ786456 GXV786452:GXV786456 HHR786452:HHR786456 HRN786452:HRN786456 IBJ786452:IBJ786456 ILF786452:ILF786456 IVB786452:IVB786456 JEX786452:JEX786456 JOT786452:JOT786456 JYP786452:JYP786456 KIL786452:KIL786456 KSH786452:KSH786456 LCD786452:LCD786456 LLZ786452:LLZ786456 LVV786452:LVV786456 MFR786452:MFR786456 MPN786452:MPN786456 MZJ786452:MZJ786456 NJF786452:NJF786456 NTB786452:NTB786456 OCX786452:OCX786456 OMT786452:OMT786456 OWP786452:OWP786456 PGL786452:PGL786456 PQH786452:PQH786456 QAD786452:QAD786456 QJZ786452:QJZ786456 QTV786452:QTV786456 RDR786452:RDR786456 RNN786452:RNN786456 RXJ786452:RXJ786456 SHF786452:SHF786456 SRB786452:SRB786456 TAX786452:TAX786456 TKT786452:TKT786456 TUP786452:TUP786456 UEL786452:UEL786456 UOH786452:UOH786456 UYD786452:UYD786456 VHZ786452:VHZ786456 VRV786452:VRV786456 WBR786452:WBR786456 WLN786452:WLN786456 WVJ786452:WVJ786456 B851988:B851992 IX851988:IX851992 ST851988:ST851992 ACP851988:ACP851992 AML851988:AML851992 AWH851988:AWH851992 BGD851988:BGD851992 BPZ851988:BPZ851992 BZV851988:BZV851992 CJR851988:CJR851992 CTN851988:CTN851992 DDJ851988:DDJ851992 DNF851988:DNF851992 DXB851988:DXB851992 EGX851988:EGX851992 EQT851988:EQT851992 FAP851988:FAP851992 FKL851988:FKL851992 FUH851988:FUH851992 GED851988:GED851992 GNZ851988:GNZ851992 GXV851988:GXV851992 HHR851988:HHR851992 HRN851988:HRN851992 IBJ851988:IBJ851992 ILF851988:ILF851992 IVB851988:IVB851992 JEX851988:JEX851992 JOT851988:JOT851992 JYP851988:JYP851992 KIL851988:KIL851992 KSH851988:KSH851992 LCD851988:LCD851992 LLZ851988:LLZ851992 LVV851988:LVV851992 MFR851988:MFR851992 MPN851988:MPN851992 MZJ851988:MZJ851992 NJF851988:NJF851992 NTB851988:NTB851992 OCX851988:OCX851992 OMT851988:OMT851992 OWP851988:OWP851992 PGL851988:PGL851992 PQH851988:PQH851992 QAD851988:QAD851992 QJZ851988:QJZ851992 QTV851988:QTV851992 RDR851988:RDR851992 RNN851988:RNN851992 RXJ851988:RXJ851992 SHF851988:SHF851992 SRB851988:SRB851992 TAX851988:TAX851992 TKT851988:TKT851992 TUP851988:TUP851992 UEL851988:UEL851992 UOH851988:UOH851992 UYD851988:UYD851992 VHZ851988:VHZ851992 VRV851988:VRV851992 WBR851988:WBR851992 WLN851988:WLN851992 WVJ851988:WVJ851992 B917524:B917528 IX917524:IX917528 ST917524:ST917528 ACP917524:ACP917528 AML917524:AML917528 AWH917524:AWH917528 BGD917524:BGD917528 BPZ917524:BPZ917528 BZV917524:BZV917528 CJR917524:CJR917528 CTN917524:CTN917528 DDJ917524:DDJ917528 DNF917524:DNF917528 DXB917524:DXB917528 EGX917524:EGX917528 EQT917524:EQT917528 FAP917524:FAP917528 FKL917524:FKL917528 FUH917524:FUH917528 GED917524:GED917528 GNZ917524:GNZ917528 GXV917524:GXV917528 HHR917524:HHR917528 HRN917524:HRN917528 IBJ917524:IBJ917528 ILF917524:ILF917528 IVB917524:IVB917528 JEX917524:JEX917528 JOT917524:JOT917528 JYP917524:JYP917528 KIL917524:KIL917528 KSH917524:KSH917528 LCD917524:LCD917528 LLZ917524:LLZ917528 LVV917524:LVV917528 MFR917524:MFR917528 MPN917524:MPN917528 MZJ917524:MZJ917528 NJF917524:NJF917528 NTB917524:NTB917528 OCX917524:OCX917528 OMT917524:OMT917528 OWP917524:OWP917528 PGL917524:PGL917528 PQH917524:PQH917528 QAD917524:QAD917528 QJZ917524:QJZ917528 QTV917524:QTV917528 RDR917524:RDR917528 RNN917524:RNN917528 RXJ917524:RXJ917528 SHF917524:SHF917528 SRB917524:SRB917528 TAX917524:TAX917528 TKT917524:TKT917528 TUP917524:TUP917528 UEL917524:UEL917528 UOH917524:UOH917528 UYD917524:UYD917528 VHZ917524:VHZ917528 VRV917524:VRV917528 WBR917524:WBR917528 WLN917524:WLN917528 WVJ917524:WVJ917528 B983060:B983064 IX983060:IX983064 ST983060:ST983064 ACP983060:ACP983064 AML983060:AML983064 AWH983060:AWH983064 BGD983060:BGD983064 BPZ983060:BPZ983064 BZV983060:BZV983064 CJR983060:CJR983064 CTN983060:CTN983064 DDJ983060:DDJ983064 DNF983060:DNF983064 DXB983060:DXB983064 EGX983060:EGX983064 EQT983060:EQT983064 FAP983060:FAP983064 FKL983060:FKL983064 FUH983060:FUH983064 GED983060:GED983064 GNZ983060:GNZ983064 GXV983060:GXV983064 HHR983060:HHR983064 HRN983060:HRN983064 IBJ983060:IBJ983064 ILF983060:ILF983064 IVB983060:IVB983064 JEX983060:JEX983064 JOT983060:JOT983064 JYP983060:JYP983064 KIL983060:KIL983064 KSH983060:KSH983064 LCD983060:LCD983064 LLZ983060:LLZ983064 LVV983060:LVV983064 MFR983060:MFR983064 MPN983060:MPN983064 MZJ983060:MZJ983064 NJF983060:NJF983064 NTB983060:NTB983064 OCX983060:OCX983064 OMT983060:OMT983064 OWP983060:OWP983064 PGL983060:PGL983064 PQH983060:PQH983064 QAD983060:QAD983064 QJZ983060:QJZ983064 QTV983060:QTV983064 RDR983060:RDR983064 RNN983060:RNN983064 RXJ983060:RXJ983064 SHF983060:SHF983064 SRB983060:SRB983064 TAX983060:TAX983064 TKT983060:TKT983064 TUP983060:TUP983064 UEL983060:UEL983064 UOH983060:UOH983064 UYD983060:UYD983064 VHZ983060:VHZ983064 VRV983060:VRV983064 WBR983060:WBR983064 WLN983060:WLN983064 WVJ983060:WVJ983064" xr:uid="{89F8BE7D-FC7B-475A-9F7A-5C077DF8B040}">
      <formula1>OFFSET(EMPRESAS,0,0,,1)</formula1>
    </dataValidation>
    <dataValidation type="list" allowBlank="1" showInputMessage="1" showErrorMessage="1" sqref="G65524:H65524 JC65524:JD65524 SY65524:SZ65524 ACU65524:ACV65524 AMQ65524:AMR65524 AWM65524:AWN65524 BGI65524:BGJ65524 BQE65524:BQF65524 CAA65524:CAB65524 CJW65524:CJX65524 CTS65524:CTT65524 DDO65524:DDP65524 DNK65524:DNL65524 DXG65524:DXH65524 EHC65524:EHD65524 EQY65524:EQZ65524 FAU65524:FAV65524 FKQ65524:FKR65524 FUM65524:FUN65524 GEI65524:GEJ65524 GOE65524:GOF65524 GYA65524:GYB65524 HHW65524:HHX65524 HRS65524:HRT65524 IBO65524:IBP65524 ILK65524:ILL65524 IVG65524:IVH65524 JFC65524:JFD65524 JOY65524:JOZ65524 JYU65524:JYV65524 KIQ65524:KIR65524 KSM65524:KSN65524 LCI65524:LCJ65524 LME65524:LMF65524 LWA65524:LWB65524 MFW65524:MFX65524 MPS65524:MPT65524 MZO65524:MZP65524 NJK65524:NJL65524 NTG65524:NTH65524 ODC65524:ODD65524 OMY65524:OMZ65524 OWU65524:OWV65524 PGQ65524:PGR65524 PQM65524:PQN65524 QAI65524:QAJ65524 QKE65524:QKF65524 QUA65524:QUB65524 RDW65524:RDX65524 RNS65524:RNT65524 RXO65524:RXP65524 SHK65524:SHL65524 SRG65524:SRH65524 TBC65524:TBD65524 TKY65524:TKZ65524 TUU65524:TUV65524 UEQ65524:UER65524 UOM65524:UON65524 UYI65524:UYJ65524 VIE65524:VIF65524 VSA65524:VSB65524 WBW65524:WBX65524 WLS65524:WLT65524 WVO65524:WVP65524 G131060:H131060 JC131060:JD131060 SY131060:SZ131060 ACU131060:ACV131060 AMQ131060:AMR131060 AWM131060:AWN131060 BGI131060:BGJ131060 BQE131060:BQF131060 CAA131060:CAB131060 CJW131060:CJX131060 CTS131060:CTT131060 DDO131060:DDP131060 DNK131060:DNL131060 DXG131060:DXH131060 EHC131060:EHD131060 EQY131060:EQZ131060 FAU131060:FAV131060 FKQ131060:FKR131060 FUM131060:FUN131060 GEI131060:GEJ131060 GOE131060:GOF131060 GYA131060:GYB131060 HHW131060:HHX131060 HRS131060:HRT131060 IBO131060:IBP131060 ILK131060:ILL131060 IVG131060:IVH131060 JFC131060:JFD131060 JOY131060:JOZ131060 JYU131060:JYV131060 KIQ131060:KIR131060 KSM131060:KSN131060 LCI131060:LCJ131060 LME131060:LMF131060 LWA131060:LWB131060 MFW131060:MFX131060 MPS131060:MPT131060 MZO131060:MZP131060 NJK131060:NJL131060 NTG131060:NTH131060 ODC131060:ODD131060 OMY131060:OMZ131060 OWU131060:OWV131060 PGQ131060:PGR131060 PQM131060:PQN131060 QAI131060:QAJ131060 QKE131060:QKF131060 QUA131060:QUB131060 RDW131060:RDX131060 RNS131060:RNT131060 RXO131060:RXP131060 SHK131060:SHL131060 SRG131060:SRH131060 TBC131060:TBD131060 TKY131060:TKZ131060 TUU131060:TUV131060 UEQ131060:UER131060 UOM131060:UON131060 UYI131060:UYJ131060 VIE131060:VIF131060 VSA131060:VSB131060 WBW131060:WBX131060 WLS131060:WLT131060 WVO131060:WVP131060 G196596:H196596 JC196596:JD196596 SY196596:SZ196596 ACU196596:ACV196596 AMQ196596:AMR196596 AWM196596:AWN196596 BGI196596:BGJ196596 BQE196596:BQF196596 CAA196596:CAB196596 CJW196596:CJX196596 CTS196596:CTT196596 DDO196596:DDP196596 DNK196596:DNL196596 DXG196596:DXH196596 EHC196596:EHD196596 EQY196596:EQZ196596 FAU196596:FAV196596 FKQ196596:FKR196596 FUM196596:FUN196596 GEI196596:GEJ196596 GOE196596:GOF196596 GYA196596:GYB196596 HHW196596:HHX196596 HRS196596:HRT196596 IBO196596:IBP196596 ILK196596:ILL196596 IVG196596:IVH196596 JFC196596:JFD196596 JOY196596:JOZ196596 JYU196596:JYV196596 KIQ196596:KIR196596 KSM196596:KSN196596 LCI196596:LCJ196596 LME196596:LMF196596 LWA196596:LWB196596 MFW196596:MFX196596 MPS196596:MPT196596 MZO196596:MZP196596 NJK196596:NJL196596 NTG196596:NTH196596 ODC196596:ODD196596 OMY196596:OMZ196596 OWU196596:OWV196596 PGQ196596:PGR196596 PQM196596:PQN196596 QAI196596:QAJ196596 QKE196596:QKF196596 QUA196596:QUB196596 RDW196596:RDX196596 RNS196596:RNT196596 RXO196596:RXP196596 SHK196596:SHL196596 SRG196596:SRH196596 TBC196596:TBD196596 TKY196596:TKZ196596 TUU196596:TUV196596 UEQ196596:UER196596 UOM196596:UON196596 UYI196596:UYJ196596 VIE196596:VIF196596 VSA196596:VSB196596 WBW196596:WBX196596 WLS196596:WLT196596 WVO196596:WVP196596 G262132:H262132 JC262132:JD262132 SY262132:SZ262132 ACU262132:ACV262132 AMQ262132:AMR262132 AWM262132:AWN262132 BGI262132:BGJ262132 BQE262132:BQF262132 CAA262132:CAB262132 CJW262132:CJX262132 CTS262132:CTT262132 DDO262132:DDP262132 DNK262132:DNL262132 DXG262132:DXH262132 EHC262132:EHD262132 EQY262132:EQZ262132 FAU262132:FAV262132 FKQ262132:FKR262132 FUM262132:FUN262132 GEI262132:GEJ262132 GOE262132:GOF262132 GYA262132:GYB262132 HHW262132:HHX262132 HRS262132:HRT262132 IBO262132:IBP262132 ILK262132:ILL262132 IVG262132:IVH262132 JFC262132:JFD262132 JOY262132:JOZ262132 JYU262132:JYV262132 KIQ262132:KIR262132 KSM262132:KSN262132 LCI262132:LCJ262132 LME262132:LMF262132 LWA262132:LWB262132 MFW262132:MFX262132 MPS262132:MPT262132 MZO262132:MZP262132 NJK262132:NJL262132 NTG262132:NTH262132 ODC262132:ODD262132 OMY262132:OMZ262132 OWU262132:OWV262132 PGQ262132:PGR262132 PQM262132:PQN262132 QAI262132:QAJ262132 QKE262132:QKF262132 QUA262132:QUB262132 RDW262132:RDX262132 RNS262132:RNT262132 RXO262132:RXP262132 SHK262132:SHL262132 SRG262132:SRH262132 TBC262132:TBD262132 TKY262132:TKZ262132 TUU262132:TUV262132 UEQ262132:UER262132 UOM262132:UON262132 UYI262132:UYJ262132 VIE262132:VIF262132 VSA262132:VSB262132 WBW262132:WBX262132 WLS262132:WLT262132 WVO262132:WVP262132 G327668:H327668 JC327668:JD327668 SY327668:SZ327668 ACU327668:ACV327668 AMQ327668:AMR327668 AWM327668:AWN327668 BGI327668:BGJ327668 BQE327668:BQF327668 CAA327668:CAB327668 CJW327668:CJX327668 CTS327668:CTT327668 DDO327668:DDP327668 DNK327668:DNL327668 DXG327668:DXH327668 EHC327668:EHD327668 EQY327668:EQZ327668 FAU327668:FAV327668 FKQ327668:FKR327668 FUM327668:FUN327668 GEI327668:GEJ327668 GOE327668:GOF327668 GYA327668:GYB327668 HHW327668:HHX327668 HRS327668:HRT327668 IBO327668:IBP327668 ILK327668:ILL327668 IVG327668:IVH327668 JFC327668:JFD327668 JOY327668:JOZ327668 JYU327668:JYV327668 KIQ327668:KIR327668 KSM327668:KSN327668 LCI327668:LCJ327668 LME327668:LMF327668 LWA327668:LWB327668 MFW327668:MFX327668 MPS327668:MPT327668 MZO327668:MZP327668 NJK327668:NJL327668 NTG327668:NTH327668 ODC327668:ODD327668 OMY327668:OMZ327668 OWU327668:OWV327668 PGQ327668:PGR327668 PQM327668:PQN327668 QAI327668:QAJ327668 QKE327668:QKF327668 QUA327668:QUB327668 RDW327668:RDX327668 RNS327668:RNT327668 RXO327668:RXP327668 SHK327668:SHL327668 SRG327668:SRH327668 TBC327668:TBD327668 TKY327668:TKZ327668 TUU327668:TUV327668 UEQ327668:UER327668 UOM327668:UON327668 UYI327668:UYJ327668 VIE327668:VIF327668 VSA327668:VSB327668 WBW327668:WBX327668 WLS327668:WLT327668 WVO327668:WVP327668 G393204:H393204 JC393204:JD393204 SY393204:SZ393204 ACU393204:ACV393204 AMQ393204:AMR393204 AWM393204:AWN393204 BGI393204:BGJ393204 BQE393204:BQF393204 CAA393204:CAB393204 CJW393204:CJX393204 CTS393204:CTT393204 DDO393204:DDP393204 DNK393204:DNL393204 DXG393204:DXH393204 EHC393204:EHD393204 EQY393204:EQZ393204 FAU393204:FAV393204 FKQ393204:FKR393204 FUM393204:FUN393204 GEI393204:GEJ393204 GOE393204:GOF393204 GYA393204:GYB393204 HHW393204:HHX393204 HRS393204:HRT393204 IBO393204:IBP393204 ILK393204:ILL393204 IVG393204:IVH393204 JFC393204:JFD393204 JOY393204:JOZ393204 JYU393204:JYV393204 KIQ393204:KIR393204 KSM393204:KSN393204 LCI393204:LCJ393204 LME393204:LMF393204 LWA393204:LWB393204 MFW393204:MFX393204 MPS393204:MPT393204 MZO393204:MZP393204 NJK393204:NJL393204 NTG393204:NTH393204 ODC393204:ODD393204 OMY393204:OMZ393204 OWU393204:OWV393204 PGQ393204:PGR393204 PQM393204:PQN393204 QAI393204:QAJ393204 QKE393204:QKF393204 QUA393204:QUB393204 RDW393204:RDX393204 RNS393204:RNT393204 RXO393204:RXP393204 SHK393204:SHL393204 SRG393204:SRH393204 TBC393204:TBD393204 TKY393204:TKZ393204 TUU393204:TUV393204 UEQ393204:UER393204 UOM393204:UON393204 UYI393204:UYJ393204 VIE393204:VIF393204 VSA393204:VSB393204 WBW393204:WBX393204 WLS393204:WLT393204 WVO393204:WVP393204 G458740:H458740 JC458740:JD458740 SY458740:SZ458740 ACU458740:ACV458740 AMQ458740:AMR458740 AWM458740:AWN458740 BGI458740:BGJ458740 BQE458740:BQF458740 CAA458740:CAB458740 CJW458740:CJX458740 CTS458740:CTT458740 DDO458740:DDP458740 DNK458740:DNL458740 DXG458740:DXH458740 EHC458740:EHD458740 EQY458740:EQZ458740 FAU458740:FAV458740 FKQ458740:FKR458740 FUM458740:FUN458740 GEI458740:GEJ458740 GOE458740:GOF458740 GYA458740:GYB458740 HHW458740:HHX458740 HRS458740:HRT458740 IBO458740:IBP458740 ILK458740:ILL458740 IVG458740:IVH458740 JFC458740:JFD458740 JOY458740:JOZ458740 JYU458740:JYV458740 KIQ458740:KIR458740 KSM458740:KSN458740 LCI458740:LCJ458740 LME458740:LMF458740 LWA458740:LWB458740 MFW458740:MFX458740 MPS458740:MPT458740 MZO458740:MZP458740 NJK458740:NJL458740 NTG458740:NTH458740 ODC458740:ODD458740 OMY458740:OMZ458740 OWU458740:OWV458740 PGQ458740:PGR458740 PQM458740:PQN458740 QAI458740:QAJ458740 QKE458740:QKF458740 QUA458740:QUB458740 RDW458740:RDX458740 RNS458740:RNT458740 RXO458740:RXP458740 SHK458740:SHL458740 SRG458740:SRH458740 TBC458740:TBD458740 TKY458740:TKZ458740 TUU458740:TUV458740 UEQ458740:UER458740 UOM458740:UON458740 UYI458740:UYJ458740 VIE458740:VIF458740 VSA458740:VSB458740 WBW458740:WBX458740 WLS458740:WLT458740 WVO458740:WVP458740 G524276:H524276 JC524276:JD524276 SY524276:SZ524276 ACU524276:ACV524276 AMQ524276:AMR524276 AWM524276:AWN524276 BGI524276:BGJ524276 BQE524276:BQF524276 CAA524276:CAB524276 CJW524276:CJX524276 CTS524276:CTT524276 DDO524276:DDP524276 DNK524276:DNL524276 DXG524276:DXH524276 EHC524276:EHD524276 EQY524276:EQZ524276 FAU524276:FAV524276 FKQ524276:FKR524276 FUM524276:FUN524276 GEI524276:GEJ524276 GOE524276:GOF524276 GYA524276:GYB524276 HHW524276:HHX524276 HRS524276:HRT524276 IBO524276:IBP524276 ILK524276:ILL524276 IVG524276:IVH524276 JFC524276:JFD524276 JOY524276:JOZ524276 JYU524276:JYV524276 KIQ524276:KIR524276 KSM524276:KSN524276 LCI524276:LCJ524276 LME524276:LMF524276 LWA524276:LWB524276 MFW524276:MFX524276 MPS524276:MPT524276 MZO524276:MZP524276 NJK524276:NJL524276 NTG524276:NTH524276 ODC524276:ODD524276 OMY524276:OMZ524276 OWU524276:OWV524276 PGQ524276:PGR524276 PQM524276:PQN524276 QAI524276:QAJ524276 QKE524276:QKF524276 QUA524276:QUB524276 RDW524276:RDX524276 RNS524276:RNT524276 RXO524276:RXP524276 SHK524276:SHL524276 SRG524276:SRH524276 TBC524276:TBD524276 TKY524276:TKZ524276 TUU524276:TUV524276 UEQ524276:UER524276 UOM524276:UON524276 UYI524276:UYJ524276 VIE524276:VIF524276 VSA524276:VSB524276 WBW524276:WBX524276 WLS524276:WLT524276 WVO524276:WVP524276 G589812:H589812 JC589812:JD589812 SY589812:SZ589812 ACU589812:ACV589812 AMQ589812:AMR589812 AWM589812:AWN589812 BGI589812:BGJ589812 BQE589812:BQF589812 CAA589812:CAB589812 CJW589812:CJX589812 CTS589812:CTT589812 DDO589812:DDP589812 DNK589812:DNL589812 DXG589812:DXH589812 EHC589812:EHD589812 EQY589812:EQZ589812 FAU589812:FAV589812 FKQ589812:FKR589812 FUM589812:FUN589812 GEI589812:GEJ589812 GOE589812:GOF589812 GYA589812:GYB589812 HHW589812:HHX589812 HRS589812:HRT589812 IBO589812:IBP589812 ILK589812:ILL589812 IVG589812:IVH589812 JFC589812:JFD589812 JOY589812:JOZ589812 JYU589812:JYV589812 KIQ589812:KIR589812 KSM589812:KSN589812 LCI589812:LCJ589812 LME589812:LMF589812 LWA589812:LWB589812 MFW589812:MFX589812 MPS589812:MPT589812 MZO589812:MZP589812 NJK589812:NJL589812 NTG589812:NTH589812 ODC589812:ODD589812 OMY589812:OMZ589812 OWU589812:OWV589812 PGQ589812:PGR589812 PQM589812:PQN589812 QAI589812:QAJ589812 QKE589812:QKF589812 QUA589812:QUB589812 RDW589812:RDX589812 RNS589812:RNT589812 RXO589812:RXP589812 SHK589812:SHL589812 SRG589812:SRH589812 TBC589812:TBD589812 TKY589812:TKZ589812 TUU589812:TUV589812 UEQ589812:UER589812 UOM589812:UON589812 UYI589812:UYJ589812 VIE589812:VIF589812 VSA589812:VSB589812 WBW589812:WBX589812 WLS589812:WLT589812 WVO589812:WVP589812 G655348:H655348 JC655348:JD655348 SY655348:SZ655348 ACU655348:ACV655348 AMQ655348:AMR655348 AWM655348:AWN655348 BGI655348:BGJ655348 BQE655348:BQF655348 CAA655348:CAB655348 CJW655348:CJX655348 CTS655348:CTT655348 DDO655348:DDP655348 DNK655348:DNL655348 DXG655348:DXH655348 EHC655348:EHD655348 EQY655348:EQZ655348 FAU655348:FAV655348 FKQ655348:FKR655348 FUM655348:FUN655348 GEI655348:GEJ655348 GOE655348:GOF655348 GYA655348:GYB655348 HHW655348:HHX655348 HRS655348:HRT655348 IBO655348:IBP655348 ILK655348:ILL655348 IVG655348:IVH655348 JFC655348:JFD655348 JOY655348:JOZ655348 JYU655348:JYV655348 KIQ655348:KIR655348 KSM655348:KSN655348 LCI655348:LCJ655348 LME655348:LMF655348 LWA655348:LWB655348 MFW655348:MFX655348 MPS655348:MPT655348 MZO655348:MZP655348 NJK655348:NJL655348 NTG655348:NTH655348 ODC655348:ODD655348 OMY655348:OMZ655348 OWU655348:OWV655348 PGQ655348:PGR655348 PQM655348:PQN655348 QAI655348:QAJ655348 QKE655348:QKF655348 QUA655348:QUB655348 RDW655348:RDX655348 RNS655348:RNT655348 RXO655348:RXP655348 SHK655348:SHL655348 SRG655348:SRH655348 TBC655348:TBD655348 TKY655348:TKZ655348 TUU655348:TUV655348 UEQ655348:UER655348 UOM655348:UON655348 UYI655348:UYJ655348 VIE655348:VIF655348 VSA655348:VSB655348 WBW655348:WBX655348 WLS655348:WLT655348 WVO655348:WVP655348 G720884:H720884 JC720884:JD720884 SY720884:SZ720884 ACU720884:ACV720884 AMQ720884:AMR720884 AWM720884:AWN720884 BGI720884:BGJ720884 BQE720884:BQF720884 CAA720884:CAB720884 CJW720884:CJX720884 CTS720884:CTT720884 DDO720884:DDP720884 DNK720884:DNL720884 DXG720884:DXH720884 EHC720884:EHD720884 EQY720884:EQZ720884 FAU720884:FAV720884 FKQ720884:FKR720884 FUM720884:FUN720884 GEI720884:GEJ720884 GOE720884:GOF720884 GYA720884:GYB720884 HHW720884:HHX720884 HRS720884:HRT720884 IBO720884:IBP720884 ILK720884:ILL720884 IVG720884:IVH720884 JFC720884:JFD720884 JOY720884:JOZ720884 JYU720884:JYV720884 KIQ720884:KIR720884 KSM720884:KSN720884 LCI720884:LCJ720884 LME720884:LMF720884 LWA720884:LWB720884 MFW720884:MFX720884 MPS720884:MPT720884 MZO720884:MZP720884 NJK720884:NJL720884 NTG720884:NTH720884 ODC720884:ODD720884 OMY720884:OMZ720884 OWU720884:OWV720884 PGQ720884:PGR720884 PQM720884:PQN720884 QAI720884:QAJ720884 QKE720884:QKF720884 QUA720884:QUB720884 RDW720884:RDX720884 RNS720884:RNT720884 RXO720884:RXP720884 SHK720884:SHL720884 SRG720884:SRH720884 TBC720884:TBD720884 TKY720884:TKZ720884 TUU720884:TUV720884 UEQ720884:UER720884 UOM720884:UON720884 UYI720884:UYJ720884 VIE720884:VIF720884 VSA720884:VSB720884 WBW720884:WBX720884 WLS720884:WLT720884 WVO720884:WVP720884 G786420:H786420 JC786420:JD786420 SY786420:SZ786420 ACU786420:ACV786420 AMQ786420:AMR786420 AWM786420:AWN786420 BGI786420:BGJ786420 BQE786420:BQF786420 CAA786420:CAB786420 CJW786420:CJX786420 CTS786420:CTT786420 DDO786420:DDP786420 DNK786420:DNL786420 DXG786420:DXH786420 EHC786420:EHD786420 EQY786420:EQZ786420 FAU786420:FAV786420 FKQ786420:FKR786420 FUM786420:FUN786420 GEI786420:GEJ786420 GOE786420:GOF786420 GYA786420:GYB786420 HHW786420:HHX786420 HRS786420:HRT786420 IBO786420:IBP786420 ILK786420:ILL786420 IVG786420:IVH786420 JFC786420:JFD786420 JOY786420:JOZ786420 JYU786420:JYV786420 KIQ786420:KIR786420 KSM786420:KSN786420 LCI786420:LCJ786420 LME786420:LMF786420 LWA786420:LWB786420 MFW786420:MFX786420 MPS786420:MPT786420 MZO786420:MZP786420 NJK786420:NJL786420 NTG786420:NTH786420 ODC786420:ODD786420 OMY786420:OMZ786420 OWU786420:OWV786420 PGQ786420:PGR786420 PQM786420:PQN786420 QAI786420:QAJ786420 QKE786420:QKF786420 QUA786420:QUB786420 RDW786420:RDX786420 RNS786420:RNT786420 RXO786420:RXP786420 SHK786420:SHL786420 SRG786420:SRH786420 TBC786420:TBD786420 TKY786420:TKZ786420 TUU786420:TUV786420 UEQ786420:UER786420 UOM786420:UON786420 UYI786420:UYJ786420 VIE786420:VIF786420 VSA786420:VSB786420 WBW786420:WBX786420 WLS786420:WLT786420 WVO786420:WVP786420 G851956:H851956 JC851956:JD851956 SY851956:SZ851956 ACU851956:ACV851956 AMQ851956:AMR851956 AWM851956:AWN851956 BGI851956:BGJ851956 BQE851956:BQF851956 CAA851956:CAB851956 CJW851956:CJX851956 CTS851956:CTT851956 DDO851956:DDP851956 DNK851956:DNL851956 DXG851956:DXH851956 EHC851956:EHD851956 EQY851956:EQZ851956 FAU851956:FAV851956 FKQ851956:FKR851956 FUM851956:FUN851956 GEI851956:GEJ851956 GOE851956:GOF851956 GYA851956:GYB851956 HHW851956:HHX851956 HRS851956:HRT851956 IBO851956:IBP851956 ILK851956:ILL851956 IVG851956:IVH851956 JFC851956:JFD851956 JOY851956:JOZ851956 JYU851956:JYV851956 KIQ851956:KIR851956 KSM851956:KSN851956 LCI851956:LCJ851956 LME851956:LMF851956 LWA851956:LWB851956 MFW851956:MFX851956 MPS851956:MPT851956 MZO851956:MZP851956 NJK851956:NJL851956 NTG851956:NTH851956 ODC851956:ODD851956 OMY851956:OMZ851956 OWU851956:OWV851956 PGQ851956:PGR851956 PQM851956:PQN851956 QAI851956:QAJ851956 QKE851956:QKF851956 QUA851956:QUB851956 RDW851956:RDX851956 RNS851956:RNT851956 RXO851956:RXP851956 SHK851956:SHL851956 SRG851956:SRH851956 TBC851956:TBD851956 TKY851956:TKZ851956 TUU851956:TUV851956 UEQ851956:UER851956 UOM851956:UON851956 UYI851956:UYJ851956 VIE851956:VIF851956 VSA851956:VSB851956 WBW851956:WBX851956 WLS851956:WLT851956 WVO851956:WVP851956 G917492:H917492 JC917492:JD917492 SY917492:SZ917492 ACU917492:ACV917492 AMQ917492:AMR917492 AWM917492:AWN917492 BGI917492:BGJ917492 BQE917492:BQF917492 CAA917492:CAB917492 CJW917492:CJX917492 CTS917492:CTT917492 DDO917492:DDP917492 DNK917492:DNL917492 DXG917492:DXH917492 EHC917492:EHD917492 EQY917492:EQZ917492 FAU917492:FAV917492 FKQ917492:FKR917492 FUM917492:FUN917492 GEI917492:GEJ917492 GOE917492:GOF917492 GYA917492:GYB917492 HHW917492:HHX917492 HRS917492:HRT917492 IBO917492:IBP917492 ILK917492:ILL917492 IVG917492:IVH917492 JFC917492:JFD917492 JOY917492:JOZ917492 JYU917492:JYV917492 KIQ917492:KIR917492 KSM917492:KSN917492 LCI917492:LCJ917492 LME917492:LMF917492 LWA917492:LWB917492 MFW917492:MFX917492 MPS917492:MPT917492 MZO917492:MZP917492 NJK917492:NJL917492 NTG917492:NTH917492 ODC917492:ODD917492 OMY917492:OMZ917492 OWU917492:OWV917492 PGQ917492:PGR917492 PQM917492:PQN917492 QAI917492:QAJ917492 QKE917492:QKF917492 QUA917492:QUB917492 RDW917492:RDX917492 RNS917492:RNT917492 RXO917492:RXP917492 SHK917492:SHL917492 SRG917492:SRH917492 TBC917492:TBD917492 TKY917492:TKZ917492 TUU917492:TUV917492 UEQ917492:UER917492 UOM917492:UON917492 UYI917492:UYJ917492 VIE917492:VIF917492 VSA917492:VSB917492 WBW917492:WBX917492 WLS917492:WLT917492 WVO917492:WVP917492 G983028:H983028 JC983028:JD983028 SY983028:SZ983028 ACU983028:ACV983028 AMQ983028:AMR983028 AWM983028:AWN983028 BGI983028:BGJ983028 BQE983028:BQF983028 CAA983028:CAB983028 CJW983028:CJX983028 CTS983028:CTT983028 DDO983028:DDP983028 DNK983028:DNL983028 DXG983028:DXH983028 EHC983028:EHD983028 EQY983028:EQZ983028 FAU983028:FAV983028 FKQ983028:FKR983028 FUM983028:FUN983028 GEI983028:GEJ983028 GOE983028:GOF983028 GYA983028:GYB983028 HHW983028:HHX983028 HRS983028:HRT983028 IBO983028:IBP983028 ILK983028:ILL983028 IVG983028:IVH983028 JFC983028:JFD983028 JOY983028:JOZ983028 JYU983028:JYV983028 KIQ983028:KIR983028 KSM983028:KSN983028 LCI983028:LCJ983028 LME983028:LMF983028 LWA983028:LWB983028 MFW983028:MFX983028 MPS983028:MPT983028 MZO983028:MZP983028 NJK983028:NJL983028 NTG983028:NTH983028 ODC983028:ODD983028 OMY983028:OMZ983028 OWU983028:OWV983028 PGQ983028:PGR983028 PQM983028:PQN983028 QAI983028:QAJ983028 QKE983028:QKF983028 QUA983028:QUB983028 RDW983028:RDX983028 RNS983028:RNT983028 RXO983028:RXP983028 SHK983028:SHL983028 SRG983028:SRH983028 TBC983028:TBD983028 TKY983028:TKZ983028 TUU983028:TUV983028 UEQ983028:UER983028 UOM983028:UON983028 UYI983028:UYJ983028 VIE983028:VIF983028 VSA983028:VSB983028 WBW983028:WBX983028 WLS983028:WLT983028 WVO983028:WVP983028 G65534:H65534 JC65534:JD65534 SY65534:SZ65534 ACU65534:ACV65534 AMQ65534:AMR65534 AWM65534:AWN65534 BGI65534:BGJ65534 BQE65534:BQF65534 CAA65534:CAB65534 CJW65534:CJX65534 CTS65534:CTT65534 DDO65534:DDP65534 DNK65534:DNL65534 DXG65534:DXH65534 EHC65534:EHD65534 EQY65534:EQZ65534 FAU65534:FAV65534 FKQ65534:FKR65534 FUM65534:FUN65534 GEI65534:GEJ65534 GOE65534:GOF65534 GYA65534:GYB65534 HHW65534:HHX65534 HRS65534:HRT65534 IBO65534:IBP65534 ILK65534:ILL65534 IVG65534:IVH65534 JFC65534:JFD65534 JOY65534:JOZ65534 JYU65534:JYV65534 KIQ65534:KIR65534 KSM65534:KSN65534 LCI65534:LCJ65534 LME65534:LMF65534 LWA65534:LWB65534 MFW65534:MFX65534 MPS65534:MPT65534 MZO65534:MZP65534 NJK65534:NJL65534 NTG65534:NTH65534 ODC65534:ODD65534 OMY65534:OMZ65534 OWU65534:OWV65534 PGQ65534:PGR65534 PQM65534:PQN65534 QAI65534:QAJ65534 QKE65534:QKF65534 QUA65534:QUB65534 RDW65534:RDX65534 RNS65534:RNT65534 RXO65534:RXP65534 SHK65534:SHL65534 SRG65534:SRH65534 TBC65534:TBD65534 TKY65534:TKZ65534 TUU65534:TUV65534 UEQ65534:UER65534 UOM65534:UON65534 UYI65534:UYJ65534 VIE65534:VIF65534 VSA65534:VSB65534 WBW65534:WBX65534 WLS65534:WLT65534 WVO65534:WVP65534 G131070:H131070 JC131070:JD131070 SY131070:SZ131070 ACU131070:ACV131070 AMQ131070:AMR131070 AWM131070:AWN131070 BGI131070:BGJ131070 BQE131070:BQF131070 CAA131070:CAB131070 CJW131070:CJX131070 CTS131070:CTT131070 DDO131070:DDP131070 DNK131070:DNL131070 DXG131070:DXH131070 EHC131070:EHD131070 EQY131070:EQZ131070 FAU131070:FAV131070 FKQ131070:FKR131070 FUM131070:FUN131070 GEI131070:GEJ131070 GOE131070:GOF131070 GYA131070:GYB131070 HHW131070:HHX131070 HRS131070:HRT131070 IBO131070:IBP131070 ILK131070:ILL131070 IVG131070:IVH131070 JFC131070:JFD131070 JOY131070:JOZ131070 JYU131070:JYV131070 KIQ131070:KIR131070 KSM131070:KSN131070 LCI131070:LCJ131070 LME131070:LMF131070 LWA131070:LWB131070 MFW131070:MFX131070 MPS131070:MPT131070 MZO131070:MZP131070 NJK131070:NJL131070 NTG131070:NTH131070 ODC131070:ODD131070 OMY131070:OMZ131070 OWU131070:OWV131070 PGQ131070:PGR131070 PQM131070:PQN131070 QAI131070:QAJ131070 QKE131070:QKF131070 QUA131070:QUB131070 RDW131070:RDX131070 RNS131070:RNT131070 RXO131070:RXP131070 SHK131070:SHL131070 SRG131070:SRH131070 TBC131070:TBD131070 TKY131070:TKZ131070 TUU131070:TUV131070 UEQ131070:UER131070 UOM131070:UON131070 UYI131070:UYJ131070 VIE131070:VIF131070 VSA131070:VSB131070 WBW131070:WBX131070 WLS131070:WLT131070 WVO131070:WVP131070 G196606:H196606 JC196606:JD196606 SY196606:SZ196606 ACU196606:ACV196606 AMQ196606:AMR196606 AWM196606:AWN196606 BGI196606:BGJ196606 BQE196606:BQF196606 CAA196606:CAB196606 CJW196606:CJX196606 CTS196606:CTT196606 DDO196606:DDP196606 DNK196606:DNL196606 DXG196606:DXH196606 EHC196606:EHD196606 EQY196606:EQZ196606 FAU196606:FAV196606 FKQ196606:FKR196606 FUM196606:FUN196606 GEI196606:GEJ196606 GOE196606:GOF196606 GYA196606:GYB196606 HHW196606:HHX196606 HRS196606:HRT196606 IBO196606:IBP196606 ILK196606:ILL196606 IVG196606:IVH196606 JFC196606:JFD196606 JOY196606:JOZ196606 JYU196606:JYV196606 KIQ196606:KIR196606 KSM196606:KSN196606 LCI196606:LCJ196606 LME196606:LMF196606 LWA196606:LWB196606 MFW196606:MFX196606 MPS196606:MPT196606 MZO196606:MZP196606 NJK196606:NJL196606 NTG196606:NTH196606 ODC196606:ODD196606 OMY196606:OMZ196606 OWU196606:OWV196606 PGQ196606:PGR196606 PQM196606:PQN196606 QAI196606:QAJ196606 QKE196606:QKF196606 QUA196606:QUB196606 RDW196606:RDX196606 RNS196606:RNT196606 RXO196606:RXP196606 SHK196606:SHL196606 SRG196606:SRH196606 TBC196606:TBD196606 TKY196606:TKZ196606 TUU196606:TUV196606 UEQ196606:UER196606 UOM196606:UON196606 UYI196606:UYJ196606 VIE196606:VIF196606 VSA196606:VSB196606 WBW196606:WBX196606 WLS196606:WLT196606 WVO196606:WVP196606 G262142:H262142 JC262142:JD262142 SY262142:SZ262142 ACU262142:ACV262142 AMQ262142:AMR262142 AWM262142:AWN262142 BGI262142:BGJ262142 BQE262142:BQF262142 CAA262142:CAB262142 CJW262142:CJX262142 CTS262142:CTT262142 DDO262142:DDP262142 DNK262142:DNL262142 DXG262142:DXH262142 EHC262142:EHD262142 EQY262142:EQZ262142 FAU262142:FAV262142 FKQ262142:FKR262142 FUM262142:FUN262142 GEI262142:GEJ262142 GOE262142:GOF262142 GYA262142:GYB262142 HHW262142:HHX262142 HRS262142:HRT262142 IBO262142:IBP262142 ILK262142:ILL262142 IVG262142:IVH262142 JFC262142:JFD262142 JOY262142:JOZ262142 JYU262142:JYV262142 KIQ262142:KIR262142 KSM262142:KSN262142 LCI262142:LCJ262142 LME262142:LMF262142 LWA262142:LWB262142 MFW262142:MFX262142 MPS262142:MPT262142 MZO262142:MZP262142 NJK262142:NJL262142 NTG262142:NTH262142 ODC262142:ODD262142 OMY262142:OMZ262142 OWU262142:OWV262142 PGQ262142:PGR262142 PQM262142:PQN262142 QAI262142:QAJ262142 QKE262142:QKF262142 QUA262142:QUB262142 RDW262142:RDX262142 RNS262142:RNT262142 RXO262142:RXP262142 SHK262142:SHL262142 SRG262142:SRH262142 TBC262142:TBD262142 TKY262142:TKZ262142 TUU262142:TUV262142 UEQ262142:UER262142 UOM262142:UON262142 UYI262142:UYJ262142 VIE262142:VIF262142 VSA262142:VSB262142 WBW262142:WBX262142 WLS262142:WLT262142 WVO262142:WVP262142 G327678:H327678 JC327678:JD327678 SY327678:SZ327678 ACU327678:ACV327678 AMQ327678:AMR327678 AWM327678:AWN327678 BGI327678:BGJ327678 BQE327678:BQF327678 CAA327678:CAB327678 CJW327678:CJX327678 CTS327678:CTT327678 DDO327678:DDP327678 DNK327678:DNL327678 DXG327678:DXH327678 EHC327678:EHD327678 EQY327678:EQZ327678 FAU327678:FAV327678 FKQ327678:FKR327678 FUM327678:FUN327678 GEI327678:GEJ327678 GOE327678:GOF327678 GYA327678:GYB327678 HHW327678:HHX327678 HRS327678:HRT327678 IBO327678:IBP327678 ILK327678:ILL327678 IVG327678:IVH327678 JFC327678:JFD327678 JOY327678:JOZ327678 JYU327678:JYV327678 KIQ327678:KIR327678 KSM327678:KSN327678 LCI327678:LCJ327678 LME327678:LMF327678 LWA327678:LWB327678 MFW327678:MFX327678 MPS327678:MPT327678 MZO327678:MZP327678 NJK327678:NJL327678 NTG327678:NTH327678 ODC327678:ODD327678 OMY327678:OMZ327678 OWU327678:OWV327678 PGQ327678:PGR327678 PQM327678:PQN327678 QAI327678:QAJ327678 QKE327678:QKF327678 QUA327678:QUB327678 RDW327678:RDX327678 RNS327678:RNT327678 RXO327678:RXP327678 SHK327678:SHL327678 SRG327678:SRH327678 TBC327678:TBD327678 TKY327678:TKZ327678 TUU327678:TUV327678 UEQ327678:UER327678 UOM327678:UON327678 UYI327678:UYJ327678 VIE327678:VIF327678 VSA327678:VSB327678 WBW327678:WBX327678 WLS327678:WLT327678 WVO327678:WVP327678 G393214:H393214 JC393214:JD393214 SY393214:SZ393214 ACU393214:ACV393214 AMQ393214:AMR393214 AWM393214:AWN393214 BGI393214:BGJ393214 BQE393214:BQF393214 CAA393214:CAB393214 CJW393214:CJX393214 CTS393214:CTT393214 DDO393214:DDP393214 DNK393214:DNL393214 DXG393214:DXH393214 EHC393214:EHD393214 EQY393214:EQZ393214 FAU393214:FAV393214 FKQ393214:FKR393214 FUM393214:FUN393214 GEI393214:GEJ393214 GOE393214:GOF393214 GYA393214:GYB393214 HHW393214:HHX393214 HRS393214:HRT393214 IBO393214:IBP393214 ILK393214:ILL393214 IVG393214:IVH393214 JFC393214:JFD393214 JOY393214:JOZ393214 JYU393214:JYV393214 KIQ393214:KIR393214 KSM393214:KSN393214 LCI393214:LCJ393214 LME393214:LMF393214 LWA393214:LWB393214 MFW393214:MFX393214 MPS393214:MPT393214 MZO393214:MZP393214 NJK393214:NJL393214 NTG393214:NTH393214 ODC393214:ODD393214 OMY393214:OMZ393214 OWU393214:OWV393214 PGQ393214:PGR393214 PQM393214:PQN393214 QAI393214:QAJ393214 QKE393214:QKF393214 QUA393214:QUB393214 RDW393214:RDX393214 RNS393214:RNT393214 RXO393214:RXP393214 SHK393214:SHL393214 SRG393214:SRH393214 TBC393214:TBD393214 TKY393214:TKZ393214 TUU393214:TUV393214 UEQ393214:UER393214 UOM393214:UON393214 UYI393214:UYJ393214 VIE393214:VIF393214 VSA393214:VSB393214 WBW393214:WBX393214 WLS393214:WLT393214 WVO393214:WVP393214 G458750:H458750 JC458750:JD458750 SY458750:SZ458750 ACU458750:ACV458750 AMQ458750:AMR458750 AWM458750:AWN458750 BGI458750:BGJ458750 BQE458750:BQF458750 CAA458750:CAB458750 CJW458750:CJX458750 CTS458750:CTT458750 DDO458750:DDP458750 DNK458750:DNL458750 DXG458750:DXH458750 EHC458750:EHD458750 EQY458750:EQZ458750 FAU458750:FAV458750 FKQ458750:FKR458750 FUM458750:FUN458750 GEI458750:GEJ458750 GOE458750:GOF458750 GYA458750:GYB458750 HHW458750:HHX458750 HRS458750:HRT458750 IBO458750:IBP458750 ILK458750:ILL458750 IVG458750:IVH458750 JFC458750:JFD458750 JOY458750:JOZ458750 JYU458750:JYV458750 KIQ458750:KIR458750 KSM458750:KSN458750 LCI458750:LCJ458750 LME458750:LMF458750 LWA458750:LWB458750 MFW458750:MFX458750 MPS458750:MPT458750 MZO458750:MZP458750 NJK458750:NJL458750 NTG458750:NTH458750 ODC458750:ODD458750 OMY458750:OMZ458750 OWU458750:OWV458750 PGQ458750:PGR458750 PQM458750:PQN458750 QAI458750:QAJ458750 QKE458750:QKF458750 QUA458750:QUB458750 RDW458750:RDX458750 RNS458750:RNT458750 RXO458750:RXP458750 SHK458750:SHL458750 SRG458750:SRH458750 TBC458750:TBD458750 TKY458750:TKZ458750 TUU458750:TUV458750 UEQ458750:UER458750 UOM458750:UON458750 UYI458750:UYJ458750 VIE458750:VIF458750 VSA458750:VSB458750 WBW458750:WBX458750 WLS458750:WLT458750 WVO458750:WVP458750 G524286:H524286 JC524286:JD524286 SY524286:SZ524286 ACU524286:ACV524286 AMQ524286:AMR524286 AWM524286:AWN524286 BGI524286:BGJ524286 BQE524286:BQF524286 CAA524286:CAB524286 CJW524286:CJX524286 CTS524286:CTT524286 DDO524286:DDP524286 DNK524286:DNL524286 DXG524286:DXH524286 EHC524286:EHD524286 EQY524286:EQZ524286 FAU524286:FAV524286 FKQ524286:FKR524286 FUM524286:FUN524286 GEI524286:GEJ524286 GOE524286:GOF524286 GYA524286:GYB524286 HHW524286:HHX524286 HRS524286:HRT524286 IBO524286:IBP524286 ILK524286:ILL524286 IVG524286:IVH524286 JFC524286:JFD524286 JOY524286:JOZ524286 JYU524286:JYV524286 KIQ524286:KIR524286 KSM524286:KSN524286 LCI524286:LCJ524286 LME524286:LMF524286 LWA524286:LWB524286 MFW524286:MFX524286 MPS524286:MPT524286 MZO524286:MZP524286 NJK524286:NJL524286 NTG524286:NTH524286 ODC524286:ODD524286 OMY524286:OMZ524286 OWU524286:OWV524286 PGQ524286:PGR524286 PQM524286:PQN524286 QAI524286:QAJ524286 QKE524286:QKF524286 QUA524286:QUB524286 RDW524286:RDX524286 RNS524286:RNT524286 RXO524286:RXP524286 SHK524286:SHL524286 SRG524286:SRH524286 TBC524286:TBD524286 TKY524286:TKZ524286 TUU524286:TUV524286 UEQ524286:UER524286 UOM524286:UON524286 UYI524286:UYJ524286 VIE524286:VIF524286 VSA524286:VSB524286 WBW524286:WBX524286 WLS524286:WLT524286 WVO524286:WVP524286 G589822:H589822 JC589822:JD589822 SY589822:SZ589822 ACU589822:ACV589822 AMQ589822:AMR589822 AWM589822:AWN589822 BGI589822:BGJ589822 BQE589822:BQF589822 CAA589822:CAB589822 CJW589822:CJX589822 CTS589822:CTT589822 DDO589822:DDP589822 DNK589822:DNL589822 DXG589822:DXH589822 EHC589822:EHD589822 EQY589822:EQZ589822 FAU589822:FAV589822 FKQ589822:FKR589822 FUM589822:FUN589822 GEI589822:GEJ589822 GOE589822:GOF589822 GYA589822:GYB589822 HHW589822:HHX589822 HRS589822:HRT589822 IBO589822:IBP589822 ILK589822:ILL589822 IVG589822:IVH589822 JFC589822:JFD589822 JOY589822:JOZ589822 JYU589822:JYV589822 KIQ589822:KIR589822 KSM589822:KSN589822 LCI589822:LCJ589822 LME589822:LMF589822 LWA589822:LWB589822 MFW589822:MFX589822 MPS589822:MPT589822 MZO589822:MZP589822 NJK589822:NJL589822 NTG589822:NTH589822 ODC589822:ODD589822 OMY589822:OMZ589822 OWU589822:OWV589822 PGQ589822:PGR589822 PQM589822:PQN589822 QAI589822:QAJ589822 QKE589822:QKF589822 QUA589822:QUB589822 RDW589822:RDX589822 RNS589822:RNT589822 RXO589822:RXP589822 SHK589822:SHL589822 SRG589822:SRH589822 TBC589822:TBD589822 TKY589822:TKZ589822 TUU589822:TUV589822 UEQ589822:UER589822 UOM589822:UON589822 UYI589822:UYJ589822 VIE589822:VIF589822 VSA589822:VSB589822 WBW589822:WBX589822 WLS589822:WLT589822 WVO589822:WVP589822 G655358:H655358 JC655358:JD655358 SY655358:SZ655358 ACU655358:ACV655358 AMQ655358:AMR655358 AWM655358:AWN655358 BGI655358:BGJ655358 BQE655358:BQF655358 CAA655358:CAB655358 CJW655358:CJX655358 CTS655358:CTT655358 DDO655358:DDP655358 DNK655358:DNL655358 DXG655358:DXH655358 EHC655358:EHD655358 EQY655358:EQZ655358 FAU655358:FAV655358 FKQ655358:FKR655358 FUM655358:FUN655358 GEI655358:GEJ655358 GOE655358:GOF655358 GYA655358:GYB655358 HHW655358:HHX655358 HRS655358:HRT655358 IBO655358:IBP655358 ILK655358:ILL655358 IVG655358:IVH655358 JFC655358:JFD655358 JOY655358:JOZ655358 JYU655358:JYV655358 KIQ655358:KIR655358 KSM655358:KSN655358 LCI655358:LCJ655358 LME655358:LMF655358 LWA655358:LWB655358 MFW655358:MFX655358 MPS655358:MPT655358 MZO655358:MZP655358 NJK655358:NJL655358 NTG655358:NTH655358 ODC655358:ODD655358 OMY655358:OMZ655358 OWU655358:OWV655358 PGQ655358:PGR655358 PQM655358:PQN655358 QAI655358:QAJ655358 QKE655358:QKF655358 QUA655358:QUB655358 RDW655358:RDX655358 RNS655358:RNT655358 RXO655358:RXP655358 SHK655358:SHL655358 SRG655358:SRH655358 TBC655358:TBD655358 TKY655358:TKZ655358 TUU655358:TUV655358 UEQ655358:UER655358 UOM655358:UON655358 UYI655358:UYJ655358 VIE655358:VIF655358 VSA655358:VSB655358 WBW655358:WBX655358 WLS655358:WLT655358 WVO655358:WVP655358 G720894:H720894 JC720894:JD720894 SY720894:SZ720894 ACU720894:ACV720894 AMQ720894:AMR720894 AWM720894:AWN720894 BGI720894:BGJ720894 BQE720894:BQF720894 CAA720894:CAB720894 CJW720894:CJX720894 CTS720894:CTT720894 DDO720894:DDP720894 DNK720894:DNL720894 DXG720894:DXH720894 EHC720894:EHD720894 EQY720894:EQZ720894 FAU720894:FAV720894 FKQ720894:FKR720894 FUM720894:FUN720894 GEI720894:GEJ720894 GOE720894:GOF720894 GYA720894:GYB720894 HHW720894:HHX720894 HRS720894:HRT720894 IBO720894:IBP720894 ILK720894:ILL720894 IVG720894:IVH720894 JFC720894:JFD720894 JOY720894:JOZ720894 JYU720894:JYV720894 KIQ720894:KIR720894 KSM720894:KSN720894 LCI720894:LCJ720894 LME720894:LMF720894 LWA720894:LWB720894 MFW720894:MFX720894 MPS720894:MPT720894 MZO720894:MZP720894 NJK720894:NJL720894 NTG720894:NTH720894 ODC720894:ODD720894 OMY720894:OMZ720894 OWU720894:OWV720894 PGQ720894:PGR720894 PQM720894:PQN720894 QAI720894:QAJ720894 QKE720894:QKF720894 QUA720894:QUB720894 RDW720894:RDX720894 RNS720894:RNT720894 RXO720894:RXP720894 SHK720894:SHL720894 SRG720894:SRH720894 TBC720894:TBD720894 TKY720894:TKZ720894 TUU720894:TUV720894 UEQ720894:UER720894 UOM720894:UON720894 UYI720894:UYJ720894 VIE720894:VIF720894 VSA720894:VSB720894 WBW720894:WBX720894 WLS720894:WLT720894 WVO720894:WVP720894 G786430:H786430 JC786430:JD786430 SY786430:SZ786430 ACU786430:ACV786430 AMQ786430:AMR786430 AWM786430:AWN786430 BGI786430:BGJ786430 BQE786430:BQF786430 CAA786430:CAB786430 CJW786430:CJX786430 CTS786430:CTT786430 DDO786430:DDP786430 DNK786430:DNL786430 DXG786430:DXH786430 EHC786430:EHD786430 EQY786430:EQZ786430 FAU786430:FAV786430 FKQ786430:FKR786430 FUM786430:FUN786430 GEI786430:GEJ786430 GOE786430:GOF786430 GYA786430:GYB786430 HHW786430:HHX786430 HRS786430:HRT786430 IBO786430:IBP786430 ILK786430:ILL786430 IVG786430:IVH786430 JFC786430:JFD786430 JOY786430:JOZ786430 JYU786430:JYV786430 KIQ786430:KIR786430 KSM786430:KSN786430 LCI786430:LCJ786430 LME786430:LMF786430 LWA786430:LWB786430 MFW786430:MFX786430 MPS786430:MPT786430 MZO786430:MZP786430 NJK786430:NJL786430 NTG786430:NTH786430 ODC786430:ODD786430 OMY786430:OMZ786430 OWU786430:OWV786430 PGQ786430:PGR786430 PQM786430:PQN786430 QAI786430:QAJ786430 QKE786430:QKF786430 QUA786430:QUB786430 RDW786430:RDX786430 RNS786430:RNT786430 RXO786430:RXP786430 SHK786430:SHL786430 SRG786430:SRH786430 TBC786430:TBD786430 TKY786430:TKZ786430 TUU786430:TUV786430 UEQ786430:UER786430 UOM786430:UON786430 UYI786430:UYJ786430 VIE786430:VIF786430 VSA786430:VSB786430 WBW786430:WBX786430 WLS786430:WLT786430 WVO786430:WVP786430 G851966:H851966 JC851966:JD851966 SY851966:SZ851966 ACU851966:ACV851966 AMQ851966:AMR851966 AWM851966:AWN851966 BGI851966:BGJ851966 BQE851966:BQF851966 CAA851966:CAB851966 CJW851966:CJX851966 CTS851966:CTT851966 DDO851966:DDP851966 DNK851966:DNL851966 DXG851966:DXH851966 EHC851966:EHD851966 EQY851966:EQZ851966 FAU851966:FAV851966 FKQ851966:FKR851966 FUM851966:FUN851966 GEI851966:GEJ851966 GOE851966:GOF851966 GYA851966:GYB851966 HHW851966:HHX851966 HRS851966:HRT851966 IBO851966:IBP851966 ILK851966:ILL851966 IVG851966:IVH851966 JFC851966:JFD851966 JOY851966:JOZ851966 JYU851966:JYV851966 KIQ851966:KIR851966 KSM851966:KSN851966 LCI851966:LCJ851966 LME851966:LMF851966 LWA851966:LWB851966 MFW851966:MFX851966 MPS851966:MPT851966 MZO851966:MZP851966 NJK851966:NJL851966 NTG851966:NTH851966 ODC851966:ODD851966 OMY851966:OMZ851966 OWU851966:OWV851966 PGQ851966:PGR851966 PQM851966:PQN851966 QAI851966:QAJ851966 QKE851966:QKF851966 QUA851966:QUB851966 RDW851966:RDX851966 RNS851966:RNT851966 RXO851966:RXP851966 SHK851966:SHL851966 SRG851966:SRH851966 TBC851966:TBD851966 TKY851966:TKZ851966 TUU851966:TUV851966 UEQ851966:UER851966 UOM851966:UON851966 UYI851966:UYJ851966 VIE851966:VIF851966 VSA851966:VSB851966 WBW851966:WBX851966 WLS851966:WLT851966 WVO851966:WVP851966 G917502:H917502 JC917502:JD917502 SY917502:SZ917502 ACU917502:ACV917502 AMQ917502:AMR917502 AWM917502:AWN917502 BGI917502:BGJ917502 BQE917502:BQF917502 CAA917502:CAB917502 CJW917502:CJX917502 CTS917502:CTT917502 DDO917502:DDP917502 DNK917502:DNL917502 DXG917502:DXH917502 EHC917502:EHD917502 EQY917502:EQZ917502 FAU917502:FAV917502 FKQ917502:FKR917502 FUM917502:FUN917502 GEI917502:GEJ917502 GOE917502:GOF917502 GYA917502:GYB917502 HHW917502:HHX917502 HRS917502:HRT917502 IBO917502:IBP917502 ILK917502:ILL917502 IVG917502:IVH917502 JFC917502:JFD917502 JOY917502:JOZ917502 JYU917502:JYV917502 KIQ917502:KIR917502 KSM917502:KSN917502 LCI917502:LCJ917502 LME917502:LMF917502 LWA917502:LWB917502 MFW917502:MFX917502 MPS917502:MPT917502 MZO917502:MZP917502 NJK917502:NJL917502 NTG917502:NTH917502 ODC917502:ODD917502 OMY917502:OMZ917502 OWU917502:OWV917502 PGQ917502:PGR917502 PQM917502:PQN917502 QAI917502:QAJ917502 QKE917502:QKF917502 QUA917502:QUB917502 RDW917502:RDX917502 RNS917502:RNT917502 RXO917502:RXP917502 SHK917502:SHL917502 SRG917502:SRH917502 TBC917502:TBD917502 TKY917502:TKZ917502 TUU917502:TUV917502 UEQ917502:UER917502 UOM917502:UON917502 UYI917502:UYJ917502 VIE917502:VIF917502 VSA917502:VSB917502 WBW917502:WBX917502 WLS917502:WLT917502 WVO917502:WVP917502 G983038:H983038 JC983038:JD983038 SY983038:SZ983038 ACU983038:ACV983038 AMQ983038:AMR983038 AWM983038:AWN983038 BGI983038:BGJ983038 BQE983038:BQF983038 CAA983038:CAB983038 CJW983038:CJX983038 CTS983038:CTT983038 DDO983038:DDP983038 DNK983038:DNL983038 DXG983038:DXH983038 EHC983038:EHD983038 EQY983038:EQZ983038 FAU983038:FAV983038 FKQ983038:FKR983038 FUM983038:FUN983038 GEI983038:GEJ983038 GOE983038:GOF983038 GYA983038:GYB983038 HHW983038:HHX983038 HRS983038:HRT983038 IBO983038:IBP983038 ILK983038:ILL983038 IVG983038:IVH983038 JFC983038:JFD983038 JOY983038:JOZ983038 JYU983038:JYV983038 KIQ983038:KIR983038 KSM983038:KSN983038 LCI983038:LCJ983038 LME983038:LMF983038 LWA983038:LWB983038 MFW983038:MFX983038 MPS983038:MPT983038 MZO983038:MZP983038 NJK983038:NJL983038 NTG983038:NTH983038 ODC983038:ODD983038 OMY983038:OMZ983038 OWU983038:OWV983038 PGQ983038:PGR983038 PQM983038:PQN983038 QAI983038:QAJ983038 QKE983038:QKF983038 QUA983038:QUB983038 RDW983038:RDX983038 RNS983038:RNT983038 RXO983038:RXP983038 SHK983038:SHL983038 SRG983038:SRH983038 TBC983038:TBD983038 TKY983038:TKZ983038 TUU983038:TUV983038 UEQ983038:UER983038 UOM983038:UON983038 UYI983038:UYJ983038 VIE983038:VIF983038 VSA983038:VSB983038 WBW983038:WBX983038 WLS983038:WLT983038 WVO983038:WVP983038 G65544:H65544 JC65544:JD65544 SY65544:SZ65544 ACU65544:ACV65544 AMQ65544:AMR65544 AWM65544:AWN65544 BGI65544:BGJ65544 BQE65544:BQF65544 CAA65544:CAB65544 CJW65544:CJX65544 CTS65544:CTT65544 DDO65544:DDP65544 DNK65544:DNL65544 DXG65544:DXH65544 EHC65544:EHD65544 EQY65544:EQZ65544 FAU65544:FAV65544 FKQ65544:FKR65544 FUM65544:FUN65544 GEI65544:GEJ65544 GOE65544:GOF65544 GYA65544:GYB65544 HHW65544:HHX65544 HRS65544:HRT65544 IBO65544:IBP65544 ILK65544:ILL65544 IVG65544:IVH65544 JFC65544:JFD65544 JOY65544:JOZ65544 JYU65544:JYV65544 KIQ65544:KIR65544 KSM65544:KSN65544 LCI65544:LCJ65544 LME65544:LMF65544 LWA65544:LWB65544 MFW65544:MFX65544 MPS65544:MPT65544 MZO65544:MZP65544 NJK65544:NJL65544 NTG65544:NTH65544 ODC65544:ODD65544 OMY65544:OMZ65544 OWU65544:OWV65544 PGQ65544:PGR65544 PQM65544:PQN65544 QAI65544:QAJ65544 QKE65544:QKF65544 QUA65544:QUB65544 RDW65544:RDX65544 RNS65544:RNT65544 RXO65544:RXP65544 SHK65544:SHL65544 SRG65544:SRH65544 TBC65544:TBD65544 TKY65544:TKZ65544 TUU65544:TUV65544 UEQ65544:UER65544 UOM65544:UON65544 UYI65544:UYJ65544 VIE65544:VIF65544 VSA65544:VSB65544 WBW65544:WBX65544 WLS65544:WLT65544 WVO65544:WVP65544 G131080:H131080 JC131080:JD131080 SY131080:SZ131080 ACU131080:ACV131080 AMQ131080:AMR131080 AWM131080:AWN131080 BGI131080:BGJ131080 BQE131080:BQF131080 CAA131080:CAB131080 CJW131080:CJX131080 CTS131080:CTT131080 DDO131080:DDP131080 DNK131080:DNL131080 DXG131080:DXH131080 EHC131080:EHD131080 EQY131080:EQZ131080 FAU131080:FAV131080 FKQ131080:FKR131080 FUM131080:FUN131080 GEI131080:GEJ131080 GOE131080:GOF131080 GYA131080:GYB131080 HHW131080:HHX131080 HRS131080:HRT131080 IBO131080:IBP131080 ILK131080:ILL131080 IVG131080:IVH131080 JFC131080:JFD131080 JOY131080:JOZ131080 JYU131080:JYV131080 KIQ131080:KIR131080 KSM131080:KSN131080 LCI131080:LCJ131080 LME131080:LMF131080 LWA131080:LWB131080 MFW131080:MFX131080 MPS131080:MPT131080 MZO131080:MZP131080 NJK131080:NJL131080 NTG131080:NTH131080 ODC131080:ODD131080 OMY131080:OMZ131080 OWU131080:OWV131080 PGQ131080:PGR131080 PQM131080:PQN131080 QAI131080:QAJ131080 QKE131080:QKF131080 QUA131080:QUB131080 RDW131080:RDX131080 RNS131080:RNT131080 RXO131080:RXP131080 SHK131080:SHL131080 SRG131080:SRH131080 TBC131080:TBD131080 TKY131080:TKZ131080 TUU131080:TUV131080 UEQ131080:UER131080 UOM131080:UON131080 UYI131080:UYJ131080 VIE131080:VIF131080 VSA131080:VSB131080 WBW131080:WBX131080 WLS131080:WLT131080 WVO131080:WVP131080 G196616:H196616 JC196616:JD196616 SY196616:SZ196616 ACU196616:ACV196616 AMQ196616:AMR196616 AWM196616:AWN196616 BGI196616:BGJ196616 BQE196616:BQF196616 CAA196616:CAB196616 CJW196616:CJX196616 CTS196616:CTT196616 DDO196616:DDP196616 DNK196616:DNL196616 DXG196616:DXH196616 EHC196616:EHD196616 EQY196616:EQZ196616 FAU196616:FAV196616 FKQ196616:FKR196616 FUM196616:FUN196616 GEI196616:GEJ196616 GOE196616:GOF196616 GYA196616:GYB196616 HHW196616:HHX196616 HRS196616:HRT196616 IBO196616:IBP196616 ILK196616:ILL196616 IVG196616:IVH196616 JFC196616:JFD196616 JOY196616:JOZ196616 JYU196616:JYV196616 KIQ196616:KIR196616 KSM196616:KSN196616 LCI196616:LCJ196616 LME196616:LMF196616 LWA196616:LWB196616 MFW196616:MFX196616 MPS196616:MPT196616 MZO196616:MZP196616 NJK196616:NJL196616 NTG196616:NTH196616 ODC196616:ODD196616 OMY196616:OMZ196616 OWU196616:OWV196616 PGQ196616:PGR196616 PQM196616:PQN196616 QAI196616:QAJ196616 QKE196616:QKF196616 QUA196616:QUB196616 RDW196616:RDX196616 RNS196616:RNT196616 RXO196616:RXP196616 SHK196616:SHL196616 SRG196616:SRH196616 TBC196616:TBD196616 TKY196616:TKZ196616 TUU196616:TUV196616 UEQ196616:UER196616 UOM196616:UON196616 UYI196616:UYJ196616 VIE196616:VIF196616 VSA196616:VSB196616 WBW196616:WBX196616 WLS196616:WLT196616 WVO196616:WVP196616 G262152:H262152 JC262152:JD262152 SY262152:SZ262152 ACU262152:ACV262152 AMQ262152:AMR262152 AWM262152:AWN262152 BGI262152:BGJ262152 BQE262152:BQF262152 CAA262152:CAB262152 CJW262152:CJX262152 CTS262152:CTT262152 DDO262152:DDP262152 DNK262152:DNL262152 DXG262152:DXH262152 EHC262152:EHD262152 EQY262152:EQZ262152 FAU262152:FAV262152 FKQ262152:FKR262152 FUM262152:FUN262152 GEI262152:GEJ262152 GOE262152:GOF262152 GYA262152:GYB262152 HHW262152:HHX262152 HRS262152:HRT262152 IBO262152:IBP262152 ILK262152:ILL262152 IVG262152:IVH262152 JFC262152:JFD262152 JOY262152:JOZ262152 JYU262152:JYV262152 KIQ262152:KIR262152 KSM262152:KSN262152 LCI262152:LCJ262152 LME262152:LMF262152 LWA262152:LWB262152 MFW262152:MFX262152 MPS262152:MPT262152 MZO262152:MZP262152 NJK262152:NJL262152 NTG262152:NTH262152 ODC262152:ODD262152 OMY262152:OMZ262152 OWU262152:OWV262152 PGQ262152:PGR262152 PQM262152:PQN262152 QAI262152:QAJ262152 QKE262152:QKF262152 QUA262152:QUB262152 RDW262152:RDX262152 RNS262152:RNT262152 RXO262152:RXP262152 SHK262152:SHL262152 SRG262152:SRH262152 TBC262152:TBD262152 TKY262152:TKZ262152 TUU262152:TUV262152 UEQ262152:UER262152 UOM262152:UON262152 UYI262152:UYJ262152 VIE262152:VIF262152 VSA262152:VSB262152 WBW262152:WBX262152 WLS262152:WLT262152 WVO262152:WVP262152 G327688:H327688 JC327688:JD327688 SY327688:SZ327688 ACU327688:ACV327688 AMQ327688:AMR327688 AWM327688:AWN327688 BGI327688:BGJ327688 BQE327688:BQF327688 CAA327688:CAB327688 CJW327688:CJX327688 CTS327688:CTT327688 DDO327688:DDP327688 DNK327688:DNL327688 DXG327688:DXH327688 EHC327688:EHD327688 EQY327688:EQZ327688 FAU327688:FAV327688 FKQ327688:FKR327688 FUM327688:FUN327688 GEI327688:GEJ327688 GOE327688:GOF327688 GYA327688:GYB327688 HHW327688:HHX327688 HRS327688:HRT327688 IBO327688:IBP327688 ILK327688:ILL327688 IVG327688:IVH327688 JFC327688:JFD327688 JOY327688:JOZ327688 JYU327688:JYV327688 KIQ327688:KIR327688 KSM327688:KSN327688 LCI327688:LCJ327688 LME327688:LMF327688 LWA327688:LWB327688 MFW327688:MFX327688 MPS327688:MPT327688 MZO327688:MZP327688 NJK327688:NJL327688 NTG327688:NTH327688 ODC327688:ODD327688 OMY327688:OMZ327688 OWU327688:OWV327688 PGQ327688:PGR327688 PQM327688:PQN327688 QAI327688:QAJ327688 QKE327688:QKF327688 QUA327688:QUB327688 RDW327688:RDX327688 RNS327688:RNT327688 RXO327688:RXP327688 SHK327688:SHL327688 SRG327688:SRH327688 TBC327688:TBD327688 TKY327688:TKZ327688 TUU327688:TUV327688 UEQ327688:UER327688 UOM327688:UON327688 UYI327688:UYJ327688 VIE327688:VIF327688 VSA327688:VSB327688 WBW327688:WBX327688 WLS327688:WLT327688 WVO327688:WVP327688 G393224:H393224 JC393224:JD393224 SY393224:SZ393224 ACU393224:ACV393224 AMQ393224:AMR393224 AWM393224:AWN393224 BGI393224:BGJ393224 BQE393224:BQF393224 CAA393224:CAB393224 CJW393224:CJX393224 CTS393224:CTT393224 DDO393224:DDP393224 DNK393224:DNL393224 DXG393224:DXH393224 EHC393224:EHD393224 EQY393224:EQZ393224 FAU393224:FAV393224 FKQ393224:FKR393224 FUM393224:FUN393224 GEI393224:GEJ393224 GOE393224:GOF393224 GYA393224:GYB393224 HHW393224:HHX393224 HRS393224:HRT393224 IBO393224:IBP393224 ILK393224:ILL393224 IVG393224:IVH393224 JFC393224:JFD393224 JOY393224:JOZ393224 JYU393224:JYV393224 KIQ393224:KIR393224 KSM393224:KSN393224 LCI393224:LCJ393224 LME393224:LMF393224 LWA393224:LWB393224 MFW393224:MFX393224 MPS393224:MPT393224 MZO393224:MZP393224 NJK393224:NJL393224 NTG393224:NTH393224 ODC393224:ODD393224 OMY393224:OMZ393224 OWU393224:OWV393224 PGQ393224:PGR393224 PQM393224:PQN393224 QAI393224:QAJ393224 QKE393224:QKF393224 QUA393224:QUB393224 RDW393224:RDX393224 RNS393224:RNT393224 RXO393224:RXP393224 SHK393224:SHL393224 SRG393224:SRH393224 TBC393224:TBD393224 TKY393224:TKZ393224 TUU393224:TUV393224 UEQ393224:UER393224 UOM393224:UON393224 UYI393224:UYJ393224 VIE393224:VIF393224 VSA393224:VSB393224 WBW393224:WBX393224 WLS393224:WLT393224 WVO393224:WVP393224 G458760:H458760 JC458760:JD458760 SY458760:SZ458760 ACU458760:ACV458760 AMQ458760:AMR458760 AWM458760:AWN458760 BGI458760:BGJ458760 BQE458760:BQF458760 CAA458760:CAB458760 CJW458760:CJX458760 CTS458760:CTT458760 DDO458760:DDP458760 DNK458760:DNL458760 DXG458760:DXH458760 EHC458760:EHD458760 EQY458760:EQZ458760 FAU458760:FAV458760 FKQ458760:FKR458760 FUM458760:FUN458760 GEI458760:GEJ458760 GOE458760:GOF458760 GYA458760:GYB458760 HHW458760:HHX458760 HRS458760:HRT458760 IBO458760:IBP458760 ILK458760:ILL458760 IVG458760:IVH458760 JFC458760:JFD458760 JOY458760:JOZ458760 JYU458760:JYV458760 KIQ458760:KIR458760 KSM458760:KSN458760 LCI458760:LCJ458760 LME458760:LMF458760 LWA458760:LWB458760 MFW458760:MFX458760 MPS458760:MPT458760 MZO458760:MZP458760 NJK458760:NJL458760 NTG458760:NTH458760 ODC458760:ODD458760 OMY458760:OMZ458760 OWU458760:OWV458760 PGQ458760:PGR458760 PQM458760:PQN458760 QAI458760:QAJ458760 QKE458760:QKF458760 QUA458760:QUB458760 RDW458760:RDX458760 RNS458760:RNT458760 RXO458760:RXP458760 SHK458760:SHL458760 SRG458760:SRH458760 TBC458760:TBD458760 TKY458760:TKZ458760 TUU458760:TUV458760 UEQ458760:UER458760 UOM458760:UON458760 UYI458760:UYJ458760 VIE458760:VIF458760 VSA458760:VSB458760 WBW458760:WBX458760 WLS458760:WLT458760 WVO458760:WVP458760 G524296:H524296 JC524296:JD524296 SY524296:SZ524296 ACU524296:ACV524296 AMQ524296:AMR524296 AWM524296:AWN524296 BGI524296:BGJ524296 BQE524296:BQF524296 CAA524296:CAB524296 CJW524296:CJX524296 CTS524296:CTT524296 DDO524296:DDP524296 DNK524296:DNL524296 DXG524296:DXH524296 EHC524296:EHD524296 EQY524296:EQZ524296 FAU524296:FAV524296 FKQ524296:FKR524296 FUM524296:FUN524296 GEI524296:GEJ524296 GOE524296:GOF524296 GYA524296:GYB524296 HHW524296:HHX524296 HRS524296:HRT524296 IBO524296:IBP524296 ILK524296:ILL524296 IVG524296:IVH524296 JFC524296:JFD524296 JOY524296:JOZ524296 JYU524296:JYV524296 KIQ524296:KIR524296 KSM524296:KSN524296 LCI524296:LCJ524296 LME524296:LMF524296 LWA524296:LWB524296 MFW524296:MFX524296 MPS524296:MPT524296 MZO524296:MZP524296 NJK524296:NJL524296 NTG524296:NTH524296 ODC524296:ODD524296 OMY524296:OMZ524296 OWU524296:OWV524296 PGQ524296:PGR524296 PQM524296:PQN524296 QAI524296:QAJ524296 QKE524296:QKF524296 QUA524296:QUB524296 RDW524296:RDX524296 RNS524296:RNT524296 RXO524296:RXP524296 SHK524296:SHL524296 SRG524296:SRH524296 TBC524296:TBD524296 TKY524296:TKZ524296 TUU524296:TUV524296 UEQ524296:UER524296 UOM524296:UON524296 UYI524296:UYJ524296 VIE524296:VIF524296 VSA524296:VSB524296 WBW524296:WBX524296 WLS524296:WLT524296 WVO524296:WVP524296 G589832:H589832 JC589832:JD589832 SY589832:SZ589832 ACU589832:ACV589832 AMQ589832:AMR589832 AWM589832:AWN589832 BGI589832:BGJ589832 BQE589832:BQF589832 CAA589832:CAB589832 CJW589832:CJX589832 CTS589832:CTT589832 DDO589832:DDP589832 DNK589832:DNL589832 DXG589832:DXH589832 EHC589832:EHD589832 EQY589832:EQZ589832 FAU589832:FAV589832 FKQ589832:FKR589832 FUM589832:FUN589832 GEI589832:GEJ589832 GOE589832:GOF589832 GYA589832:GYB589832 HHW589832:HHX589832 HRS589832:HRT589832 IBO589832:IBP589832 ILK589832:ILL589832 IVG589832:IVH589832 JFC589832:JFD589832 JOY589832:JOZ589832 JYU589832:JYV589832 KIQ589832:KIR589832 KSM589832:KSN589832 LCI589832:LCJ589832 LME589832:LMF589832 LWA589832:LWB589832 MFW589832:MFX589832 MPS589832:MPT589832 MZO589832:MZP589832 NJK589832:NJL589832 NTG589832:NTH589832 ODC589832:ODD589832 OMY589832:OMZ589832 OWU589832:OWV589832 PGQ589832:PGR589832 PQM589832:PQN589832 QAI589832:QAJ589832 QKE589832:QKF589832 QUA589832:QUB589832 RDW589832:RDX589832 RNS589832:RNT589832 RXO589832:RXP589832 SHK589832:SHL589832 SRG589832:SRH589832 TBC589832:TBD589832 TKY589832:TKZ589832 TUU589832:TUV589832 UEQ589832:UER589832 UOM589832:UON589832 UYI589832:UYJ589832 VIE589832:VIF589832 VSA589832:VSB589832 WBW589832:WBX589832 WLS589832:WLT589832 WVO589832:WVP589832 G655368:H655368 JC655368:JD655368 SY655368:SZ655368 ACU655368:ACV655368 AMQ655368:AMR655368 AWM655368:AWN655368 BGI655368:BGJ655368 BQE655368:BQF655368 CAA655368:CAB655368 CJW655368:CJX655368 CTS655368:CTT655368 DDO655368:DDP655368 DNK655368:DNL655368 DXG655368:DXH655368 EHC655368:EHD655368 EQY655368:EQZ655368 FAU655368:FAV655368 FKQ655368:FKR655368 FUM655368:FUN655368 GEI655368:GEJ655368 GOE655368:GOF655368 GYA655368:GYB655368 HHW655368:HHX655368 HRS655368:HRT655368 IBO655368:IBP655368 ILK655368:ILL655368 IVG655368:IVH655368 JFC655368:JFD655368 JOY655368:JOZ655368 JYU655368:JYV655368 KIQ655368:KIR655368 KSM655368:KSN655368 LCI655368:LCJ655368 LME655368:LMF655368 LWA655368:LWB655368 MFW655368:MFX655368 MPS655368:MPT655368 MZO655368:MZP655368 NJK655368:NJL655368 NTG655368:NTH655368 ODC655368:ODD655368 OMY655368:OMZ655368 OWU655368:OWV655368 PGQ655368:PGR655368 PQM655368:PQN655368 QAI655368:QAJ655368 QKE655368:QKF655368 QUA655368:QUB655368 RDW655368:RDX655368 RNS655368:RNT655368 RXO655368:RXP655368 SHK655368:SHL655368 SRG655368:SRH655368 TBC655368:TBD655368 TKY655368:TKZ655368 TUU655368:TUV655368 UEQ655368:UER655368 UOM655368:UON655368 UYI655368:UYJ655368 VIE655368:VIF655368 VSA655368:VSB655368 WBW655368:WBX655368 WLS655368:WLT655368 WVO655368:WVP655368 G720904:H720904 JC720904:JD720904 SY720904:SZ720904 ACU720904:ACV720904 AMQ720904:AMR720904 AWM720904:AWN720904 BGI720904:BGJ720904 BQE720904:BQF720904 CAA720904:CAB720904 CJW720904:CJX720904 CTS720904:CTT720904 DDO720904:DDP720904 DNK720904:DNL720904 DXG720904:DXH720904 EHC720904:EHD720904 EQY720904:EQZ720904 FAU720904:FAV720904 FKQ720904:FKR720904 FUM720904:FUN720904 GEI720904:GEJ720904 GOE720904:GOF720904 GYA720904:GYB720904 HHW720904:HHX720904 HRS720904:HRT720904 IBO720904:IBP720904 ILK720904:ILL720904 IVG720904:IVH720904 JFC720904:JFD720904 JOY720904:JOZ720904 JYU720904:JYV720904 KIQ720904:KIR720904 KSM720904:KSN720904 LCI720904:LCJ720904 LME720904:LMF720904 LWA720904:LWB720904 MFW720904:MFX720904 MPS720904:MPT720904 MZO720904:MZP720904 NJK720904:NJL720904 NTG720904:NTH720904 ODC720904:ODD720904 OMY720904:OMZ720904 OWU720904:OWV720904 PGQ720904:PGR720904 PQM720904:PQN720904 QAI720904:QAJ720904 QKE720904:QKF720904 QUA720904:QUB720904 RDW720904:RDX720904 RNS720904:RNT720904 RXO720904:RXP720904 SHK720904:SHL720904 SRG720904:SRH720904 TBC720904:TBD720904 TKY720904:TKZ720904 TUU720904:TUV720904 UEQ720904:UER720904 UOM720904:UON720904 UYI720904:UYJ720904 VIE720904:VIF720904 VSA720904:VSB720904 WBW720904:WBX720904 WLS720904:WLT720904 WVO720904:WVP720904 G786440:H786440 JC786440:JD786440 SY786440:SZ786440 ACU786440:ACV786440 AMQ786440:AMR786440 AWM786440:AWN786440 BGI786440:BGJ786440 BQE786440:BQF786440 CAA786440:CAB786440 CJW786440:CJX786440 CTS786440:CTT786440 DDO786440:DDP786440 DNK786440:DNL786440 DXG786440:DXH786440 EHC786440:EHD786440 EQY786440:EQZ786440 FAU786440:FAV786440 FKQ786440:FKR786440 FUM786440:FUN786440 GEI786440:GEJ786440 GOE786440:GOF786440 GYA786440:GYB786440 HHW786440:HHX786440 HRS786440:HRT786440 IBO786440:IBP786440 ILK786440:ILL786440 IVG786440:IVH786440 JFC786440:JFD786440 JOY786440:JOZ786440 JYU786440:JYV786440 KIQ786440:KIR786440 KSM786440:KSN786440 LCI786440:LCJ786440 LME786440:LMF786440 LWA786440:LWB786440 MFW786440:MFX786440 MPS786440:MPT786440 MZO786440:MZP786440 NJK786440:NJL786440 NTG786440:NTH786440 ODC786440:ODD786440 OMY786440:OMZ786440 OWU786440:OWV786440 PGQ786440:PGR786440 PQM786440:PQN786440 QAI786440:QAJ786440 QKE786440:QKF786440 QUA786440:QUB786440 RDW786440:RDX786440 RNS786440:RNT786440 RXO786440:RXP786440 SHK786440:SHL786440 SRG786440:SRH786440 TBC786440:TBD786440 TKY786440:TKZ786440 TUU786440:TUV786440 UEQ786440:UER786440 UOM786440:UON786440 UYI786440:UYJ786440 VIE786440:VIF786440 VSA786440:VSB786440 WBW786440:WBX786440 WLS786440:WLT786440 WVO786440:WVP786440 G851976:H851976 JC851976:JD851976 SY851976:SZ851976 ACU851976:ACV851976 AMQ851976:AMR851976 AWM851976:AWN851976 BGI851976:BGJ851976 BQE851976:BQF851976 CAA851976:CAB851976 CJW851976:CJX851976 CTS851976:CTT851976 DDO851976:DDP851976 DNK851976:DNL851976 DXG851976:DXH851976 EHC851976:EHD851976 EQY851976:EQZ851976 FAU851976:FAV851976 FKQ851976:FKR851976 FUM851976:FUN851976 GEI851976:GEJ851976 GOE851976:GOF851976 GYA851976:GYB851976 HHW851976:HHX851976 HRS851976:HRT851976 IBO851976:IBP851976 ILK851976:ILL851976 IVG851976:IVH851976 JFC851976:JFD851976 JOY851976:JOZ851976 JYU851976:JYV851976 KIQ851976:KIR851976 KSM851976:KSN851976 LCI851976:LCJ851976 LME851976:LMF851976 LWA851976:LWB851976 MFW851976:MFX851976 MPS851976:MPT851976 MZO851976:MZP851976 NJK851976:NJL851976 NTG851976:NTH851976 ODC851976:ODD851976 OMY851976:OMZ851976 OWU851976:OWV851976 PGQ851976:PGR851976 PQM851976:PQN851976 QAI851976:QAJ851976 QKE851976:QKF851976 QUA851976:QUB851976 RDW851976:RDX851976 RNS851976:RNT851976 RXO851976:RXP851976 SHK851976:SHL851976 SRG851976:SRH851976 TBC851976:TBD851976 TKY851976:TKZ851976 TUU851976:TUV851976 UEQ851976:UER851976 UOM851976:UON851976 UYI851976:UYJ851976 VIE851976:VIF851976 VSA851976:VSB851976 WBW851976:WBX851976 WLS851976:WLT851976 WVO851976:WVP851976 G917512:H917512 JC917512:JD917512 SY917512:SZ917512 ACU917512:ACV917512 AMQ917512:AMR917512 AWM917512:AWN917512 BGI917512:BGJ917512 BQE917512:BQF917512 CAA917512:CAB917512 CJW917512:CJX917512 CTS917512:CTT917512 DDO917512:DDP917512 DNK917512:DNL917512 DXG917512:DXH917512 EHC917512:EHD917512 EQY917512:EQZ917512 FAU917512:FAV917512 FKQ917512:FKR917512 FUM917512:FUN917512 GEI917512:GEJ917512 GOE917512:GOF917512 GYA917512:GYB917512 HHW917512:HHX917512 HRS917512:HRT917512 IBO917512:IBP917512 ILK917512:ILL917512 IVG917512:IVH917512 JFC917512:JFD917512 JOY917512:JOZ917512 JYU917512:JYV917512 KIQ917512:KIR917512 KSM917512:KSN917512 LCI917512:LCJ917512 LME917512:LMF917512 LWA917512:LWB917512 MFW917512:MFX917512 MPS917512:MPT917512 MZO917512:MZP917512 NJK917512:NJL917512 NTG917512:NTH917512 ODC917512:ODD917512 OMY917512:OMZ917512 OWU917512:OWV917512 PGQ917512:PGR917512 PQM917512:PQN917512 QAI917512:QAJ917512 QKE917512:QKF917512 QUA917512:QUB917512 RDW917512:RDX917512 RNS917512:RNT917512 RXO917512:RXP917512 SHK917512:SHL917512 SRG917512:SRH917512 TBC917512:TBD917512 TKY917512:TKZ917512 TUU917512:TUV917512 UEQ917512:UER917512 UOM917512:UON917512 UYI917512:UYJ917512 VIE917512:VIF917512 VSA917512:VSB917512 WBW917512:WBX917512 WLS917512:WLT917512 WVO917512:WVP917512 G983048:H983048 JC983048:JD983048 SY983048:SZ983048 ACU983048:ACV983048 AMQ983048:AMR983048 AWM983048:AWN983048 BGI983048:BGJ983048 BQE983048:BQF983048 CAA983048:CAB983048 CJW983048:CJX983048 CTS983048:CTT983048 DDO983048:DDP983048 DNK983048:DNL983048 DXG983048:DXH983048 EHC983048:EHD983048 EQY983048:EQZ983048 FAU983048:FAV983048 FKQ983048:FKR983048 FUM983048:FUN983048 GEI983048:GEJ983048 GOE983048:GOF983048 GYA983048:GYB983048 HHW983048:HHX983048 HRS983048:HRT983048 IBO983048:IBP983048 ILK983048:ILL983048 IVG983048:IVH983048 JFC983048:JFD983048 JOY983048:JOZ983048 JYU983048:JYV983048 KIQ983048:KIR983048 KSM983048:KSN983048 LCI983048:LCJ983048 LME983048:LMF983048 LWA983048:LWB983048 MFW983048:MFX983048 MPS983048:MPT983048 MZO983048:MZP983048 NJK983048:NJL983048 NTG983048:NTH983048 ODC983048:ODD983048 OMY983048:OMZ983048 OWU983048:OWV983048 PGQ983048:PGR983048 PQM983048:PQN983048 QAI983048:QAJ983048 QKE983048:QKF983048 QUA983048:QUB983048 RDW983048:RDX983048 RNS983048:RNT983048 RXO983048:RXP983048 SHK983048:SHL983048 SRG983048:SRH983048 TBC983048:TBD983048 TKY983048:TKZ983048 TUU983048:TUV983048 UEQ983048:UER983048 UOM983048:UON983048 UYI983048:UYJ983048 VIE983048:VIF983048 VSA983048:VSB983048 WBW983048:WBX983048 WLS983048:WLT983048 WVO983048:WVP983048 G27:H27 JC27:JD27 SY27:SZ27 ACU27:ACV27 AMQ27:AMR27 AWM27:AWN27 BGI27:BGJ27 BQE27:BQF27 CAA27:CAB27 CJW27:CJX27 CTS27:CTT27 DDO27:DDP27 DNK27:DNL27 DXG27:DXH27 EHC27:EHD27 EQY27:EQZ27 FAU27:FAV27 FKQ27:FKR27 FUM27:FUN27 GEI27:GEJ27 GOE27:GOF27 GYA27:GYB27 HHW27:HHX27 HRS27:HRT27 IBO27:IBP27 ILK27:ILL27 IVG27:IVH27 JFC27:JFD27 JOY27:JOZ27 JYU27:JYV27 KIQ27:KIR27 KSM27:KSN27 LCI27:LCJ27 LME27:LMF27 LWA27:LWB27 MFW27:MFX27 MPS27:MPT27 MZO27:MZP27 NJK27:NJL27 NTG27:NTH27 ODC27:ODD27 OMY27:OMZ27 OWU27:OWV27 PGQ27:PGR27 PQM27:PQN27 QAI27:QAJ27 QKE27:QKF27 QUA27:QUB27 RDW27:RDX27 RNS27:RNT27 RXO27:RXP27 SHK27:SHL27 SRG27:SRH27 TBC27:TBD27 TKY27:TKZ27 TUU27:TUV27 UEQ27:UER27 UOM27:UON27 UYI27:UYJ27 VIE27:VIF27 VSA27:VSB27 WBW27:WBX27 WLS27:WLT27 WVO27:WVP27 G65554:H65554 JC65554:JD65554 SY65554:SZ65554 ACU65554:ACV65554 AMQ65554:AMR65554 AWM65554:AWN65554 BGI65554:BGJ65554 BQE65554:BQF65554 CAA65554:CAB65554 CJW65554:CJX65554 CTS65554:CTT65554 DDO65554:DDP65554 DNK65554:DNL65554 DXG65554:DXH65554 EHC65554:EHD65554 EQY65554:EQZ65554 FAU65554:FAV65554 FKQ65554:FKR65554 FUM65554:FUN65554 GEI65554:GEJ65554 GOE65554:GOF65554 GYA65554:GYB65554 HHW65554:HHX65554 HRS65554:HRT65554 IBO65554:IBP65554 ILK65554:ILL65554 IVG65554:IVH65554 JFC65554:JFD65554 JOY65554:JOZ65554 JYU65554:JYV65554 KIQ65554:KIR65554 KSM65554:KSN65554 LCI65554:LCJ65554 LME65554:LMF65554 LWA65554:LWB65554 MFW65554:MFX65554 MPS65554:MPT65554 MZO65554:MZP65554 NJK65554:NJL65554 NTG65554:NTH65554 ODC65554:ODD65554 OMY65554:OMZ65554 OWU65554:OWV65554 PGQ65554:PGR65554 PQM65554:PQN65554 QAI65554:QAJ65554 QKE65554:QKF65554 QUA65554:QUB65554 RDW65554:RDX65554 RNS65554:RNT65554 RXO65554:RXP65554 SHK65554:SHL65554 SRG65554:SRH65554 TBC65554:TBD65554 TKY65554:TKZ65554 TUU65554:TUV65554 UEQ65554:UER65554 UOM65554:UON65554 UYI65554:UYJ65554 VIE65554:VIF65554 VSA65554:VSB65554 WBW65554:WBX65554 WLS65554:WLT65554 WVO65554:WVP65554 G131090:H131090 JC131090:JD131090 SY131090:SZ131090 ACU131090:ACV131090 AMQ131090:AMR131090 AWM131090:AWN131090 BGI131090:BGJ131090 BQE131090:BQF131090 CAA131090:CAB131090 CJW131090:CJX131090 CTS131090:CTT131090 DDO131090:DDP131090 DNK131090:DNL131090 DXG131090:DXH131090 EHC131090:EHD131090 EQY131090:EQZ131090 FAU131090:FAV131090 FKQ131090:FKR131090 FUM131090:FUN131090 GEI131090:GEJ131090 GOE131090:GOF131090 GYA131090:GYB131090 HHW131090:HHX131090 HRS131090:HRT131090 IBO131090:IBP131090 ILK131090:ILL131090 IVG131090:IVH131090 JFC131090:JFD131090 JOY131090:JOZ131090 JYU131090:JYV131090 KIQ131090:KIR131090 KSM131090:KSN131090 LCI131090:LCJ131090 LME131090:LMF131090 LWA131090:LWB131090 MFW131090:MFX131090 MPS131090:MPT131090 MZO131090:MZP131090 NJK131090:NJL131090 NTG131090:NTH131090 ODC131090:ODD131090 OMY131090:OMZ131090 OWU131090:OWV131090 PGQ131090:PGR131090 PQM131090:PQN131090 QAI131090:QAJ131090 QKE131090:QKF131090 QUA131090:QUB131090 RDW131090:RDX131090 RNS131090:RNT131090 RXO131090:RXP131090 SHK131090:SHL131090 SRG131090:SRH131090 TBC131090:TBD131090 TKY131090:TKZ131090 TUU131090:TUV131090 UEQ131090:UER131090 UOM131090:UON131090 UYI131090:UYJ131090 VIE131090:VIF131090 VSA131090:VSB131090 WBW131090:WBX131090 WLS131090:WLT131090 WVO131090:WVP131090 G196626:H196626 JC196626:JD196626 SY196626:SZ196626 ACU196626:ACV196626 AMQ196626:AMR196626 AWM196626:AWN196626 BGI196626:BGJ196626 BQE196626:BQF196626 CAA196626:CAB196626 CJW196626:CJX196626 CTS196626:CTT196626 DDO196626:DDP196626 DNK196626:DNL196626 DXG196626:DXH196626 EHC196626:EHD196626 EQY196626:EQZ196626 FAU196626:FAV196626 FKQ196626:FKR196626 FUM196626:FUN196626 GEI196626:GEJ196626 GOE196626:GOF196626 GYA196626:GYB196626 HHW196626:HHX196626 HRS196626:HRT196626 IBO196626:IBP196626 ILK196626:ILL196626 IVG196626:IVH196626 JFC196626:JFD196626 JOY196626:JOZ196626 JYU196626:JYV196626 KIQ196626:KIR196626 KSM196626:KSN196626 LCI196626:LCJ196626 LME196626:LMF196626 LWA196626:LWB196626 MFW196626:MFX196626 MPS196626:MPT196626 MZO196626:MZP196626 NJK196626:NJL196626 NTG196626:NTH196626 ODC196626:ODD196626 OMY196626:OMZ196626 OWU196626:OWV196626 PGQ196626:PGR196626 PQM196626:PQN196626 QAI196626:QAJ196626 QKE196626:QKF196626 QUA196626:QUB196626 RDW196626:RDX196626 RNS196626:RNT196626 RXO196626:RXP196626 SHK196626:SHL196626 SRG196626:SRH196626 TBC196626:TBD196626 TKY196626:TKZ196626 TUU196626:TUV196626 UEQ196626:UER196626 UOM196626:UON196626 UYI196626:UYJ196626 VIE196626:VIF196626 VSA196626:VSB196626 WBW196626:WBX196626 WLS196626:WLT196626 WVO196626:WVP196626 G262162:H262162 JC262162:JD262162 SY262162:SZ262162 ACU262162:ACV262162 AMQ262162:AMR262162 AWM262162:AWN262162 BGI262162:BGJ262162 BQE262162:BQF262162 CAA262162:CAB262162 CJW262162:CJX262162 CTS262162:CTT262162 DDO262162:DDP262162 DNK262162:DNL262162 DXG262162:DXH262162 EHC262162:EHD262162 EQY262162:EQZ262162 FAU262162:FAV262162 FKQ262162:FKR262162 FUM262162:FUN262162 GEI262162:GEJ262162 GOE262162:GOF262162 GYA262162:GYB262162 HHW262162:HHX262162 HRS262162:HRT262162 IBO262162:IBP262162 ILK262162:ILL262162 IVG262162:IVH262162 JFC262162:JFD262162 JOY262162:JOZ262162 JYU262162:JYV262162 KIQ262162:KIR262162 KSM262162:KSN262162 LCI262162:LCJ262162 LME262162:LMF262162 LWA262162:LWB262162 MFW262162:MFX262162 MPS262162:MPT262162 MZO262162:MZP262162 NJK262162:NJL262162 NTG262162:NTH262162 ODC262162:ODD262162 OMY262162:OMZ262162 OWU262162:OWV262162 PGQ262162:PGR262162 PQM262162:PQN262162 QAI262162:QAJ262162 QKE262162:QKF262162 QUA262162:QUB262162 RDW262162:RDX262162 RNS262162:RNT262162 RXO262162:RXP262162 SHK262162:SHL262162 SRG262162:SRH262162 TBC262162:TBD262162 TKY262162:TKZ262162 TUU262162:TUV262162 UEQ262162:UER262162 UOM262162:UON262162 UYI262162:UYJ262162 VIE262162:VIF262162 VSA262162:VSB262162 WBW262162:WBX262162 WLS262162:WLT262162 WVO262162:WVP262162 G327698:H327698 JC327698:JD327698 SY327698:SZ327698 ACU327698:ACV327698 AMQ327698:AMR327698 AWM327698:AWN327698 BGI327698:BGJ327698 BQE327698:BQF327698 CAA327698:CAB327698 CJW327698:CJX327698 CTS327698:CTT327698 DDO327698:DDP327698 DNK327698:DNL327698 DXG327698:DXH327698 EHC327698:EHD327698 EQY327698:EQZ327698 FAU327698:FAV327698 FKQ327698:FKR327698 FUM327698:FUN327698 GEI327698:GEJ327698 GOE327698:GOF327698 GYA327698:GYB327698 HHW327698:HHX327698 HRS327698:HRT327698 IBO327698:IBP327698 ILK327698:ILL327698 IVG327698:IVH327698 JFC327698:JFD327698 JOY327698:JOZ327698 JYU327698:JYV327698 KIQ327698:KIR327698 KSM327698:KSN327698 LCI327698:LCJ327698 LME327698:LMF327698 LWA327698:LWB327698 MFW327698:MFX327698 MPS327698:MPT327698 MZO327698:MZP327698 NJK327698:NJL327698 NTG327698:NTH327698 ODC327698:ODD327698 OMY327698:OMZ327698 OWU327698:OWV327698 PGQ327698:PGR327698 PQM327698:PQN327698 QAI327698:QAJ327698 QKE327698:QKF327698 QUA327698:QUB327698 RDW327698:RDX327698 RNS327698:RNT327698 RXO327698:RXP327698 SHK327698:SHL327698 SRG327698:SRH327698 TBC327698:TBD327698 TKY327698:TKZ327698 TUU327698:TUV327698 UEQ327698:UER327698 UOM327698:UON327698 UYI327698:UYJ327698 VIE327698:VIF327698 VSA327698:VSB327698 WBW327698:WBX327698 WLS327698:WLT327698 WVO327698:WVP327698 G393234:H393234 JC393234:JD393234 SY393234:SZ393234 ACU393234:ACV393234 AMQ393234:AMR393234 AWM393234:AWN393234 BGI393234:BGJ393234 BQE393234:BQF393234 CAA393234:CAB393234 CJW393234:CJX393234 CTS393234:CTT393234 DDO393234:DDP393234 DNK393234:DNL393234 DXG393234:DXH393234 EHC393234:EHD393234 EQY393234:EQZ393234 FAU393234:FAV393234 FKQ393234:FKR393234 FUM393234:FUN393234 GEI393234:GEJ393234 GOE393234:GOF393234 GYA393234:GYB393234 HHW393234:HHX393234 HRS393234:HRT393234 IBO393234:IBP393234 ILK393234:ILL393234 IVG393234:IVH393234 JFC393234:JFD393234 JOY393234:JOZ393234 JYU393234:JYV393234 KIQ393234:KIR393234 KSM393234:KSN393234 LCI393234:LCJ393234 LME393234:LMF393234 LWA393234:LWB393234 MFW393234:MFX393234 MPS393234:MPT393234 MZO393234:MZP393234 NJK393234:NJL393234 NTG393234:NTH393234 ODC393234:ODD393234 OMY393234:OMZ393234 OWU393234:OWV393234 PGQ393234:PGR393234 PQM393234:PQN393234 QAI393234:QAJ393234 QKE393234:QKF393234 QUA393234:QUB393234 RDW393234:RDX393234 RNS393234:RNT393234 RXO393234:RXP393234 SHK393234:SHL393234 SRG393234:SRH393234 TBC393234:TBD393234 TKY393234:TKZ393234 TUU393234:TUV393234 UEQ393234:UER393234 UOM393234:UON393234 UYI393234:UYJ393234 VIE393234:VIF393234 VSA393234:VSB393234 WBW393234:WBX393234 WLS393234:WLT393234 WVO393234:WVP393234 G458770:H458770 JC458770:JD458770 SY458770:SZ458770 ACU458770:ACV458770 AMQ458770:AMR458770 AWM458770:AWN458770 BGI458770:BGJ458770 BQE458770:BQF458770 CAA458770:CAB458770 CJW458770:CJX458770 CTS458770:CTT458770 DDO458770:DDP458770 DNK458770:DNL458770 DXG458770:DXH458770 EHC458770:EHD458770 EQY458770:EQZ458770 FAU458770:FAV458770 FKQ458770:FKR458770 FUM458770:FUN458770 GEI458770:GEJ458770 GOE458770:GOF458770 GYA458770:GYB458770 HHW458770:HHX458770 HRS458770:HRT458770 IBO458770:IBP458770 ILK458770:ILL458770 IVG458770:IVH458770 JFC458770:JFD458770 JOY458770:JOZ458770 JYU458770:JYV458770 KIQ458770:KIR458770 KSM458770:KSN458770 LCI458770:LCJ458770 LME458770:LMF458770 LWA458770:LWB458770 MFW458770:MFX458770 MPS458770:MPT458770 MZO458770:MZP458770 NJK458770:NJL458770 NTG458770:NTH458770 ODC458770:ODD458770 OMY458770:OMZ458770 OWU458770:OWV458770 PGQ458770:PGR458770 PQM458770:PQN458770 QAI458770:QAJ458770 QKE458770:QKF458770 QUA458770:QUB458770 RDW458770:RDX458770 RNS458770:RNT458770 RXO458770:RXP458770 SHK458770:SHL458770 SRG458770:SRH458770 TBC458770:TBD458770 TKY458770:TKZ458770 TUU458770:TUV458770 UEQ458770:UER458770 UOM458770:UON458770 UYI458770:UYJ458770 VIE458770:VIF458770 VSA458770:VSB458770 WBW458770:WBX458770 WLS458770:WLT458770 WVO458770:WVP458770 G524306:H524306 JC524306:JD524306 SY524306:SZ524306 ACU524306:ACV524306 AMQ524306:AMR524306 AWM524306:AWN524306 BGI524306:BGJ524306 BQE524306:BQF524306 CAA524306:CAB524306 CJW524306:CJX524306 CTS524306:CTT524306 DDO524306:DDP524306 DNK524306:DNL524306 DXG524306:DXH524306 EHC524306:EHD524306 EQY524306:EQZ524306 FAU524306:FAV524306 FKQ524306:FKR524306 FUM524306:FUN524306 GEI524306:GEJ524306 GOE524306:GOF524306 GYA524306:GYB524306 HHW524306:HHX524306 HRS524306:HRT524306 IBO524306:IBP524306 ILK524306:ILL524306 IVG524306:IVH524306 JFC524306:JFD524306 JOY524306:JOZ524306 JYU524306:JYV524306 KIQ524306:KIR524306 KSM524306:KSN524306 LCI524306:LCJ524306 LME524306:LMF524306 LWA524306:LWB524306 MFW524306:MFX524306 MPS524306:MPT524306 MZO524306:MZP524306 NJK524306:NJL524306 NTG524306:NTH524306 ODC524306:ODD524306 OMY524306:OMZ524306 OWU524306:OWV524306 PGQ524306:PGR524306 PQM524306:PQN524306 QAI524306:QAJ524306 QKE524306:QKF524306 QUA524306:QUB524306 RDW524306:RDX524306 RNS524306:RNT524306 RXO524306:RXP524306 SHK524306:SHL524306 SRG524306:SRH524306 TBC524306:TBD524306 TKY524306:TKZ524306 TUU524306:TUV524306 UEQ524306:UER524306 UOM524306:UON524306 UYI524306:UYJ524306 VIE524306:VIF524306 VSA524306:VSB524306 WBW524306:WBX524306 WLS524306:WLT524306 WVO524306:WVP524306 G589842:H589842 JC589842:JD589842 SY589842:SZ589842 ACU589842:ACV589842 AMQ589842:AMR589842 AWM589842:AWN589842 BGI589842:BGJ589842 BQE589842:BQF589842 CAA589842:CAB589842 CJW589842:CJX589842 CTS589842:CTT589842 DDO589842:DDP589842 DNK589842:DNL589842 DXG589842:DXH589842 EHC589842:EHD589842 EQY589842:EQZ589842 FAU589842:FAV589842 FKQ589842:FKR589842 FUM589842:FUN589842 GEI589842:GEJ589842 GOE589842:GOF589842 GYA589842:GYB589842 HHW589842:HHX589842 HRS589842:HRT589842 IBO589842:IBP589842 ILK589842:ILL589842 IVG589842:IVH589842 JFC589842:JFD589842 JOY589842:JOZ589842 JYU589842:JYV589842 KIQ589842:KIR589842 KSM589842:KSN589842 LCI589842:LCJ589842 LME589842:LMF589842 LWA589842:LWB589842 MFW589842:MFX589842 MPS589842:MPT589842 MZO589842:MZP589842 NJK589842:NJL589842 NTG589842:NTH589842 ODC589842:ODD589842 OMY589842:OMZ589842 OWU589842:OWV589842 PGQ589842:PGR589842 PQM589842:PQN589842 QAI589842:QAJ589842 QKE589842:QKF589842 QUA589842:QUB589842 RDW589842:RDX589842 RNS589842:RNT589842 RXO589842:RXP589842 SHK589842:SHL589842 SRG589842:SRH589842 TBC589842:TBD589842 TKY589842:TKZ589842 TUU589842:TUV589842 UEQ589842:UER589842 UOM589842:UON589842 UYI589842:UYJ589842 VIE589842:VIF589842 VSA589842:VSB589842 WBW589842:WBX589842 WLS589842:WLT589842 WVO589842:WVP589842 G655378:H655378 JC655378:JD655378 SY655378:SZ655378 ACU655378:ACV655378 AMQ655378:AMR655378 AWM655378:AWN655378 BGI655378:BGJ655378 BQE655378:BQF655378 CAA655378:CAB655378 CJW655378:CJX655378 CTS655378:CTT655378 DDO655378:DDP655378 DNK655378:DNL655378 DXG655378:DXH655378 EHC655378:EHD655378 EQY655378:EQZ655378 FAU655378:FAV655378 FKQ655378:FKR655378 FUM655378:FUN655378 GEI655378:GEJ655378 GOE655378:GOF655378 GYA655378:GYB655378 HHW655378:HHX655378 HRS655378:HRT655378 IBO655378:IBP655378 ILK655378:ILL655378 IVG655378:IVH655378 JFC655378:JFD655378 JOY655378:JOZ655378 JYU655378:JYV655378 KIQ655378:KIR655378 KSM655378:KSN655378 LCI655378:LCJ655378 LME655378:LMF655378 LWA655378:LWB655378 MFW655378:MFX655378 MPS655378:MPT655378 MZO655378:MZP655378 NJK655378:NJL655378 NTG655378:NTH655378 ODC655378:ODD655378 OMY655378:OMZ655378 OWU655378:OWV655378 PGQ655378:PGR655378 PQM655378:PQN655378 QAI655378:QAJ655378 QKE655378:QKF655378 QUA655378:QUB655378 RDW655378:RDX655378 RNS655378:RNT655378 RXO655378:RXP655378 SHK655378:SHL655378 SRG655378:SRH655378 TBC655378:TBD655378 TKY655378:TKZ655378 TUU655378:TUV655378 UEQ655378:UER655378 UOM655378:UON655378 UYI655378:UYJ655378 VIE655378:VIF655378 VSA655378:VSB655378 WBW655378:WBX655378 WLS655378:WLT655378 WVO655378:WVP655378 G720914:H720914 JC720914:JD720914 SY720914:SZ720914 ACU720914:ACV720914 AMQ720914:AMR720914 AWM720914:AWN720914 BGI720914:BGJ720914 BQE720914:BQF720914 CAA720914:CAB720914 CJW720914:CJX720914 CTS720914:CTT720914 DDO720914:DDP720914 DNK720914:DNL720914 DXG720914:DXH720914 EHC720914:EHD720914 EQY720914:EQZ720914 FAU720914:FAV720914 FKQ720914:FKR720914 FUM720914:FUN720914 GEI720914:GEJ720914 GOE720914:GOF720914 GYA720914:GYB720914 HHW720914:HHX720914 HRS720914:HRT720914 IBO720914:IBP720914 ILK720914:ILL720914 IVG720914:IVH720914 JFC720914:JFD720914 JOY720914:JOZ720914 JYU720914:JYV720914 KIQ720914:KIR720914 KSM720914:KSN720914 LCI720914:LCJ720914 LME720914:LMF720914 LWA720914:LWB720914 MFW720914:MFX720914 MPS720914:MPT720914 MZO720914:MZP720914 NJK720914:NJL720914 NTG720914:NTH720914 ODC720914:ODD720914 OMY720914:OMZ720914 OWU720914:OWV720914 PGQ720914:PGR720914 PQM720914:PQN720914 QAI720914:QAJ720914 QKE720914:QKF720914 QUA720914:QUB720914 RDW720914:RDX720914 RNS720914:RNT720914 RXO720914:RXP720914 SHK720914:SHL720914 SRG720914:SRH720914 TBC720914:TBD720914 TKY720914:TKZ720914 TUU720914:TUV720914 UEQ720914:UER720914 UOM720914:UON720914 UYI720914:UYJ720914 VIE720914:VIF720914 VSA720914:VSB720914 WBW720914:WBX720914 WLS720914:WLT720914 WVO720914:WVP720914 G786450:H786450 JC786450:JD786450 SY786450:SZ786450 ACU786450:ACV786450 AMQ786450:AMR786450 AWM786450:AWN786450 BGI786450:BGJ786450 BQE786450:BQF786450 CAA786450:CAB786450 CJW786450:CJX786450 CTS786450:CTT786450 DDO786450:DDP786450 DNK786450:DNL786450 DXG786450:DXH786450 EHC786450:EHD786450 EQY786450:EQZ786450 FAU786450:FAV786450 FKQ786450:FKR786450 FUM786450:FUN786450 GEI786450:GEJ786450 GOE786450:GOF786450 GYA786450:GYB786450 HHW786450:HHX786450 HRS786450:HRT786450 IBO786450:IBP786450 ILK786450:ILL786450 IVG786450:IVH786450 JFC786450:JFD786450 JOY786450:JOZ786450 JYU786450:JYV786450 KIQ786450:KIR786450 KSM786450:KSN786450 LCI786450:LCJ786450 LME786450:LMF786450 LWA786450:LWB786450 MFW786450:MFX786450 MPS786450:MPT786450 MZO786450:MZP786450 NJK786450:NJL786450 NTG786450:NTH786450 ODC786450:ODD786450 OMY786450:OMZ786450 OWU786450:OWV786450 PGQ786450:PGR786450 PQM786450:PQN786450 QAI786450:QAJ786450 QKE786450:QKF786450 QUA786450:QUB786450 RDW786450:RDX786450 RNS786450:RNT786450 RXO786450:RXP786450 SHK786450:SHL786450 SRG786450:SRH786450 TBC786450:TBD786450 TKY786450:TKZ786450 TUU786450:TUV786450 UEQ786450:UER786450 UOM786450:UON786450 UYI786450:UYJ786450 VIE786450:VIF786450 VSA786450:VSB786450 WBW786450:WBX786450 WLS786450:WLT786450 WVO786450:WVP786450 G851986:H851986 JC851986:JD851986 SY851986:SZ851986 ACU851986:ACV851986 AMQ851986:AMR851986 AWM851986:AWN851986 BGI851986:BGJ851986 BQE851986:BQF851986 CAA851986:CAB851986 CJW851986:CJX851986 CTS851986:CTT851986 DDO851986:DDP851986 DNK851986:DNL851986 DXG851986:DXH851986 EHC851986:EHD851986 EQY851986:EQZ851986 FAU851986:FAV851986 FKQ851986:FKR851986 FUM851986:FUN851986 GEI851986:GEJ851986 GOE851986:GOF851986 GYA851986:GYB851986 HHW851986:HHX851986 HRS851986:HRT851986 IBO851986:IBP851986 ILK851986:ILL851986 IVG851986:IVH851986 JFC851986:JFD851986 JOY851986:JOZ851986 JYU851986:JYV851986 KIQ851986:KIR851986 KSM851986:KSN851986 LCI851986:LCJ851986 LME851986:LMF851986 LWA851986:LWB851986 MFW851986:MFX851986 MPS851986:MPT851986 MZO851986:MZP851986 NJK851986:NJL851986 NTG851986:NTH851986 ODC851986:ODD851986 OMY851986:OMZ851986 OWU851986:OWV851986 PGQ851986:PGR851986 PQM851986:PQN851986 QAI851986:QAJ851986 QKE851986:QKF851986 QUA851986:QUB851986 RDW851986:RDX851986 RNS851986:RNT851986 RXO851986:RXP851986 SHK851986:SHL851986 SRG851986:SRH851986 TBC851986:TBD851986 TKY851986:TKZ851986 TUU851986:TUV851986 UEQ851986:UER851986 UOM851986:UON851986 UYI851986:UYJ851986 VIE851986:VIF851986 VSA851986:VSB851986 WBW851986:WBX851986 WLS851986:WLT851986 WVO851986:WVP851986 G917522:H917522 JC917522:JD917522 SY917522:SZ917522 ACU917522:ACV917522 AMQ917522:AMR917522 AWM917522:AWN917522 BGI917522:BGJ917522 BQE917522:BQF917522 CAA917522:CAB917522 CJW917522:CJX917522 CTS917522:CTT917522 DDO917522:DDP917522 DNK917522:DNL917522 DXG917522:DXH917522 EHC917522:EHD917522 EQY917522:EQZ917522 FAU917522:FAV917522 FKQ917522:FKR917522 FUM917522:FUN917522 GEI917522:GEJ917522 GOE917522:GOF917522 GYA917522:GYB917522 HHW917522:HHX917522 HRS917522:HRT917522 IBO917522:IBP917522 ILK917522:ILL917522 IVG917522:IVH917522 JFC917522:JFD917522 JOY917522:JOZ917522 JYU917522:JYV917522 KIQ917522:KIR917522 KSM917522:KSN917522 LCI917522:LCJ917522 LME917522:LMF917522 LWA917522:LWB917522 MFW917522:MFX917522 MPS917522:MPT917522 MZO917522:MZP917522 NJK917522:NJL917522 NTG917522:NTH917522 ODC917522:ODD917522 OMY917522:OMZ917522 OWU917522:OWV917522 PGQ917522:PGR917522 PQM917522:PQN917522 QAI917522:QAJ917522 QKE917522:QKF917522 QUA917522:QUB917522 RDW917522:RDX917522 RNS917522:RNT917522 RXO917522:RXP917522 SHK917522:SHL917522 SRG917522:SRH917522 TBC917522:TBD917522 TKY917522:TKZ917522 TUU917522:TUV917522 UEQ917522:UER917522 UOM917522:UON917522 UYI917522:UYJ917522 VIE917522:VIF917522 VSA917522:VSB917522 WBW917522:WBX917522 WLS917522:WLT917522 WVO917522:WVP917522 G983058:H983058 JC983058:JD983058 SY983058:SZ983058 ACU983058:ACV983058 AMQ983058:AMR983058 AWM983058:AWN983058 BGI983058:BGJ983058 BQE983058:BQF983058 CAA983058:CAB983058 CJW983058:CJX983058 CTS983058:CTT983058 DDO983058:DDP983058 DNK983058:DNL983058 DXG983058:DXH983058 EHC983058:EHD983058 EQY983058:EQZ983058 FAU983058:FAV983058 FKQ983058:FKR983058 FUM983058:FUN983058 GEI983058:GEJ983058 GOE983058:GOF983058 GYA983058:GYB983058 HHW983058:HHX983058 HRS983058:HRT983058 IBO983058:IBP983058 ILK983058:ILL983058 IVG983058:IVH983058 JFC983058:JFD983058 JOY983058:JOZ983058 JYU983058:JYV983058 KIQ983058:KIR983058 KSM983058:KSN983058 LCI983058:LCJ983058 LME983058:LMF983058 LWA983058:LWB983058 MFW983058:MFX983058 MPS983058:MPT983058 MZO983058:MZP983058 NJK983058:NJL983058 NTG983058:NTH983058 ODC983058:ODD983058 OMY983058:OMZ983058 OWU983058:OWV983058 PGQ983058:PGR983058 PQM983058:PQN983058 QAI983058:QAJ983058 QKE983058:QKF983058 QUA983058:QUB983058 RDW983058:RDX983058 RNS983058:RNT983058 RXO983058:RXP983058 SHK983058:SHL983058 SRG983058:SRH983058 TBC983058:TBD983058 TKY983058:TKZ983058 TUU983058:TUV983058 UEQ983058:UER983058 UOM983058:UON983058 UYI983058:UYJ983058 VIE983058:VIF983058 VSA983058:VSB983058 WBW983058:WBX983058 WLS983058:WLT983058 WVO983058:WVP983058" xr:uid="{9608DECD-F4A9-4370-BC00-A469FE3D51EB}">
      <formula1>OFFSET(INDICES,0,0,,1)</formula1>
    </dataValidation>
  </dataValidations>
  <pageMargins left="0.511811024" right="0.511811024" top="0.78740157499999996" bottom="0.78740157499999996" header="0.31496062000000002" footer="0.31496062000000002"/>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Planilha22">
    <tabColor theme="7" tint="0.39997558519241921"/>
    <pageSetUpPr fitToPage="1"/>
  </sheetPr>
  <dimension ref="A1:F55"/>
  <sheetViews>
    <sheetView view="pageBreakPreview" zoomScale="60" zoomScaleNormal="70" workbookViewId="0">
      <selection activeCell="H7" sqref="H7"/>
    </sheetView>
  </sheetViews>
  <sheetFormatPr defaultColWidth="9.140625" defaultRowHeight="20.25"/>
  <cols>
    <col min="1" max="1" width="13.42578125" style="47" customWidth="1"/>
    <col min="2" max="2" width="77.5703125" style="47" customWidth="1"/>
    <col min="3" max="6" width="20.7109375" style="47" customWidth="1"/>
    <col min="7" max="16384" width="9.140625" style="47"/>
  </cols>
  <sheetData>
    <row r="1" spans="1:6" s="45" customFormat="1" ht="19.5" customHeight="1">
      <c r="A1" s="2122"/>
      <c r="B1" s="2123"/>
      <c r="C1" s="2123"/>
      <c r="D1" s="2123"/>
      <c r="E1" s="2123"/>
      <c r="F1" s="2124"/>
    </row>
    <row r="2" spans="1:6" s="45" customFormat="1" ht="74.25" customHeight="1">
      <c r="A2" s="75"/>
      <c r="B2" s="76"/>
      <c r="C2" s="76"/>
      <c r="D2" s="76"/>
      <c r="E2" s="76"/>
      <c r="F2" s="77"/>
    </row>
    <row r="3" spans="1:6" s="46" customFormat="1" ht="20.100000000000001" customHeight="1">
      <c r="A3" s="2125" t="s">
        <v>17</v>
      </c>
      <c r="B3" s="2126"/>
      <c r="C3" s="2126"/>
      <c r="D3" s="2126"/>
      <c r="E3" s="2126"/>
      <c r="F3" s="2127"/>
    </row>
    <row r="4" spans="1:6" s="46" customFormat="1" ht="20.100000000000001" customHeight="1">
      <c r="A4" s="2128" t="s">
        <v>185</v>
      </c>
      <c r="B4" s="2129"/>
      <c r="C4" s="2129"/>
      <c r="D4" s="2129"/>
      <c r="E4" s="2129"/>
      <c r="F4" s="2130"/>
    </row>
    <row r="5" spans="1:6" s="46" customFormat="1" ht="19.5" customHeight="1">
      <c r="A5" s="2128" t="s">
        <v>16</v>
      </c>
      <c r="B5" s="2129"/>
      <c r="C5" s="2129"/>
      <c r="D5" s="2129"/>
      <c r="E5" s="2129"/>
      <c r="F5" s="2130"/>
    </row>
    <row r="6" spans="1:6" s="46" customFormat="1" ht="20.100000000000001" customHeight="1">
      <c r="A6" s="2137"/>
      <c r="B6" s="2138"/>
      <c r="C6" s="2138"/>
      <c r="D6" s="2138"/>
      <c r="E6" s="2138"/>
      <c r="F6" s="2139"/>
    </row>
    <row r="7" spans="1:6" ht="58.5" customHeight="1">
      <c r="A7" s="417" t="s">
        <v>654</v>
      </c>
      <c r="B7" s="2140" t="str">
        <f>ORÇAMENTO!D9</f>
        <v>SISTEMA DE SANEAMENTO INTEGRADO NO BAIRRO DO ICUÍ: ABASTECIMENTO DE ÁGUA, DRENAGEM URBANA E MANEJO DE ÁGUAS PLUVIAIS E PAVIMENTAÇÃO NO MUNICÍPIO DE ANANINDEUA/ PA</v>
      </c>
      <c r="C7" s="2141"/>
      <c r="D7" s="2141"/>
      <c r="E7" s="2141"/>
      <c r="F7" s="2142"/>
    </row>
    <row r="8" spans="1:6" s="46" customFormat="1" ht="20.100000000000001" customHeight="1" thickBot="1">
      <c r="A8" s="2131"/>
      <c r="B8" s="2132"/>
      <c r="C8" s="2132"/>
      <c r="D8" s="2132"/>
      <c r="E8" s="2132"/>
      <c r="F8" s="2133"/>
    </row>
    <row r="9" spans="1:6" ht="34.5" customHeight="1" thickTop="1" thickBot="1">
      <c r="A9" s="2134" t="s">
        <v>507</v>
      </c>
      <c r="B9" s="2135"/>
      <c r="C9" s="2135"/>
      <c r="D9" s="2135"/>
      <c r="E9" s="2135"/>
      <c r="F9" s="2136"/>
    </row>
    <row r="10" spans="1:6" ht="18.75" customHeight="1" thickTop="1">
      <c r="A10" s="2143"/>
      <c r="B10" s="2144"/>
      <c r="C10" s="2144"/>
      <c r="D10" s="2144"/>
      <c r="E10" s="2144"/>
      <c r="F10" s="2145"/>
    </row>
    <row r="11" spans="1:6" ht="30" customHeight="1">
      <c r="A11" s="2158" t="s">
        <v>508</v>
      </c>
      <c r="B11" s="2159"/>
      <c r="C11" s="2159"/>
      <c r="D11" s="2159"/>
      <c r="E11" s="2159"/>
      <c r="F11" s="2160"/>
    </row>
    <row r="12" spans="1:6">
      <c r="A12" s="2153" t="s">
        <v>64</v>
      </c>
      <c r="B12" s="2155" t="s">
        <v>65</v>
      </c>
      <c r="C12" s="2146" t="s">
        <v>247</v>
      </c>
      <c r="D12" s="2147"/>
      <c r="E12" s="2146" t="s">
        <v>248</v>
      </c>
      <c r="F12" s="2148"/>
    </row>
    <row r="13" spans="1:6" s="45" customFormat="1">
      <c r="A13" s="2153"/>
      <c r="B13" s="2156"/>
      <c r="C13" s="389" t="s">
        <v>66</v>
      </c>
      <c r="D13" s="389" t="s">
        <v>67</v>
      </c>
      <c r="E13" s="389" t="s">
        <v>66</v>
      </c>
      <c r="F13" s="418" t="s">
        <v>67</v>
      </c>
    </row>
    <row r="14" spans="1:6" s="45" customFormat="1">
      <c r="A14" s="2154"/>
      <c r="B14" s="2157"/>
      <c r="C14" s="390" t="s">
        <v>208</v>
      </c>
      <c r="D14" s="390" t="s">
        <v>208</v>
      </c>
      <c r="E14" s="390" t="s">
        <v>208</v>
      </c>
      <c r="F14" s="419" t="s">
        <v>208</v>
      </c>
    </row>
    <row r="15" spans="1:6" s="45" customFormat="1" ht="24.75" customHeight="1">
      <c r="A15" s="2149" t="s">
        <v>68</v>
      </c>
      <c r="B15" s="2150"/>
      <c r="C15" s="2151"/>
      <c r="D15" s="2152"/>
      <c r="F15" s="48"/>
    </row>
    <row r="16" spans="1:6" s="45" customFormat="1" ht="24.95" customHeight="1">
      <c r="A16" s="49" t="s">
        <v>69</v>
      </c>
      <c r="B16" s="50" t="s">
        <v>70</v>
      </c>
      <c r="C16" s="51">
        <v>0</v>
      </c>
      <c r="D16" s="51">
        <v>0</v>
      </c>
      <c r="E16" s="51">
        <v>20</v>
      </c>
      <c r="F16" s="52">
        <v>20</v>
      </c>
    </row>
    <row r="17" spans="1:6" s="45" customFormat="1" ht="24.95" customHeight="1">
      <c r="A17" s="49" t="s">
        <v>71</v>
      </c>
      <c r="B17" s="50" t="s">
        <v>72</v>
      </c>
      <c r="C17" s="51">
        <v>1.5</v>
      </c>
      <c r="D17" s="51">
        <v>1.5</v>
      </c>
      <c r="E17" s="51">
        <v>1.5</v>
      </c>
      <c r="F17" s="52">
        <v>1.5</v>
      </c>
    </row>
    <row r="18" spans="1:6" s="45" customFormat="1" ht="24.95" customHeight="1">
      <c r="A18" s="49" t="s">
        <v>73</v>
      </c>
      <c r="B18" s="50" t="s">
        <v>74</v>
      </c>
      <c r="C18" s="51">
        <v>1</v>
      </c>
      <c r="D18" s="51">
        <v>1</v>
      </c>
      <c r="E18" s="51">
        <v>1</v>
      </c>
      <c r="F18" s="52">
        <v>1</v>
      </c>
    </row>
    <row r="19" spans="1:6" s="45" customFormat="1" ht="24.95" customHeight="1">
      <c r="A19" s="49" t="s">
        <v>75</v>
      </c>
      <c r="B19" s="50" t="s">
        <v>76</v>
      </c>
      <c r="C19" s="51">
        <v>0.2</v>
      </c>
      <c r="D19" s="51">
        <v>0.2</v>
      </c>
      <c r="E19" s="51">
        <v>0.2</v>
      </c>
      <c r="F19" s="52">
        <v>0.2</v>
      </c>
    </row>
    <row r="20" spans="1:6" s="45" customFormat="1" ht="24.95" customHeight="1">
      <c r="A20" s="49" t="s">
        <v>77</v>
      </c>
      <c r="B20" s="50" t="s">
        <v>78</v>
      </c>
      <c r="C20" s="51">
        <v>0.6</v>
      </c>
      <c r="D20" s="51">
        <v>0.6</v>
      </c>
      <c r="E20" s="51">
        <v>0.6</v>
      </c>
      <c r="F20" s="52">
        <v>0.6</v>
      </c>
    </row>
    <row r="21" spans="1:6" s="45" customFormat="1" ht="24.95" customHeight="1">
      <c r="A21" s="49" t="s">
        <v>79</v>
      </c>
      <c r="B21" s="50" t="s">
        <v>80</v>
      </c>
      <c r="C21" s="51">
        <v>2.5</v>
      </c>
      <c r="D21" s="51">
        <v>2.5</v>
      </c>
      <c r="E21" s="51">
        <v>2.5</v>
      </c>
      <c r="F21" s="52">
        <v>2.5</v>
      </c>
    </row>
    <row r="22" spans="1:6" s="45" customFormat="1" ht="24.95" customHeight="1">
      <c r="A22" s="49" t="s">
        <v>81</v>
      </c>
      <c r="B22" s="50" t="s">
        <v>82</v>
      </c>
      <c r="C22" s="51">
        <v>3</v>
      </c>
      <c r="D22" s="51">
        <v>3</v>
      </c>
      <c r="E22" s="51">
        <v>3</v>
      </c>
      <c r="F22" s="52">
        <v>3</v>
      </c>
    </row>
    <row r="23" spans="1:6" s="45" customFormat="1" ht="24.95" customHeight="1">
      <c r="A23" s="49" t="s">
        <v>83</v>
      </c>
      <c r="B23" s="50" t="s">
        <v>84</v>
      </c>
      <c r="C23" s="51">
        <v>8</v>
      </c>
      <c r="D23" s="51">
        <v>8</v>
      </c>
      <c r="E23" s="51">
        <v>8</v>
      </c>
      <c r="F23" s="52">
        <v>8</v>
      </c>
    </row>
    <row r="24" spans="1:6" s="45" customFormat="1" ht="24.95" customHeight="1">
      <c r="A24" s="49" t="s">
        <v>85</v>
      </c>
      <c r="B24" s="50" t="s">
        <v>86</v>
      </c>
      <c r="C24" s="51">
        <v>0</v>
      </c>
      <c r="D24" s="51">
        <v>0</v>
      </c>
      <c r="E24" s="51">
        <v>0</v>
      </c>
      <c r="F24" s="52">
        <v>0</v>
      </c>
    </row>
    <row r="25" spans="1:6" s="45" customFormat="1" ht="24.95" customHeight="1">
      <c r="A25" s="53" t="s">
        <v>49</v>
      </c>
      <c r="B25" s="54" t="s">
        <v>87</v>
      </c>
      <c r="C25" s="55">
        <f>SUM(C16:C24)</f>
        <v>16.8</v>
      </c>
      <c r="D25" s="55">
        <f>SUM(D16:D24)</f>
        <v>16.8</v>
      </c>
      <c r="E25" s="55">
        <f>SUM(E16:E24)</f>
        <v>36.799999999999997</v>
      </c>
      <c r="F25" s="56">
        <f>SUM(F16:F24)</f>
        <v>36.799999999999997</v>
      </c>
    </row>
    <row r="26" spans="1:6" s="45" customFormat="1" ht="24.75" customHeight="1">
      <c r="A26" s="2149" t="s">
        <v>88</v>
      </c>
      <c r="B26" s="2150"/>
      <c r="C26" s="2150"/>
      <c r="D26" s="2161"/>
      <c r="F26" s="48"/>
    </row>
    <row r="27" spans="1:6" s="45" customFormat="1" ht="24.95" customHeight="1">
      <c r="A27" s="49" t="s">
        <v>89</v>
      </c>
      <c r="B27" s="50" t="s">
        <v>90</v>
      </c>
      <c r="C27" s="57">
        <v>18.13</v>
      </c>
      <c r="D27" s="57">
        <v>0</v>
      </c>
      <c r="E27" s="57">
        <v>18.13</v>
      </c>
      <c r="F27" s="60">
        <v>0</v>
      </c>
    </row>
    <row r="28" spans="1:6" s="45" customFormat="1" ht="24.95" customHeight="1">
      <c r="A28" s="49" t="s">
        <v>91</v>
      </c>
      <c r="B28" s="50" t="s">
        <v>92</v>
      </c>
      <c r="C28" s="57">
        <v>4.16</v>
      </c>
      <c r="D28" s="57">
        <v>0</v>
      </c>
      <c r="E28" s="57">
        <v>4.16</v>
      </c>
      <c r="F28" s="60">
        <v>0</v>
      </c>
    </row>
    <row r="29" spans="1:6" s="45" customFormat="1" ht="24.95" customHeight="1">
      <c r="A29" s="49" t="s">
        <v>93</v>
      </c>
      <c r="B29" s="50" t="s">
        <v>94</v>
      </c>
      <c r="C29" s="57">
        <v>0.89</v>
      </c>
      <c r="D29" s="57">
        <v>0.66</v>
      </c>
      <c r="E29" s="57">
        <v>0.89</v>
      </c>
      <c r="F29" s="60">
        <v>0.66</v>
      </c>
    </row>
    <row r="30" spans="1:6" s="45" customFormat="1" ht="24.95" customHeight="1">
      <c r="A30" s="49" t="s">
        <v>95</v>
      </c>
      <c r="B30" s="50" t="s">
        <v>96</v>
      </c>
      <c r="C30" s="57">
        <v>11.23</v>
      </c>
      <c r="D30" s="57">
        <v>8.33</v>
      </c>
      <c r="E30" s="57">
        <v>11.23</v>
      </c>
      <c r="F30" s="60">
        <v>8.33</v>
      </c>
    </row>
    <row r="31" spans="1:6" s="45" customFormat="1" ht="24.95" customHeight="1">
      <c r="A31" s="49" t="s">
        <v>97</v>
      </c>
      <c r="B31" s="50" t="s">
        <v>98</v>
      </c>
      <c r="C31" s="57">
        <v>7.0000000000000007E-2</v>
      </c>
      <c r="D31" s="57">
        <v>0.05</v>
      </c>
      <c r="E31" s="57">
        <v>7.0000000000000007E-2</v>
      </c>
      <c r="F31" s="60">
        <v>0.05</v>
      </c>
    </row>
    <row r="32" spans="1:6" s="45" customFormat="1" ht="24.95" customHeight="1">
      <c r="A32" s="49" t="s">
        <v>99</v>
      </c>
      <c r="B32" s="50" t="s">
        <v>100</v>
      </c>
      <c r="C32" s="57">
        <v>0.75</v>
      </c>
      <c r="D32" s="57">
        <v>0.56000000000000005</v>
      </c>
      <c r="E32" s="57">
        <v>0.75</v>
      </c>
      <c r="F32" s="60">
        <v>0.56000000000000005</v>
      </c>
    </row>
    <row r="33" spans="1:6" s="45" customFormat="1" ht="24.95" customHeight="1">
      <c r="A33" s="49" t="s">
        <v>101</v>
      </c>
      <c r="B33" s="50" t="s">
        <v>102</v>
      </c>
      <c r="C33" s="57">
        <v>2.75</v>
      </c>
      <c r="D33" s="57">
        <v>0</v>
      </c>
      <c r="E33" s="57">
        <v>2.75</v>
      </c>
      <c r="F33" s="60">
        <v>0</v>
      </c>
    </row>
    <row r="34" spans="1:6" s="45" customFormat="1" ht="24.95" customHeight="1">
      <c r="A34" s="49" t="s">
        <v>103</v>
      </c>
      <c r="B34" s="50" t="s">
        <v>104</v>
      </c>
      <c r="C34" s="57">
        <v>0.11</v>
      </c>
      <c r="D34" s="57">
        <v>0.08</v>
      </c>
      <c r="E34" s="57">
        <v>0.11</v>
      </c>
      <c r="F34" s="60">
        <v>0.08</v>
      </c>
    </row>
    <row r="35" spans="1:6" s="45" customFormat="1" ht="24.95" customHeight="1">
      <c r="A35" s="49" t="s">
        <v>105</v>
      </c>
      <c r="B35" s="50" t="s">
        <v>106</v>
      </c>
      <c r="C35" s="57">
        <v>13.17</v>
      </c>
      <c r="D35" s="57">
        <v>9.77</v>
      </c>
      <c r="E35" s="57">
        <v>13.17</v>
      </c>
      <c r="F35" s="60">
        <v>9.77</v>
      </c>
    </row>
    <row r="36" spans="1:6" s="45" customFormat="1" ht="24.95" customHeight="1">
      <c r="A36" s="49" t="s">
        <v>107</v>
      </c>
      <c r="B36" s="50" t="s">
        <v>108</v>
      </c>
      <c r="C36" s="57">
        <v>0.04</v>
      </c>
      <c r="D36" s="57">
        <v>0.03</v>
      </c>
      <c r="E36" s="57">
        <v>0.04</v>
      </c>
      <c r="F36" s="60">
        <v>0.03</v>
      </c>
    </row>
    <row r="37" spans="1:6" s="45" customFormat="1" ht="24.95" customHeight="1">
      <c r="A37" s="53" t="s">
        <v>52</v>
      </c>
      <c r="B37" s="54" t="s">
        <v>109</v>
      </c>
      <c r="C37" s="58">
        <f>SUM(C27:C36)</f>
        <v>51.3</v>
      </c>
      <c r="D37" s="58">
        <f>SUM(D27:D36)</f>
        <v>19.48</v>
      </c>
      <c r="E37" s="58">
        <f>SUM(E27:E36)</f>
        <v>51.3</v>
      </c>
      <c r="F37" s="59">
        <f>SUM(F27:F36)</f>
        <v>19.48</v>
      </c>
    </row>
    <row r="38" spans="1:6" s="45" customFormat="1" ht="24.75" customHeight="1">
      <c r="A38" s="2149" t="s">
        <v>110</v>
      </c>
      <c r="B38" s="2150"/>
      <c r="C38" s="2150"/>
      <c r="D38" s="2161"/>
      <c r="F38" s="48"/>
    </row>
    <row r="39" spans="1:6" s="45" customFormat="1" ht="24.95" customHeight="1">
      <c r="A39" s="49" t="s">
        <v>111</v>
      </c>
      <c r="B39" s="50" t="s">
        <v>112</v>
      </c>
      <c r="C39" s="57">
        <v>5.82</v>
      </c>
      <c r="D39" s="57">
        <v>4.32</v>
      </c>
      <c r="E39" s="57">
        <v>5.82</v>
      </c>
      <c r="F39" s="60">
        <v>4.32</v>
      </c>
    </row>
    <row r="40" spans="1:6" s="45" customFormat="1" ht="24.95" customHeight="1">
      <c r="A40" s="49" t="s">
        <v>113</v>
      </c>
      <c r="B40" s="50" t="s">
        <v>114</v>
      </c>
      <c r="C40" s="57">
        <v>0.14000000000000001</v>
      </c>
      <c r="D40" s="57">
        <v>0.1</v>
      </c>
      <c r="E40" s="57">
        <v>0.14000000000000001</v>
      </c>
      <c r="F40" s="60">
        <v>0.1</v>
      </c>
    </row>
    <row r="41" spans="1:6" s="45" customFormat="1" ht="24.95" customHeight="1">
      <c r="A41" s="49" t="s">
        <v>115</v>
      </c>
      <c r="B41" s="50" t="s">
        <v>116</v>
      </c>
      <c r="C41" s="57">
        <v>1.82</v>
      </c>
      <c r="D41" s="57">
        <v>1.35</v>
      </c>
      <c r="E41" s="57">
        <v>1.82</v>
      </c>
      <c r="F41" s="60">
        <v>1.35</v>
      </c>
    </row>
    <row r="42" spans="1:6" s="45" customFormat="1" ht="24.95" customHeight="1">
      <c r="A42" s="49" t="s">
        <v>117</v>
      </c>
      <c r="B42" s="50" t="s">
        <v>118</v>
      </c>
      <c r="C42" s="57">
        <v>2.89</v>
      </c>
      <c r="D42" s="57">
        <v>2.14</v>
      </c>
      <c r="E42" s="57">
        <v>2.89</v>
      </c>
      <c r="F42" s="60">
        <v>2.14</v>
      </c>
    </row>
    <row r="43" spans="1:6" s="45" customFormat="1" ht="24.95" customHeight="1">
      <c r="A43" s="49" t="s">
        <v>119</v>
      </c>
      <c r="B43" s="50" t="s">
        <v>120</v>
      </c>
      <c r="C43" s="57">
        <v>0.49</v>
      </c>
      <c r="D43" s="57">
        <v>0.36</v>
      </c>
      <c r="E43" s="57">
        <v>0.49</v>
      </c>
      <c r="F43" s="60">
        <v>0.36</v>
      </c>
    </row>
    <row r="44" spans="1:6" s="45" customFormat="1" ht="24.95" customHeight="1">
      <c r="A44" s="53" t="s">
        <v>14</v>
      </c>
      <c r="B44" s="54" t="s">
        <v>121</v>
      </c>
      <c r="C44" s="58">
        <f>SUM(C39:C43)</f>
        <v>11.16</v>
      </c>
      <c r="D44" s="58">
        <f>SUM(D39:D43)</f>
        <v>8.27</v>
      </c>
      <c r="E44" s="58">
        <f>SUM(E39:E43)</f>
        <v>11.16</v>
      </c>
      <c r="F44" s="59">
        <f>SUM(F39:F43)</f>
        <v>8.27</v>
      </c>
    </row>
    <row r="45" spans="1:6" s="45" customFormat="1" ht="24.75" customHeight="1">
      <c r="A45" s="2149" t="s">
        <v>122</v>
      </c>
      <c r="B45" s="2150"/>
      <c r="C45" s="2150"/>
      <c r="D45" s="2161"/>
      <c r="F45" s="48"/>
    </row>
    <row r="46" spans="1:6" s="45" customFormat="1" ht="24.95" customHeight="1">
      <c r="A46" s="49" t="s">
        <v>123</v>
      </c>
      <c r="B46" s="50" t="s">
        <v>124</v>
      </c>
      <c r="C46" s="57">
        <v>8.6199999999999992</v>
      </c>
      <c r="D46" s="57">
        <v>3.27</v>
      </c>
      <c r="E46" s="57">
        <v>18.88</v>
      </c>
      <c r="F46" s="60">
        <v>7.17</v>
      </c>
    </row>
    <row r="47" spans="1:6" s="45" customFormat="1" ht="40.5">
      <c r="A47" s="49" t="s">
        <v>125</v>
      </c>
      <c r="B47" s="74" t="s">
        <v>509</v>
      </c>
      <c r="C47" s="61">
        <v>0.49</v>
      </c>
      <c r="D47" s="61">
        <v>0.36</v>
      </c>
      <c r="E47" s="61">
        <v>0.52</v>
      </c>
      <c r="F47" s="62">
        <v>0.38</v>
      </c>
    </row>
    <row r="48" spans="1:6" s="45" customFormat="1" ht="24.95" customHeight="1" thickBot="1">
      <c r="A48" s="63" t="s">
        <v>7</v>
      </c>
      <c r="B48" s="64" t="s">
        <v>126</v>
      </c>
      <c r="C48" s="65">
        <f>SUM(C46:C47)</f>
        <v>9.11</v>
      </c>
      <c r="D48" s="65">
        <f>SUM(D46:D47)</f>
        <v>3.63</v>
      </c>
      <c r="E48" s="65">
        <f>SUM(E46:E47)</f>
        <v>19.399999999999999</v>
      </c>
      <c r="F48" s="66">
        <f>SUM(F46:F47)</f>
        <v>7.55</v>
      </c>
    </row>
    <row r="49" spans="1:6" s="45" customFormat="1" ht="24.75" hidden="1" customHeight="1">
      <c r="A49" s="2162" t="s">
        <v>127</v>
      </c>
      <c r="B49" s="2151"/>
      <c r="C49" s="2151"/>
      <c r="D49" s="2152"/>
      <c r="F49" s="48"/>
    </row>
    <row r="50" spans="1:6" s="45" customFormat="1" hidden="1">
      <c r="A50" s="49" t="s">
        <v>128</v>
      </c>
      <c r="B50" s="50"/>
      <c r="C50" s="50"/>
      <c r="D50" s="50"/>
      <c r="E50" s="50"/>
      <c r="F50" s="67"/>
    </row>
    <row r="51" spans="1:6" s="45" customFormat="1" ht="18.75" hidden="1" customHeight="1">
      <c r="A51" s="68" t="s">
        <v>59</v>
      </c>
      <c r="B51" s="69" t="s">
        <v>129</v>
      </c>
      <c r="C51" s="70">
        <v>0</v>
      </c>
      <c r="D51" s="70">
        <v>0</v>
      </c>
      <c r="E51" s="70">
        <v>0</v>
      </c>
      <c r="F51" s="71">
        <v>0</v>
      </c>
    </row>
    <row r="52" spans="1:6" s="45" customFormat="1" ht="35.1" customHeight="1" thickBot="1">
      <c r="A52" s="2163" t="s">
        <v>249</v>
      </c>
      <c r="B52" s="2164"/>
      <c r="C52" s="72">
        <f>(C25+C37+C44+C48)</f>
        <v>88.37</v>
      </c>
      <c r="D52" s="72">
        <f>D25+D37+D44+D48</f>
        <v>48.18</v>
      </c>
      <c r="E52" s="72">
        <f>(E25+E37+E44+E48)</f>
        <v>118.66</v>
      </c>
      <c r="F52" s="73">
        <f>F25+F37+F44+F48</f>
        <v>72.099999999999994</v>
      </c>
    </row>
    <row r="53" spans="1:6" s="45" customFormat="1" ht="18.75" customHeight="1">
      <c r="A53" s="2165" t="s">
        <v>653</v>
      </c>
      <c r="B53" s="2165"/>
      <c r="C53" s="2165"/>
      <c r="D53" s="2165"/>
    </row>
    <row r="54" spans="1:6" s="45" customFormat="1"/>
    <row r="55" spans="1:6" s="45" customFormat="1" ht="21" customHeight="1">
      <c r="A55" s="45" t="s">
        <v>130</v>
      </c>
    </row>
  </sheetData>
  <mergeCells count="21">
    <mergeCell ref="A38:D38"/>
    <mergeCell ref="A45:D45"/>
    <mergeCell ref="A49:D49"/>
    <mergeCell ref="A52:B52"/>
    <mergeCell ref="A53:D53"/>
    <mergeCell ref="A15:D15"/>
    <mergeCell ref="A12:A14"/>
    <mergeCell ref="B12:B14"/>
    <mergeCell ref="A11:F11"/>
    <mergeCell ref="A26:D26"/>
    <mergeCell ref="A9:F9"/>
    <mergeCell ref="A6:F6"/>
    <mergeCell ref="B7:F7"/>
    <mergeCell ref="A10:F10"/>
    <mergeCell ref="C12:D12"/>
    <mergeCell ref="E12:F12"/>
    <mergeCell ref="A1:F1"/>
    <mergeCell ref="A3:F3"/>
    <mergeCell ref="A4:F4"/>
    <mergeCell ref="A5:F5"/>
    <mergeCell ref="A8:F8"/>
  </mergeCells>
  <printOptions horizontalCentered="1"/>
  <pageMargins left="0.51181102362204722" right="0.51181102362204722" top="0.78740157480314965" bottom="0.78740157480314965" header="0.31496062992125984" footer="0.31496062992125984"/>
  <pageSetup paperSize="9" scale="54"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84"/>
  <sheetViews>
    <sheetView view="pageBreakPreview" zoomScale="55" zoomScaleNormal="36" zoomScaleSheetLayoutView="55" workbookViewId="0">
      <selection sqref="A1:H174"/>
    </sheetView>
  </sheetViews>
  <sheetFormatPr defaultColWidth="9.140625" defaultRowHeight="25.5"/>
  <cols>
    <col min="1" max="1" width="30.28515625" style="259" customWidth="1"/>
    <col min="2" max="2" width="131.140625" style="259" customWidth="1"/>
    <col min="3" max="3" width="33" style="259" customWidth="1"/>
    <col min="4" max="4" width="30.28515625" style="259" customWidth="1"/>
    <col min="5" max="5" width="45" style="259" bestFit="1" customWidth="1"/>
    <col min="6" max="6" width="47.7109375" style="259" bestFit="1" customWidth="1"/>
    <col min="7" max="7" width="48.42578125" style="259" bestFit="1" customWidth="1"/>
    <col min="8" max="8" width="41" style="259" customWidth="1"/>
    <col min="9" max="9" width="140.85546875" style="259" bestFit="1" customWidth="1"/>
    <col min="10" max="10" width="140.85546875" style="259" customWidth="1"/>
    <col min="11" max="11" width="140.85546875" style="259" bestFit="1" customWidth="1"/>
    <col min="12" max="12" width="9.42578125" style="259" bestFit="1" customWidth="1"/>
    <col min="13" max="13" width="10.7109375" style="259" hidden="1" customWidth="1"/>
    <col min="14" max="14" width="14.85546875" style="259" bestFit="1" customWidth="1"/>
    <col min="15" max="15" width="28" style="259" customWidth="1"/>
    <col min="16" max="16" width="38.28515625" style="259" customWidth="1"/>
    <col min="17" max="17" width="9.140625" style="259"/>
    <col min="18" max="18" width="30.5703125" style="259" bestFit="1" customWidth="1"/>
    <col min="19" max="19" width="9.140625" style="259"/>
    <col min="20" max="20" width="16.7109375" style="259" bestFit="1" customWidth="1"/>
    <col min="21" max="251" width="9.140625" style="259"/>
    <col min="252" max="253" width="4.42578125" style="259" customWidth="1"/>
    <col min="254" max="254" width="27.28515625" style="259" customWidth="1"/>
    <col min="255" max="256" width="0" style="259" hidden="1" customWidth="1"/>
    <col min="257" max="257" width="95.28515625" style="259" customWidth="1"/>
    <col min="258" max="258" width="33" style="259" customWidth="1"/>
    <col min="259" max="259" width="32.42578125" style="259" customWidth="1"/>
    <col min="260" max="260" width="45" style="259" bestFit="1" customWidth="1"/>
    <col min="261" max="261" width="0" style="259" hidden="1" customWidth="1"/>
    <col min="262" max="262" width="47.7109375" style="259" bestFit="1" customWidth="1"/>
    <col min="263" max="263" width="48.42578125" style="259" bestFit="1" customWidth="1"/>
    <col min="264" max="264" width="41" style="259" customWidth="1"/>
    <col min="265" max="265" width="140.85546875" style="259" bestFit="1" customWidth="1"/>
    <col min="266" max="266" width="140.85546875" style="259" customWidth="1"/>
    <col min="267" max="267" width="140.85546875" style="259" bestFit="1" customWidth="1"/>
    <col min="268" max="268" width="9.42578125" style="259" bestFit="1" customWidth="1"/>
    <col min="269" max="269" width="0" style="259" hidden="1" customWidth="1"/>
    <col min="270" max="270" width="14.85546875" style="259" bestFit="1" customWidth="1"/>
    <col min="271" max="271" width="28" style="259" customWidth="1"/>
    <col min="272" max="272" width="38.28515625" style="259" customWidth="1"/>
    <col min="273" max="273" width="9.140625" style="259"/>
    <col min="274" max="274" width="30.5703125" style="259" bestFit="1" customWidth="1"/>
    <col min="275" max="275" width="9.140625" style="259"/>
    <col min="276" max="276" width="16.7109375" style="259" bestFit="1" customWidth="1"/>
    <col min="277" max="507" width="9.140625" style="259"/>
    <col min="508" max="509" width="4.42578125" style="259" customWidth="1"/>
    <col min="510" max="510" width="27.28515625" style="259" customWidth="1"/>
    <col min="511" max="512" width="0" style="259" hidden="1" customWidth="1"/>
    <col min="513" max="513" width="95.28515625" style="259" customWidth="1"/>
    <col min="514" max="514" width="33" style="259" customWidth="1"/>
    <col min="515" max="515" width="32.42578125" style="259" customWidth="1"/>
    <col min="516" max="516" width="45" style="259" bestFit="1" customWidth="1"/>
    <col min="517" max="517" width="0" style="259" hidden="1" customWidth="1"/>
    <col min="518" max="518" width="47.7109375" style="259" bestFit="1" customWidth="1"/>
    <col min="519" max="519" width="48.42578125" style="259" bestFit="1" customWidth="1"/>
    <col min="520" max="520" width="41" style="259" customWidth="1"/>
    <col min="521" max="521" width="140.85546875" style="259" bestFit="1" customWidth="1"/>
    <col min="522" max="522" width="140.85546875" style="259" customWidth="1"/>
    <col min="523" max="523" width="140.85546875" style="259" bestFit="1" customWidth="1"/>
    <col min="524" max="524" width="9.42578125" style="259" bestFit="1" customWidth="1"/>
    <col min="525" max="525" width="0" style="259" hidden="1" customWidth="1"/>
    <col min="526" max="526" width="14.85546875" style="259" bestFit="1" customWidth="1"/>
    <col min="527" max="527" width="28" style="259" customWidth="1"/>
    <col min="528" max="528" width="38.28515625" style="259" customWidth="1"/>
    <col min="529" max="529" width="9.140625" style="259"/>
    <col min="530" max="530" width="30.5703125" style="259" bestFit="1" customWidth="1"/>
    <col min="531" max="531" width="9.140625" style="259"/>
    <col min="532" max="532" width="16.7109375" style="259" bestFit="1" customWidth="1"/>
    <col min="533" max="763" width="9.140625" style="259"/>
    <col min="764" max="765" width="4.42578125" style="259" customWidth="1"/>
    <col min="766" max="766" width="27.28515625" style="259" customWidth="1"/>
    <col min="767" max="768" width="0" style="259" hidden="1" customWidth="1"/>
    <col min="769" max="769" width="95.28515625" style="259" customWidth="1"/>
    <col min="770" max="770" width="33" style="259" customWidth="1"/>
    <col min="771" max="771" width="32.42578125" style="259" customWidth="1"/>
    <col min="772" max="772" width="45" style="259" bestFit="1" customWidth="1"/>
    <col min="773" max="773" width="0" style="259" hidden="1" customWidth="1"/>
    <col min="774" max="774" width="47.7109375" style="259" bestFit="1" customWidth="1"/>
    <col min="775" max="775" width="48.42578125" style="259" bestFit="1" customWidth="1"/>
    <col min="776" max="776" width="41" style="259" customWidth="1"/>
    <col min="777" max="777" width="140.85546875" style="259" bestFit="1" customWidth="1"/>
    <col min="778" max="778" width="140.85546875" style="259" customWidth="1"/>
    <col min="779" max="779" width="140.85546875" style="259" bestFit="1" customWidth="1"/>
    <col min="780" max="780" width="9.42578125" style="259" bestFit="1" customWidth="1"/>
    <col min="781" max="781" width="0" style="259" hidden="1" customWidth="1"/>
    <col min="782" max="782" width="14.85546875" style="259" bestFit="1" customWidth="1"/>
    <col min="783" max="783" width="28" style="259" customWidth="1"/>
    <col min="784" max="784" width="38.28515625" style="259" customWidth="1"/>
    <col min="785" max="785" width="9.140625" style="259"/>
    <col min="786" max="786" width="30.5703125" style="259" bestFit="1" customWidth="1"/>
    <col min="787" max="787" width="9.140625" style="259"/>
    <col min="788" max="788" width="16.7109375" style="259" bestFit="1" customWidth="1"/>
    <col min="789" max="1019" width="9.140625" style="259"/>
    <col min="1020" max="1021" width="4.42578125" style="259" customWidth="1"/>
    <col min="1022" max="1022" width="27.28515625" style="259" customWidth="1"/>
    <col min="1023" max="1024" width="0" style="259" hidden="1" customWidth="1"/>
    <col min="1025" max="1025" width="95.28515625" style="259" customWidth="1"/>
    <col min="1026" max="1026" width="33" style="259" customWidth="1"/>
    <col min="1027" max="1027" width="32.42578125" style="259" customWidth="1"/>
    <col min="1028" max="1028" width="45" style="259" bestFit="1" customWidth="1"/>
    <col min="1029" max="1029" width="0" style="259" hidden="1" customWidth="1"/>
    <col min="1030" max="1030" width="47.7109375" style="259" bestFit="1" customWidth="1"/>
    <col min="1031" max="1031" width="48.42578125" style="259" bestFit="1" customWidth="1"/>
    <col min="1032" max="1032" width="41" style="259" customWidth="1"/>
    <col min="1033" max="1033" width="140.85546875" style="259" bestFit="1" customWidth="1"/>
    <col min="1034" max="1034" width="140.85546875" style="259" customWidth="1"/>
    <col min="1035" max="1035" width="140.85546875" style="259" bestFit="1" customWidth="1"/>
    <col min="1036" max="1036" width="9.42578125" style="259" bestFit="1" customWidth="1"/>
    <col min="1037" max="1037" width="0" style="259" hidden="1" customWidth="1"/>
    <col min="1038" max="1038" width="14.85546875" style="259" bestFit="1" customWidth="1"/>
    <col min="1039" max="1039" width="28" style="259" customWidth="1"/>
    <col min="1040" max="1040" width="38.28515625" style="259" customWidth="1"/>
    <col min="1041" max="1041" width="9.140625" style="259"/>
    <col min="1042" max="1042" width="30.5703125" style="259" bestFit="1" customWidth="1"/>
    <col min="1043" max="1043" width="9.140625" style="259"/>
    <col min="1044" max="1044" width="16.7109375" style="259" bestFit="1" customWidth="1"/>
    <col min="1045" max="1275" width="9.140625" style="259"/>
    <col min="1276" max="1277" width="4.42578125" style="259" customWidth="1"/>
    <col min="1278" max="1278" width="27.28515625" style="259" customWidth="1"/>
    <col min="1279" max="1280" width="0" style="259" hidden="1" customWidth="1"/>
    <col min="1281" max="1281" width="95.28515625" style="259" customWidth="1"/>
    <col min="1282" max="1282" width="33" style="259" customWidth="1"/>
    <col min="1283" max="1283" width="32.42578125" style="259" customWidth="1"/>
    <col min="1284" max="1284" width="45" style="259" bestFit="1" customWidth="1"/>
    <col min="1285" max="1285" width="0" style="259" hidden="1" customWidth="1"/>
    <col min="1286" max="1286" width="47.7109375" style="259" bestFit="1" customWidth="1"/>
    <col min="1287" max="1287" width="48.42578125" style="259" bestFit="1" customWidth="1"/>
    <col min="1288" max="1288" width="41" style="259" customWidth="1"/>
    <col min="1289" max="1289" width="140.85546875" style="259" bestFit="1" customWidth="1"/>
    <col min="1290" max="1290" width="140.85546875" style="259" customWidth="1"/>
    <col min="1291" max="1291" width="140.85546875" style="259" bestFit="1" customWidth="1"/>
    <col min="1292" max="1292" width="9.42578125" style="259" bestFit="1" customWidth="1"/>
    <col min="1293" max="1293" width="0" style="259" hidden="1" customWidth="1"/>
    <col min="1294" max="1294" width="14.85546875" style="259" bestFit="1" customWidth="1"/>
    <col min="1295" max="1295" width="28" style="259" customWidth="1"/>
    <col min="1296" max="1296" width="38.28515625" style="259" customWidth="1"/>
    <col min="1297" max="1297" width="9.140625" style="259"/>
    <col min="1298" max="1298" width="30.5703125" style="259" bestFit="1" customWidth="1"/>
    <col min="1299" max="1299" width="9.140625" style="259"/>
    <col min="1300" max="1300" width="16.7109375" style="259" bestFit="1" customWidth="1"/>
    <col min="1301" max="1531" width="9.140625" style="259"/>
    <col min="1532" max="1533" width="4.42578125" style="259" customWidth="1"/>
    <col min="1534" max="1534" width="27.28515625" style="259" customWidth="1"/>
    <col min="1535" max="1536" width="0" style="259" hidden="1" customWidth="1"/>
    <col min="1537" max="1537" width="95.28515625" style="259" customWidth="1"/>
    <col min="1538" max="1538" width="33" style="259" customWidth="1"/>
    <col min="1539" max="1539" width="32.42578125" style="259" customWidth="1"/>
    <col min="1540" max="1540" width="45" style="259" bestFit="1" customWidth="1"/>
    <col min="1541" max="1541" width="0" style="259" hidden="1" customWidth="1"/>
    <col min="1542" max="1542" width="47.7109375" style="259" bestFit="1" customWidth="1"/>
    <col min="1543" max="1543" width="48.42578125" style="259" bestFit="1" customWidth="1"/>
    <col min="1544" max="1544" width="41" style="259" customWidth="1"/>
    <col min="1545" max="1545" width="140.85546875" style="259" bestFit="1" customWidth="1"/>
    <col min="1546" max="1546" width="140.85546875" style="259" customWidth="1"/>
    <col min="1547" max="1547" width="140.85546875" style="259" bestFit="1" customWidth="1"/>
    <col min="1548" max="1548" width="9.42578125" style="259" bestFit="1" customWidth="1"/>
    <col min="1549" max="1549" width="0" style="259" hidden="1" customWidth="1"/>
    <col min="1550" max="1550" width="14.85546875" style="259" bestFit="1" customWidth="1"/>
    <col min="1551" max="1551" width="28" style="259" customWidth="1"/>
    <col min="1552" max="1552" width="38.28515625" style="259" customWidth="1"/>
    <col min="1553" max="1553" width="9.140625" style="259"/>
    <col min="1554" max="1554" width="30.5703125" style="259" bestFit="1" customWidth="1"/>
    <col min="1555" max="1555" width="9.140625" style="259"/>
    <col min="1556" max="1556" width="16.7109375" style="259" bestFit="1" customWidth="1"/>
    <col min="1557" max="1787" width="9.140625" style="259"/>
    <col min="1788" max="1789" width="4.42578125" style="259" customWidth="1"/>
    <col min="1790" max="1790" width="27.28515625" style="259" customWidth="1"/>
    <col min="1791" max="1792" width="0" style="259" hidden="1" customWidth="1"/>
    <col min="1793" max="1793" width="95.28515625" style="259" customWidth="1"/>
    <col min="1794" max="1794" width="33" style="259" customWidth="1"/>
    <col min="1795" max="1795" width="32.42578125" style="259" customWidth="1"/>
    <col min="1796" max="1796" width="45" style="259" bestFit="1" customWidth="1"/>
    <col min="1797" max="1797" width="0" style="259" hidden="1" customWidth="1"/>
    <col min="1798" max="1798" width="47.7109375" style="259" bestFit="1" customWidth="1"/>
    <col min="1799" max="1799" width="48.42578125" style="259" bestFit="1" customWidth="1"/>
    <col min="1800" max="1800" width="41" style="259" customWidth="1"/>
    <col min="1801" max="1801" width="140.85546875" style="259" bestFit="1" customWidth="1"/>
    <col min="1802" max="1802" width="140.85546875" style="259" customWidth="1"/>
    <col min="1803" max="1803" width="140.85546875" style="259" bestFit="1" customWidth="1"/>
    <col min="1804" max="1804" width="9.42578125" style="259" bestFit="1" customWidth="1"/>
    <col min="1805" max="1805" width="0" style="259" hidden="1" customWidth="1"/>
    <col min="1806" max="1806" width="14.85546875" style="259" bestFit="1" customWidth="1"/>
    <col min="1807" max="1807" width="28" style="259" customWidth="1"/>
    <col min="1808" max="1808" width="38.28515625" style="259" customWidth="1"/>
    <col min="1809" max="1809" width="9.140625" style="259"/>
    <col min="1810" max="1810" width="30.5703125" style="259" bestFit="1" customWidth="1"/>
    <col min="1811" max="1811" width="9.140625" style="259"/>
    <col min="1812" max="1812" width="16.7109375" style="259" bestFit="1" customWidth="1"/>
    <col min="1813" max="2043" width="9.140625" style="259"/>
    <col min="2044" max="2045" width="4.42578125" style="259" customWidth="1"/>
    <col min="2046" max="2046" width="27.28515625" style="259" customWidth="1"/>
    <col min="2047" max="2048" width="0" style="259" hidden="1" customWidth="1"/>
    <col min="2049" max="2049" width="95.28515625" style="259" customWidth="1"/>
    <col min="2050" max="2050" width="33" style="259" customWidth="1"/>
    <col min="2051" max="2051" width="32.42578125" style="259" customWidth="1"/>
    <col min="2052" max="2052" width="45" style="259" bestFit="1" customWidth="1"/>
    <col min="2053" max="2053" width="0" style="259" hidden="1" customWidth="1"/>
    <col min="2054" max="2054" width="47.7109375" style="259" bestFit="1" customWidth="1"/>
    <col min="2055" max="2055" width="48.42578125" style="259" bestFit="1" customWidth="1"/>
    <col min="2056" max="2056" width="41" style="259" customWidth="1"/>
    <col min="2057" max="2057" width="140.85546875" style="259" bestFit="1" customWidth="1"/>
    <col min="2058" max="2058" width="140.85546875" style="259" customWidth="1"/>
    <col min="2059" max="2059" width="140.85546875" style="259" bestFit="1" customWidth="1"/>
    <col min="2060" max="2060" width="9.42578125" style="259" bestFit="1" customWidth="1"/>
    <col min="2061" max="2061" width="0" style="259" hidden="1" customWidth="1"/>
    <col min="2062" max="2062" width="14.85546875" style="259" bestFit="1" customWidth="1"/>
    <col min="2063" max="2063" width="28" style="259" customWidth="1"/>
    <col min="2064" max="2064" width="38.28515625" style="259" customWidth="1"/>
    <col min="2065" max="2065" width="9.140625" style="259"/>
    <col min="2066" max="2066" width="30.5703125" style="259" bestFit="1" customWidth="1"/>
    <col min="2067" max="2067" width="9.140625" style="259"/>
    <col min="2068" max="2068" width="16.7109375" style="259" bestFit="1" customWidth="1"/>
    <col min="2069" max="2299" width="9.140625" style="259"/>
    <col min="2300" max="2301" width="4.42578125" style="259" customWidth="1"/>
    <col min="2302" max="2302" width="27.28515625" style="259" customWidth="1"/>
    <col min="2303" max="2304" width="0" style="259" hidden="1" customWidth="1"/>
    <col min="2305" max="2305" width="95.28515625" style="259" customWidth="1"/>
    <col min="2306" max="2306" width="33" style="259" customWidth="1"/>
    <col min="2307" max="2307" width="32.42578125" style="259" customWidth="1"/>
    <col min="2308" max="2308" width="45" style="259" bestFit="1" customWidth="1"/>
    <col min="2309" max="2309" width="0" style="259" hidden="1" customWidth="1"/>
    <col min="2310" max="2310" width="47.7109375" style="259" bestFit="1" customWidth="1"/>
    <col min="2311" max="2311" width="48.42578125" style="259" bestFit="1" customWidth="1"/>
    <col min="2312" max="2312" width="41" style="259" customWidth="1"/>
    <col min="2313" max="2313" width="140.85546875" style="259" bestFit="1" customWidth="1"/>
    <col min="2314" max="2314" width="140.85546875" style="259" customWidth="1"/>
    <col min="2315" max="2315" width="140.85546875" style="259" bestFit="1" customWidth="1"/>
    <col min="2316" max="2316" width="9.42578125" style="259" bestFit="1" customWidth="1"/>
    <col min="2317" max="2317" width="0" style="259" hidden="1" customWidth="1"/>
    <col min="2318" max="2318" width="14.85546875" style="259" bestFit="1" customWidth="1"/>
    <col min="2319" max="2319" width="28" style="259" customWidth="1"/>
    <col min="2320" max="2320" width="38.28515625" style="259" customWidth="1"/>
    <col min="2321" max="2321" width="9.140625" style="259"/>
    <col min="2322" max="2322" width="30.5703125" style="259" bestFit="1" customWidth="1"/>
    <col min="2323" max="2323" width="9.140625" style="259"/>
    <col min="2324" max="2324" width="16.7109375" style="259" bestFit="1" customWidth="1"/>
    <col min="2325" max="2555" width="9.140625" style="259"/>
    <col min="2556" max="2557" width="4.42578125" style="259" customWidth="1"/>
    <col min="2558" max="2558" width="27.28515625" style="259" customWidth="1"/>
    <col min="2559" max="2560" width="0" style="259" hidden="1" customWidth="1"/>
    <col min="2561" max="2561" width="95.28515625" style="259" customWidth="1"/>
    <col min="2562" max="2562" width="33" style="259" customWidth="1"/>
    <col min="2563" max="2563" width="32.42578125" style="259" customWidth="1"/>
    <col min="2564" max="2564" width="45" style="259" bestFit="1" customWidth="1"/>
    <col min="2565" max="2565" width="0" style="259" hidden="1" customWidth="1"/>
    <col min="2566" max="2566" width="47.7109375" style="259" bestFit="1" customWidth="1"/>
    <col min="2567" max="2567" width="48.42578125" style="259" bestFit="1" customWidth="1"/>
    <col min="2568" max="2568" width="41" style="259" customWidth="1"/>
    <col min="2569" max="2569" width="140.85546875" style="259" bestFit="1" customWidth="1"/>
    <col min="2570" max="2570" width="140.85546875" style="259" customWidth="1"/>
    <col min="2571" max="2571" width="140.85546875" style="259" bestFit="1" customWidth="1"/>
    <col min="2572" max="2572" width="9.42578125" style="259" bestFit="1" customWidth="1"/>
    <col min="2573" max="2573" width="0" style="259" hidden="1" customWidth="1"/>
    <col min="2574" max="2574" width="14.85546875" style="259" bestFit="1" customWidth="1"/>
    <col min="2575" max="2575" width="28" style="259" customWidth="1"/>
    <col min="2576" max="2576" width="38.28515625" style="259" customWidth="1"/>
    <col min="2577" max="2577" width="9.140625" style="259"/>
    <col min="2578" max="2578" width="30.5703125" style="259" bestFit="1" customWidth="1"/>
    <col min="2579" max="2579" width="9.140625" style="259"/>
    <col min="2580" max="2580" width="16.7109375" style="259" bestFit="1" customWidth="1"/>
    <col min="2581" max="2811" width="9.140625" style="259"/>
    <col min="2812" max="2813" width="4.42578125" style="259" customWidth="1"/>
    <col min="2814" max="2814" width="27.28515625" style="259" customWidth="1"/>
    <col min="2815" max="2816" width="0" style="259" hidden="1" customWidth="1"/>
    <col min="2817" max="2817" width="95.28515625" style="259" customWidth="1"/>
    <col min="2818" max="2818" width="33" style="259" customWidth="1"/>
    <col min="2819" max="2819" width="32.42578125" style="259" customWidth="1"/>
    <col min="2820" max="2820" width="45" style="259" bestFit="1" customWidth="1"/>
    <col min="2821" max="2821" width="0" style="259" hidden="1" customWidth="1"/>
    <col min="2822" max="2822" width="47.7109375" style="259" bestFit="1" customWidth="1"/>
    <col min="2823" max="2823" width="48.42578125" style="259" bestFit="1" customWidth="1"/>
    <col min="2824" max="2824" width="41" style="259" customWidth="1"/>
    <col min="2825" max="2825" width="140.85546875" style="259" bestFit="1" customWidth="1"/>
    <col min="2826" max="2826" width="140.85546875" style="259" customWidth="1"/>
    <col min="2827" max="2827" width="140.85546875" style="259" bestFit="1" customWidth="1"/>
    <col min="2828" max="2828" width="9.42578125" style="259" bestFit="1" customWidth="1"/>
    <col min="2829" max="2829" width="0" style="259" hidden="1" customWidth="1"/>
    <col min="2830" max="2830" width="14.85546875" style="259" bestFit="1" customWidth="1"/>
    <col min="2831" max="2831" width="28" style="259" customWidth="1"/>
    <col min="2832" max="2832" width="38.28515625" style="259" customWidth="1"/>
    <col min="2833" max="2833" width="9.140625" style="259"/>
    <col min="2834" max="2834" width="30.5703125" style="259" bestFit="1" customWidth="1"/>
    <col min="2835" max="2835" width="9.140625" style="259"/>
    <col min="2836" max="2836" width="16.7109375" style="259" bestFit="1" customWidth="1"/>
    <col min="2837" max="3067" width="9.140625" style="259"/>
    <col min="3068" max="3069" width="4.42578125" style="259" customWidth="1"/>
    <col min="3070" max="3070" width="27.28515625" style="259" customWidth="1"/>
    <col min="3071" max="3072" width="0" style="259" hidden="1" customWidth="1"/>
    <col min="3073" max="3073" width="95.28515625" style="259" customWidth="1"/>
    <col min="3074" max="3074" width="33" style="259" customWidth="1"/>
    <col min="3075" max="3075" width="32.42578125" style="259" customWidth="1"/>
    <col min="3076" max="3076" width="45" style="259" bestFit="1" customWidth="1"/>
    <col min="3077" max="3077" width="0" style="259" hidden="1" customWidth="1"/>
    <col min="3078" max="3078" width="47.7109375" style="259" bestFit="1" customWidth="1"/>
    <col min="3079" max="3079" width="48.42578125" style="259" bestFit="1" customWidth="1"/>
    <col min="3080" max="3080" width="41" style="259" customWidth="1"/>
    <col min="3081" max="3081" width="140.85546875" style="259" bestFit="1" customWidth="1"/>
    <col min="3082" max="3082" width="140.85546875" style="259" customWidth="1"/>
    <col min="3083" max="3083" width="140.85546875" style="259" bestFit="1" customWidth="1"/>
    <col min="3084" max="3084" width="9.42578125" style="259" bestFit="1" customWidth="1"/>
    <col min="3085" max="3085" width="0" style="259" hidden="1" customWidth="1"/>
    <col min="3086" max="3086" width="14.85546875" style="259" bestFit="1" customWidth="1"/>
    <col min="3087" max="3087" width="28" style="259" customWidth="1"/>
    <col min="3088" max="3088" width="38.28515625" style="259" customWidth="1"/>
    <col min="3089" max="3089" width="9.140625" style="259"/>
    <col min="3090" max="3090" width="30.5703125" style="259" bestFit="1" customWidth="1"/>
    <col min="3091" max="3091" width="9.140625" style="259"/>
    <col min="3092" max="3092" width="16.7109375" style="259" bestFit="1" customWidth="1"/>
    <col min="3093" max="3323" width="9.140625" style="259"/>
    <col min="3324" max="3325" width="4.42578125" style="259" customWidth="1"/>
    <col min="3326" max="3326" width="27.28515625" style="259" customWidth="1"/>
    <col min="3327" max="3328" width="0" style="259" hidden="1" customWidth="1"/>
    <col min="3329" max="3329" width="95.28515625" style="259" customWidth="1"/>
    <col min="3330" max="3330" width="33" style="259" customWidth="1"/>
    <col min="3331" max="3331" width="32.42578125" style="259" customWidth="1"/>
    <col min="3332" max="3332" width="45" style="259" bestFit="1" customWidth="1"/>
    <col min="3333" max="3333" width="0" style="259" hidden="1" customWidth="1"/>
    <col min="3334" max="3334" width="47.7109375" style="259" bestFit="1" customWidth="1"/>
    <col min="3335" max="3335" width="48.42578125" style="259" bestFit="1" customWidth="1"/>
    <col min="3336" max="3336" width="41" style="259" customWidth="1"/>
    <col min="3337" max="3337" width="140.85546875" style="259" bestFit="1" customWidth="1"/>
    <col min="3338" max="3338" width="140.85546875" style="259" customWidth="1"/>
    <col min="3339" max="3339" width="140.85546875" style="259" bestFit="1" customWidth="1"/>
    <col min="3340" max="3340" width="9.42578125" style="259" bestFit="1" customWidth="1"/>
    <col min="3341" max="3341" width="0" style="259" hidden="1" customWidth="1"/>
    <col min="3342" max="3342" width="14.85546875" style="259" bestFit="1" customWidth="1"/>
    <col min="3343" max="3343" width="28" style="259" customWidth="1"/>
    <col min="3344" max="3344" width="38.28515625" style="259" customWidth="1"/>
    <col min="3345" max="3345" width="9.140625" style="259"/>
    <col min="3346" max="3346" width="30.5703125" style="259" bestFit="1" customWidth="1"/>
    <col min="3347" max="3347" width="9.140625" style="259"/>
    <col min="3348" max="3348" width="16.7109375" style="259" bestFit="1" customWidth="1"/>
    <col min="3349" max="3579" width="9.140625" style="259"/>
    <col min="3580" max="3581" width="4.42578125" style="259" customWidth="1"/>
    <col min="3582" max="3582" width="27.28515625" style="259" customWidth="1"/>
    <col min="3583" max="3584" width="0" style="259" hidden="1" customWidth="1"/>
    <col min="3585" max="3585" width="95.28515625" style="259" customWidth="1"/>
    <col min="3586" max="3586" width="33" style="259" customWidth="1"/>
    <col min="3587" max="3587" width="32.42578125" style="259" customWidth="1"/>
    <col min="3588" max="3588" width="45" style="259" bestFit="1" customWidth="1"/>
    <col min="3589" max="3589" width="0" style="259" hidden="1" customWidth="1"/>
    <col min="3590" max="3590" width="47.7109375" style="259" bestFit="1" customWidth="1"/>
    <col min="3591" max="3591" width="48.42578125" style="259" bestFit="1" customWidth="1"/>
    <col min="3592" max="3592" width="41" style="259" customWidth="1"/>
    <col min="3593" max="3593" width="140.85546875" style="259" bestFit="1" customWidth="1"/>
    <col min="3594" max="3594" width="140.85546875" style="259" customWidth="1"/>
    <col min="3595" max="3595" width="140.85546875" style="259" bestFit="1" customWidth="1"/>
    <col min="3596" max="3596" width="9.42578125" style="259" bestFit="1" customWidth="1"/>
    <col min="3597" max="3597" width="0" style="259" hidden="1" customWidth="1"/>
    <col min="3598" max="3598" width="14.85546875" style="259" bestFit="1" customWidth="1"/>
    <col min="3599" max="3599" width="28" style="259" customWidth="1"/>
    <col min="3600" max="3600" width="38.28515625" style="259" customWidth="1"/>
    <col min="3601" max="3601" width="9.140625" style="259"/>
    <col min="3602" max="3602" width="30.5703125" style="259" bestFit="1" customWidth="1"/>
    <col min="3603" max="3603" width="9.140625" style="259"/>
    <col min="3604" max="3604" width="16.7109375" style="259" bestFit="1" customWidth="1"/>
    <col min="3605" max="3835" width="9.140625" style="259"/>
    <col min="3836" max="3837" width="4.42578125" style="259" customWidth="1"/>
    <col min="3838" max="3838" width="27.28515625" style="259" customWidth="1"/>
    <col min="3839" max="3840" width="0" style="259" hidden="1" customWidth="1"/>
    <col min="3841" max="3841" width="95.28515625" style="259" customWidth="1"/>
    <col min="3842" max="3842" width="33" style="259" customWidth="1"/>
    <col min="3843" max="3843" width="32.42578125" style="259" customWidth="1"/>
    <col min="3844" max="3844" width="45" style="259" bestFit="1" customWidth="1"/>
    <col min="3845" max="3845" width="0" style="259" hidden="1" customWidth="1"/>
    <col min="3846" max="3846" width="47.7109375" style="259" bestFit="1" customWidth="1"/>
    <col min="3847" max="3847" width="48.42578125" style="259" bestFit="1" customWidth="1"/>
    <col min="3848" max="3848" width="41" style="259" customWidth="1"/>
    <col min="3849" max="3849" width="140.85546875" style="259" bestFit="1" customWidth="1"/>
    <col min="3850" max="3850" width="140.85546875" style="259" customWidth="1"/>
    <col min="3851" max="3851" width="140.85546875" style="259" bestFit="1" customWidth="1"/>
    <col min="3852" max="3852" width="9.42578125" style="259" bestFit="1" customWidth="1"/>
    <col min="3853" max="3853" width="0" style="259" hidden="1" customWidth="1"/>
    <col min="3854" max="3854" width="14.85546875" style="259" bestFit="1" customWidth="1"/>
    <col min="3855" max="3855" width="28" style="259" customWidth="1"/>
    <col min="3856" max="3856" width="38.28515625" style="259" customWidth="1"/>
    <col min="3857" max="3857" width="9.140625" style="259"/>
    <col min="3858" max="3858" width="30.5703125" style="259" bestFit="1" customWidth="1"/>
    <col min="3859" max="3859" width="9.140625" style="259"/>
    <col min="3860" max="3860" width="16.7109375" style="259" bestFit="1" customWidth="1"/>
    <col min="3861" max="4091" width="9.140625" style="259"/>
    <col min="4092" max="4093" width="4.42578125" style="259" customWidth="1"/>
    <col min="4094" max="4094" width="27.28515625" style="259" customWidth="1"/>
    <col min="4095" max="4096" width="0" style="259" hidden="1" customWidth="1"/>
    <col min="4097" max="4097" width="95.28515625" style="259" customWidth="1"/>
    <col min="4098" max="4098" width="33" style="259" customWidth="1"/>
    <col min="4099" max="4099" width="32.42578125" style="259" customWidth="1"/>
    <col min="4100" max="4100" width="45" style="259" bestFit="1" customWidth="1"/>
    <col min="4101" max="4101" width="0" style="259" hidden="1" customWidth="1"/>
    <col min="4102" max="4102" width="47.7109375" style="259" bestFit="1" customWidth="1"/>
    <col min="4103" max="4103" width="48.42578125" style="259" bestFit="1" customWidth="1"/>
    <col min="4104" max="4104" width="41" style="259" customWidth="1"/>
    <col min="4105" max="4105" width="140.85546875" style="259" bestFit="1" customWidth="1"/>
    <col min="4106" max="4106" width="140.85546875" style="259" customWidth="1"/>
    <col min="4107" max="4107" width="140.85546875" style="259" bestFit="1" customWidth="1"/>
    <col min="4108" max="4108" width="9.42578125" style="259" bestFit="1" customWidth="1"/>
    <col min="4109" max="4109" width="0" style="259" hidden="1" customWidth="1"/>
    <col min="4110" max="4110" width="14.85546875" style="259" bestFit="1" customWidth="1"/>
    <col min="4111" max="4111" width="28" style="259" customWidth="1"/>
    <col min="4112" max="4112" width="38.28515625" style="259" customWidth="1"/>
    <col min="4113" max="4113" width="9.140625" style="259"/>
    <col min="4114" max="4114" width="30.5703125" style="259" bestFit="1" customWidth="1"/>
    <col min="4115" max="4115" width="9.140625" style="259"/>
    <col min="4116" max="4116" width="16.7109375" style="259" bestFit="1" customWidth="1"/>
    <col min="4117" max="4347" width="9.140625" style="259"/>
    <col min="4348" max="4349" width="4.42578125" style="259" customWidth="1"/>
    <col min="4350" max="4350" width="27.28515625" style="259" customWidth="1"/>
    <col min="4351" max="4352" width="0" style="259" hidden="1" customWidth="1"/>
    <col min="4353" max="4353" width="95.28515625" style="259" customWidth="1"/>
    <col min="4354" max="4354" width="33" style="259" customWidth="1"/>
    <col min="4355" max="4355" width="32.42578125" style="259" customWidth="1"/>
    <col min="4356" max="4356" width="45" style="259" bestFit="1" customWidth="1"/>
    <col min="4357" max="4357" width="0" style="259" hidden="1" customWidth="1"/>
    <col min="4358" max="4358" width="47.7109375" style="259" bestFit="1" customWidth="1"/>
    <col min="4359" max="4359" width="48.42578125" style="259" bestFit="1" customWidth="1"/>
    <col min="4360" max="4360" width="41" style="259" customWidth="1"/>
    <col min="4361" max="4361" width="140.85546875" style="259" bestFit="1" customWidth="1"/>
    <col min="4362" max="4362" width="140.85546875" style="259" customWidth="1"/>
    <col min="4363" max="4363" width="140.85546875" style="259" bestFit="1" customWidth="1"/>
    <col min="4364" max="4364" width="9.42578125" style="259" bestFit="1" customWidth="1"/>
    <col min="4365" max="4365" width="0" style="259" hidden="1" customWidth="1"/>
    <col min="4366" max="4366" width="14.85546875" style="259" bestFit="1" customWidth="1"/>
    <col min="4367" max="4367" width="28" style="259" customWidth="1"/>
    <col min="4368" max="4368" width="38.28515625" style="259" customWidth="1"/>
    <col min="4369" max="4369" width="9.140625" style="259"/>
    <col min="4370" max="4370" width="30.5703125" style="259" bestFit="1" customWidth="1"/>
    <col min="4371" max="4371" width="9.140625" style="259"/>
    <col min="4372" max="4372" width="16.7109375" style="259" bestFit="1" customWidth="1"/>
    <col min="4373" max="4603" width="9.140625" style="259"/>
    <col min="4604" max="4605" width="4.42578125" style="259" customWidth="1"/>
    <col min="4606" max="4606" width="27.28515625" style="259" customWidth="1"/>
    <col min="4607" max="4608" width="0" style="259" hidden="1" customWidth="1"/>
    <col min="4609" max="4609" width="95.28515625" style="259" customWidth="1"/>
    <col min="4610" max="4610" width="33" style="259" customWidth="1"/>
    <col min="4611" max="4611" width="32.42578125" style="259" customWidth="1"/>
    <col min="4612" max="4612" width="45" style="259" bestFit="1" customWidth="1"/>
    <col min="4613" max="4613" width="0" style="259" hidden="1" customWidth="1"/>
    <col min="4614" max="4614" width="47.7109375" style="259" bestFit="1" customWidth="1"/>
    <col min="4615" max="4615" width="48.42578125" style="259" bestFit="1" customWidth="1"/>
    <col min="4616" max="4616" width="41" style="259" customWidth="1"/>
    <col min="4617" max="4617" width="140.85546875" style="259" bestFit="1" customWidth="1"/>
    <col min="4618" max="4618" width="140.85546875" style="259" customWidth="1"/>
    <col min="4619" max="4619" width="140.85546875" style="259" bestFit="1" customWidth="1"/>
    <col min="4620" max="4620" width="9.42578125" style="259" bestFit="1" customWidth="1"/>
    <col min="4621" max="4621" width="0" style="259" hidden="1" customWidth="1"/>
    <col min="4622" max="4622" width="14.85546875" style="259" bestFit="1" customWidth="1"/>
    <col min="4623" max="4623" width="28" style="259" customWidth="1"/>
    <col min="4624" max="4624" width="38.28515625" style="259" customWidth="1"/>
    <col min="4625" max="4625" width="9.140625" style="259"/>
    <col min="4626" max="4626" width="30.5703125" style="259" bestFit="1" customWidth="1"/>
    <col min="4627" max="4627" width="9.140625" style="259"/>
    <col min="4628" max="4628" width="16.7109375" style="259" bestFit="1" customWidth="1"/>
    <col min="4629" max="4859" width="9.140625" style="259"/>
    <col min="4860" max="4861" width="4.42578125" style="259" customWidth="1"/>
    <col min="4862" max="4862" width="27.28515625" style="259" customWidth="1"/>
    <col min="4863" max="4864" width="0" style="259" hidden="1" customWidth="1"/>
    <col min="4865" max="4865" width="95.28515625" style="259" customWidth="1"/>
    <col min="4866" max="4866" width="33" style="259" customWidth="1"/>
    <col min="4867" max="4867" width="32.42578125" style="259" customWidth="1"/>
    <col min="4868" max="4868" width="45" style="259" bestFit="1" customWidth="1"/>
    <col min="4869" max="4869" width="0" style="259" hidden="1" customWidth="1"/>
    <col min="4870" max="4870" width="47.7109375" style="259" bestFit="1" customWidth="1"/>
    <col min="4871" max="4871" width="48.42578125" style="259" bestFit="1" customWidth="1"/>
    <col min="4872" max="4872" width="41" style="259" customWidth="1"/>
    <col min="4873" max="4873" width="140.85546875" style="259" bestFit="1" customWidth="1"/>
    <col min="4874" max="4874" width="140.85546875" style="259" customWidth="1"/>
    <col min="4875" max="4875" width="140.85546875" style="259" bestFit="1" customWidth="1"/>
    <col min="4876" max="4876" width="9.42578125" style="259" bestFit="1" customWidth="1"/>
    <col min="4877" max="4877" width="0" style="259" hidden="1" customWidth="1"/>
    <col min="4878" max="4878" width="14.85546875" style="259" bestFit="1" customWidth="1"/>
    <col min="4879" max="4879" width="28" style="259" customWidth="1"/>
    <col min="4880" max="4880" width="38.28515625" style="259" customWidth="1"/>
    <col min="4881" max="4881" width="9.140625" style="259"/>
    <col min="4882" max="4882" width="30.5703125" style="259" bestFit="1" customWidth="1"/>
    <col min="4883" max="4883" width="9.140625" style="259"/>
    <col min="4884" max="4884" width="16.7109375" style="259" bestFit="1" customWidth="1"/>
    <col min="4885" max="5115" width="9.140625" style="259"/>
    <col min="5116" max="5117" width="4.42578125" style="259" customWidth="1"/>
    <col min="5118" max="5118" width="27.28515625" style="259" customWidth="1"/>
    <col min="5119" max="5120" width="0" style="259" hidden="1" customWidth="1"/>
    <col min="5121" max="5121" width="95.28515625" style="259" customWidth="1"/>
    <col min="5122" max="5122" width="33" style="259" customWidth="1"/>
    <col min="5123" max="5123" width="32.42578125" style="259" customWidth="1"/>
    <col min="5124" max="5124" width="45" style="259" bestFit="1" customWidth="1"/>
    <col min="5125" max="5125" width="0" style="259" hidden="1" customWidth="1"/>
    <col min="5126" max="5126" width="47.7109375" style="259" bestFit="1" customWidth="1"/>
    <col min="5127" max="5127" width="48.42578125" style="259" bestFit="1" customWidth="1"/>
    <col min="5128" max="5128" width="41" style="259" customWidth="1"/>
    <col min="5129" max="5129" width="140.85546875" style="259" bestFit="1" customWidth="1"/>
    <col min="5130" max="5130" width="140.85546875" style="259" customWidth="1"/>
    <col min="5131" max="5131" width="140.85546875" style="259" bestFit="1" customWidth="1"/>
    <col min="5132" max="5132" width="9.42578125" style="259" bestFit="1" customWidth="1"/>
    <col min="5133" max="5133" width="0" style="259" hidden="1" customWidth="1"/>
    <col min="5134" max="5134" width="14.85546875" style="259" bestFit="1" customWidth="1"/>
    <col min="5135" max="5135" width="28" style="259" customWidth="1"/>
    <col min="5136" max="5136" width="38.28515625" style="259" customWidth="1"/>
    <col min="5137" max="5137" width="9.140625" style="259"/>
    <col min="5138" max="5138" width="30.5703125" style="259" bestFit="1" customWidth="1"/>
    <col min="5139" max="5139" width="9.140625" style="259"/>
    <col min="5140" max="5140" width="16.7109375" style="259" bestFit="1" customWidth="1"/>
    <col min="5141" max="5371" width="9.140625" style="259"/>
    <col min="5372" max="5373" width="4.42578125" style="259" customWidth="1"/>
    <col min="5374" max="5374" width="27.28515625" style="259" customWidth="1"/>
    <col min="5375" max="5376" width="0" style="259" hidden="1" customWidth="1"/>
    <col min="5377" max="5377" width="95.28515625" style="259" customWidth="1"/>
    <col min="5378" max="5378" width="33" style="259" customWidth="1"/>
    <col min="5379" max="5379" width="32.42578125" style="259" customWidth="1"/>
    <col min="5380" max="5380" width="45" style="259" bestFit="1" customWidth="1"/>
    <col min="5381" max="5381" width="0" style="259" hidden="1" customWidth="1"/>
    <col min="5382" max="5382" width="47.7109375" style="259" bestFit="1" customWidth="1"/>
    <col min="5383" max="5383" width="48.42578125" style="259" bestFit="1" customWidth="1"/>
    <col min="5384" max="5384" width="41" style="259" customWidth="1"/>
    <col min="5385" max="5385" width="140.85546875" style="259" bestFit="1" customWidth="1"/>
    <col min="5386" max="5386" width="140.85546875" style="259" customWidth="1"/>
    <col min="5387" max="5387" width="140.85546875" style="259" bestFit="1" customWidth="1"/>
    <col min="5388" max="5388" width="9.42578125" style="259" bestFit="1" customWidth="1"/>
    <col min="5389" max="5389" width="0" style="259" hidden="1" customWidth="1"/>
    <col min="5390" max="5390" width="14.85546875" style="259" bestFit="1" customWidth="1"/>
    <col min="5391" max="5391" width="28" style="259" customWidth="1"/>
    <col min="5392" max="5392" width="38.28515625" style="259" customWidth="1"/>
    <col min="5393" max="5393" width="9.140625" style="259"/>
    <col min="5394" max="5394" width="30.5703125" style="259" bestFit="1" customWidth="1"/>
    <col min="5395" max="5395" width="9.140625" style="259"/>
    <col min="5396" max="5396" width="16.7109375" style="259" bestFit="1" customWidth="1"/>
    <col min="5397" max="5627" width="9.140625" style="259"/>
    <col min="5628" max="5629" width="4.42578125" style="259" customWidth="1"/>
    <col min="5630" max="5630" width="27.28515625" style="259" customWidth="1"/>
    <col min="5631" max="5632" width="0" style="259" hidden="1" customWidth="1"/>
    <col min="5633" max="5633" width="95.28515625" style="259" customWidth="1"/>
    <col min="5634" max="5634" width="33" style="259" customWidth="1"/>
    <col min="5635" max="5635" width="32.42578125" style="259" customWidth="1"/>
    <col min="5636" max="5636" width="45" style="259" bestFit="1" customWidth="1"/>
    <col min="5637" max="5637" width="0" style="259" hidden="1" customWidth="1"/>
    <col min="5638" max="5638" width="47.7109375" style="259" bestFit="1" customWidth="1"/>
    <col min="5639" max="5639" width="48.42578125" style="259" bestFit="1" customWidth="1"/>
    <col min="5640" max="5640" width="41" style="259" customWidth="1"/>
    <col min="5641" max="5641" width="140.85546875" style="259" bestFit="1" customWidth="1"/>
    <col min="5642" max="5642" width="140.85546875" style="259" customWidth="1"/>
    <col min="5643" max="5643" width="140.85546875" style="259" bestFit="1" customWidth="1"/>
    <col min="5644" max="5644" width="9.42578125" style="259" bestFit="1" customWidth="1"/>
    <col min="5645" max="5645" width="0" style="259" hidden="1" customWidth="1"/>
    <col min="5646" max="5646" width="14.85546875" style="259" bestFit="1" customWidth="1"/>
    <col min="5647" max="5647" width="28" style="259" customWidth="1"/>
    <col min="5648" max="5648" width="38.28515625" style="259" customWidth="1"/>
    <col min="5649" max="5649" width="9.140625" style="259"/>
    <col min="5650" max="5650" width="30.5703125" style="259" bestFit="1" customWidth="1"/>
    <col min="5651" max="5651" width="9.140625" style="259"/>
    <col min="5652" max="5652" width="16.7109375" style="259" bestFit="1" customWidth="1"/>
    <col min="5653" max="5883" width="9.140625" style="259"/>
    <col min="5884" max="5885" width="4.42578125" style="259" customWidth="1"/>
    <col min="5886" max="5886" width="27.28515625" style="259" customWidth="1"/>
    <col min="5887" max="5888" width="0" style="259" hidden="1" customWidth="1"/>
    <col min="5889" max="5889" width="95.28515625" style="259" customWidth="1"/>
    <col min="5890" max="5890" width="33" style="259" customWidth="1"/>
    <col min="5891" max="5891" width="32.42578125" style="259" customWidth="1"/>
    <col min="5892" max="5892" width="45" style="259" bestFit="1" customWidth="1"/>
    <col min="5893" max="5893" width="0" style="259" hidden="1" customWidth="1"/>
    <col min="5894" max="5894" width="47.7109375" style="259" bestFit="1" customWidth="1"/>
    <col min="5895" max="5895" width="48.42578125" style="259" bestFit="1" customWidth="1"/>
    <col min="5896" max="5896" width="41" style="259" customWidth="1"/>
    <col min="5897" max="5897" width="140.85546875" style="259" bestFit="1" customWidth="1"/>
    <col min="5898" max="5898" width="140.85546875" style="259" customWidth="1"/>
    <col min="5899" max="5899" width="140.85546875" style="259" bestFit="1" customWidth="1"/>
    <col min="5900" max="5900" width="9.42578125" style="259" bestFit="1" customWidth="1"/>
    <col min="5901" max="5901" width="0" style="259" hidden="1" customWidth="1"/>
    <col min="5902" max="5902" width="14.85546875" style="259" bestFit="1" customWidth="1"/>
    <col min="5903" max="5903" width="28" style="259" customWidth="1"/>
    <col min="5904" max="5904" width="38.28515625" style="259" customWidth="1"/>
    <col min="5905" max="5905" width="9.140625" style="259"/>
    <col min="5906" max="5906" width="30.5703125" style="259" bestFit="1" customWidth="1"/>
    <col min="5907" max="5907" width="9.140625" style="259"/>
    <col min="5908" max="5908" width="16.7109375" style="259" bestFit="1" customWidth="1"/>
    <col min="5909" max="6139" width="9.140625" style="259"/>
    <col min="6140" max="6141" width="4.42578125" style="259" customWidth="1"/>
    <col min="6142" max="6142" width="27.28515625" style="259" customWidth="1"/>
    <col min="6143" max="6144" width="0" style="259" hidden="1" customWidth="1"/>
    <col min="6145" max="6145" width="95.28515625" style="259" customWidth="1"/>
    <col min="6146" max="6146" width="33" style="259" customWidth="1"/>
    <col min="6147" max="6147" width="32.42578125" style="259" customWidth="1"/>
    <col min="6148" max="6148" width="45" style="259" bestFit="1" customWidth="1"/>
    <col min="6149" max="6149" width="0" style="259" hidden="1" customWidth="1"/>
    <col min="6150" max="6150" width="47.7109375" style="259" bestFit="1" customWidth="1"/>
    <col min="6151" max="6151" width="48.42578125" style="259" bestFit="1" customWidth="1"/>
    <col min="6152" max="6152" width="41" style="259" customWidth="1"/>
    <col min="6153" max="6153" width="140.85546875" style="259" bestFit="1" customWidth="1"/>
    <col min="6154" max="6154" width="140.85546875" style="259" customWidth="1"/>
    <col min="6155" max="6155" width="140.85546875" style="259" bestFit="1" customWidth="1"/>
    <col min="6156" max="6156" width="9.42578125" style="259" bestFit="1" customWidth="1"/>
    <col min="6157" max="6157" width="0" style="259" hidden="1" customWidth="1"/>
    <col min="6158" max="6158" width="14.85546875" style="259" bestFit="1" customWidth="1"/>
    <col min="6159" max="6159" width="28" style="259" customWidth="1"/>
    <col min="6160" max="6160" width="38.28515625" style="259" customWidth="1"/>
    <col min="6161" max="6161" width="9.140625" style="259"/>
    <col min="6162" max="6162" width="30.5703125" style="259" bestFit="1" customWidth="1"/>
    <col min="6163" max="6163" width="9.140625" style="259"/>
    <col min="6164" max="6164" width="16.7109375" style="259" bestFit="1" customWidth="1"/>
    <col min="6165" max="6395" width="9.140625" style="259"/>
    <col min="6396" max="6397" width="4.42578125" style="259" customWidth="1"/>
    <col min="6398" max="6398" width="27.28515625" style="259" customWidth="1"/>
    <col min="6399" max="6400" width="0" style="259" hidden="1" customWidth="1"/>
    <col min="6401" max="6401" width="95.28515625" style="259" customWidth="1"/>
    <col min="6402" max="6402" width="33" style="259" customWidth="1"/>
    <col min="6403" max="6403" width="32.42578125" style="259" customWidth="1"/>
    <col min="6404" max="6404" width="45" style="259" bestFit="1" customWidth="1"/>
    <col min="6405" max="6405" width="0" style="259" hidden="1" customWidth="1"/>
    <col min="6406" max="6406" width="47.7109375" style="259" bestFit="1" customWidth="1"/>
    <col min="6407" max="6407" width="48.42578125" style="259" bestFit="1" customWidth="1"/>
    <col min="6408" max="6408" width="41" style="259" customWidth="1"/>
    <col min="6409" max="6409" width="140.85546875" style="259" bestFit="1" customWidth="1"/>
    <col min="6410" max="6410" width="140.85546875" style="259" customWidth="1"/>
    <col min="6411" max="6411" width="140.85546875" style="259" bestFit="1" customWidth="1"/>
    <col min="6412" max="6412" width="9.42578125" style="259" bestFit="1" customWidth="1"/>
    <col min="6413" max="6413" width="0" style="259" hidden="1" customWidth="1"/>
    <col min="6414" max="6414" width="14.85546875" style="259" bestFit="1" customWidth="1"/>
    <col min="6415" max="6415" width="28" style="259" customWidth="1"/>
    <col min="6416" max="6416" width="38.28515625" style="259" customWidth="1"/>
    <col min="6417" max="6417" width="9.140625" style="259"/>
    <col min="6418" max="6418" width="30.5703125" style="259" bestFit="1" customWidth="1"/>
    <col min="6419" max="6419" width="9.140625" style="259"/>
    <col min="6420" max="6420" width="16.7109375" style="259" bestFit="1" customWidth="1"/>
    <col min="6421" max="6651" width="9.140625" style="259"/>
    <col min="6652" max="6653" width="4.42578125" style="259" customWidth="1"/>
    <col min="6654" max="6654" width="27.28515625" style="259" customWidth="1"/>
    <col min="6655" max="6656" width="0" style="259" hidden="1" customWidth="1"/>
    <col min="6657" max="6657" width="95.28515625" style="259" customWidth="1"/>
    <col min="6658" max="6658" width="33" style="259" customWidth="1"/>
    <col min="6659" max="6659" width="32.42578125" style="259" customWidth="1"/>
    <col min="6660" max="6660" width="45" style="259" bestFit="1" customWidth="1"/>
    <col min="6661" max="6661" width="0" style="259" hidden="1" customWidth="1"/>
    <col min="6662" max="6662" width="47.7109375" style="259" bestFit="1" customWidth="1"/>
    <col min="6663" max="6663" width="48.42578125" style="259" bestFit="1" customWidth="1"/>
    <col min="6664" max="6664" width="41" style="259" customWidth="1"/>
    <col min="6665" max="6665" width="140.85546875" style="259" bestFit="1" customWidth="1"/>
    <col min="6666" max="6666" width="140.85546875" style="259" customWidth="1"/>
    <col min="6667" max="6667" width="140.85546875" style="259" bestFit="1" customWidth="1"/>
    <col min="6668" max="6668" width="9.42578125" style="259" bestFit="1" customWidth="1"/>
    <col min="6669" max="6669" width="0" style="259" hidden="1" customWidth="1"/>
    <col min="6670" max="6670" width="14.85546875" style="259" bestFit="1" customWidth="1"/>
    <col min="6671" max="6671" width="28" style="259" customWidth="1"/>
    <col min="6672" max="6672" width="38.28515625" style="259" customWidth="1"/>
    <col min="6673" max="6673" width="9.140625" style="259"/>
    <col min="6674" max="6674" width="30.5703125" style="259" bestFit="1" customWidth="1"/>
    <col min="6675" max="6675" width="9.140625" style="259"/>
    <col min="6676" max="6676" width="16.7109375" style="259" bestFit="1" customWidth="1"/>
    <col min="6677" max="6907" width="9.140625" style="259"/>
    <col min="6908" max="6909" width="4.42578125" style="259" customWidth="1"/>
    <col min="6910" max="6910" width="27.28515625" style="259" customWidth="1"/>
    <col min="6911" max="6912" width="0" style="259" hidden="1" customWidth="1"/>
    <col min="6913" max="6913" width="95.28515625" style="259" customWidth="1"/>
    <col min="6914" max="6914" width="33" style="259" customWidth="1"/>
    <col min="6915" max="6915" width="32.42578125" style="259" customWidth="1"/>
    <col min="6916" max="6916" width="45" style="259" bestFit="1" customWidth="1"/>
    <col min="6917" max="6917" width="0" style="259" hidden="1" customWidth="1"/>
    <col min="6918" max="6918" width="47.7109375" style="259" bestFit="1" customWidth="1"/>
    <col min="6919" max="6919" width="48.42578125" style="259" bestFit="1" customWidth="1"/>
    <col min="6920" max="6920" width="41" style="259" customWidth="1"/>
    <col min="6921" max="6921" width="140.85546875" style="259" bestFit="1" customWidth="1"/>
    <col min="6922" max="6922" width="140.85546875" style="259" customWidth="1"/>
    <col min="6923" max="6923" width="140.85546875" style="259" bestFit="1" customWidth="1"/>
    <col min="6924" max="6924" width="9.42578125" style="259" bestFit="1" customWidth="1"/>
    <col min="6925" max="6925" width="0" style="259" hidden="1" customWidth="1"/>
    <col min="6926" max="6926" width="14.85546875" style="259" bestFit="1" customWidth="1"/>
    <col min="6927" max="6927" width="28" style="259" customWidth="1"/>
    <col min="6928" max="6928" width="38.28515625" style="259" customWidth="1"/>
    <col min="6929" max="6929" width="9.140625" style="259"/>
    <col min="6930" max="6930" width="30.5703125" style="259" bestFit="1" customWidth="1"/>
    <col min="6931" max="6931" width="9.140625" style="259"/>
    <col min="6932" max="6932" width="16.7109375" style="259" bestFit="1" customWidth="1"/>
    <col min="6933" max="7163" width="9.140625" style="259"/>
    <col min="7164" max="7165" width="4.42578125" style="259" customWidth="1"/>
    <col min="7166" max="7166" width="27.28515625" style="259" customWidth="1"/>
    <col min="7167" max="7168" width="0" style="259" hidden="1" customWidth="1"/>
    <col min="7169" max="7169" width="95.28515625" style="259" customWidth="1"/>
    <col min="7170" max="7170" width="33" style="259" customWidth="1"/>
    <col min="7171" max="7171" width="32.42578125" style="259" customWidth="1"/>
    <col min="7172" max="7172" width="45" style="259" bestFit="1" customWidth="1"/>
    <col min="7173" max="7173" width="0" style="259" hidden="1" customWidth="1"/>
    <col min="7174" max="7174" width="47.7109375" style="259" bestFit="1" customWidth="1"/>
    <col min="7175" max="7175" width="48.42578125" style="259" bestFit="1" customWidth="1"/>
    <col min="7176" max="7176" width="41" style="259" customWidth="1"/>
    <col min="7177" max="7177" width="140.85546875" style="259" bestFit="1" customWidth="1"/>
    <col min="7178" max="7178" width="140.85546875" style="259" customWidth="1"/>
    <col min="7179" max="7179" width="140.85546875" style="259" bestFit="1" customWidth="1"/>
    <col min="7180" max="7180" width="9.42578125" style="259" bestFit="1" customWidth="1"/>
    <col min="7181" max="7181" width="0" style="259" hidden="1" customWidth="1"/>
    <col min="7182" max="7182" width="14.85546875" style="259" bestFit="1" customWidth="1"/>
    <col min="7183" max="7183" width="28" style="259" customWidth="1"/>
    <col min="7184" max="7184" width="38.28515625" style="259" customWidth="1"/>
    <col min="7185" max="7185" width="9.140625" style="259"/>
    <col min="7186" max="7186" width="30.5703125" style="259" bestFit="1" customWidth="1"/>
    <col min="7187" max="7187" width="9.140625" style="259"/>
    <col min="7188" max="7188" width="16.7109375" style="259" bestFit="1" customWidth="1"/>
    <col min="7189" max="7419" width="9.140625" style="259"/>
    <col min="7420" max="7421" width="4.42578125" style="259" customWidth="1"/>
    <col min="7422" max="7422" width="27.28515625" style="259" customWidth="1"/>
    <col min="7423" max="7424" width="0" style="259" hidden="1" customWidth="1"/>
    <col min="7425" max="7425" width="95.28515625" style="259" customWidth="1"/>
    <col min="7426" max="7426" width="33" style="259" customWidth="1"/>
    <col min="7427" max="7427" width="32.42578125" style="259" customWidth="1"/>
    <col min="7428" max="7428" width="45" style="259" bestFit="1" customWidth="1"/>
    <col min="7429" max="7429" width="0" style="259" hidden="1" customWidth="1"/>
    <col min="7430" max="7430" width="47.7109375" style="259" bestFit="1" customWidth="1"/>
    <col min="7431" max="7431" width="48.42578125" style="259" bestFit="1" customWidth="1"/>
    <col min="7432" max="7432" width="41" style="259" customWidth="1"/>
    <col min="7433" max="7433" width="140.85546875" style="259" bestFit="1" customWidth="1"/>
    <col min="7434" max="7434" width="140.85546875" style="259" customWidth="1"/>
    <col min="7435" max="7435" width="140.85546875" style="259" bestFit="1" customWidth="1"/>
    <col min="7436" max="7436" width="9.42578125" style="259" bestFit="1" customWidth="1"/>
    <col min="7437" max="7437" width="0" style="259" hidden="1" customWidth="1"/>
    <col min="7438" max="7438" width="14.85546875" style="259" bestFit="1" customWidth="1"/>
    <col min="7439" max="7439" width="28" style="259" customWidth="1"/>
    <col min="7440" max="7440" width="38.28515625" style="259" customWidth="1"/>
    <col min="7441" max="7441" width="9.140625" style="259"/>
    <col min="7442" max="7442" width="30.5703125" style="259" bestFit="1" customWidth="1"/>
    <col min="7443" max="7443" width="9.140625" style="259"/>
    <col min="7444" max="7444" width="16.7109375" style="259" bestFit="1" customWidth="1"/>
    <col min="7445" max="7675" width="9.140625" style="259"/>
    <col min="7676" max="7677" width="4.42578125" style="259" customWidth="1"/>
    <col min="7678" max="7678" width="27.28515625" style="259" customWidth="1"/>
    <col min="7679" max="7680" width="0" style="259" hidden="1" customWidth="1"/>
    <col min="7681" max="7681" width="95.28515625" style="259" customWidth="1"/>
    <col min="7682" max="7682" width="33" style="259" customWidth="1"/>
    <col min="7683" max="7683" width="32.42578125" style="259" customWidth="1"/>
    <col min="7684" max="7684" width="45" style="259" bestFit="1" customWidth="1"/>
    <col min="7685" max="7685" width="0" style="259" hidden="1" customWidth="1"/>
    <col min="7686" max="7686" width="47.7109375" style="259" bestFit="1" customWidth="1"/>
    <col min="7687" max="7687" width="48.42578125" style="259" bestFit="1" customWidth="1"/>
    <col min="7688" max="7688" width="41" style="259" customWidth="1"/>
    <col min="7689" max="7689" width="140.85546875" style="259" bestFit="1" customWidth="1"/>
    <col min="7690" max="7690" width="140.85546875" style="259" customWidth="1"/>
    <col min="7691" max="7691" width="140.85546875" style="259" bestFit="1" customWidth="1"/>
    <col min="7692" max="7692" width="9.42578125" style="259" bestFit="1" customWidth="1"/>
    <col min="7693" max="7693" width="0" style="259" hidden="1" customWidth="1"/>
    <col min="7694" max="7694" width="14.85546875" style="259" bestFit="1" customWidth="1"/>
    <col min="7695" max="7695" width="28" style="259" customWidth="1"/>
    <col min="7696" max="7696" width="38.28515625" style="259" customWidth="1"/>
    <col min="7697" max="7697" width="9.140625" style="259"/>
    <col min="7698" max="7698" width="30.5703125" style="259" bestFit="1" customWidth="1"/>
    <col min="7699" max="7699" width="9.140625" style="259"/>
    <col min="7700" max="7700" width="16.7109375" style="259" bestFit="1" customWidth="1"/>
    <col min="7701" max="7931" width="9.140625" style="259"/>
    <col min="7932" max="7933" width="4.42578125" style="259" customWidth="1"/>
    <col min="7934" max="7934" width="27.28515625" style="259" customWidth="1"/>
    <col min="7935" max="7936" width="0" style="259" hidden="1" customWidth="1"/>
    <col min="7937" max="7937" width="95.28515625" style="259" customWidth="1"/>
    <col min="7938" max="7938" width="33" style="259" customWidth="1"/>
    <col min="7939" max="7939" width="32.42578125" style="259" customWidth="1"/>
    <col min="7940" max="7940" width="45" style="259" bestFit="1" customWidth="1"/>
    <col min="7941" max="7941" width="0" style="259" hidden="1" customWidth="1"/>
    <col min="7942" max="7942" width="47.7109375" style="259" bestFit="1" customWidth="1"/>
    <col min="7943" max="7943" width="48.42578125" style="259" bestFit="1" customWidth="1"/>
    <col min="7944" max="7944" width="41" style="259" customWidth="1"/>
    <col min="7945" max="7945" width="140.85546875" style="259" bestFit="1" customWidth="1"/>
    <col min="7946" max="7946" width="140.85546875" style="259" customWidth="1"/>
    <col min="7947" max="7947" width="140.85546875" style="259" bestFit="1" customWidth="1"/>
    <col min="7948" max="7948" width="9.42578125" style="259" bestFit="1" customWidth="1"/>
    <col min="7949" max="7949" width="0" style="259" hidden="1" customWidth="1"/>
    <col min="7950" max="7950" width="14.85546875" style="259" bestFit="1" customWidth="1"/>
    <col min="7951" max="7951" width="28" style="259" customWidth="1"/>
    <col min="7952" max="7952" width="38.28515625" style="259" customWidth="1"/>
    <col min="7953" max="7953" width="9.140625" style="259"/>
    <col min="7954" max="7954" width="30.5703125" style="259" bestFit="1" customWidth="1"/>
    <col min="7955" max="7955" width="9.140625" style="259"/>
    <col min="7956" max="7956" width="16.7109375" style="259" bestFit="1" customWidth="1"/>
    <col min="7957" max="8187" width="9.140625" style="259"/>
    <col min="8188" max="8189" width="4.42578125" style="259" customWidth="1"/>
    <col min="8190" max="8190" width="27.28515625" style="259" customWidth="1"/>
    <col min="8191" max="8192" width="0" style="259" hidden="1" customWidth="1"/>
    <col min="8193" max="8193" width="95.28515625" style="259" customWidth="1"/>
    <col min="8194" max="8194" width="33" style="259" customWidth="1"/>
    <col min="8195" max="8195" width="32.42578125" style="259" customWidth="1"/>
    <col min="8196" max="8196" width="45" style="259" bestFit="1" customWidth="1"/>
    <col min="8197" max="8197" width="0" style="259" hidden="1" customWidth="1"/>
    <col min="8198" max="8198" width="47.7109375" style="259" bestFit="1" customWidth="1"/>
    <col min="8199" max="8199" width="48.42578125" style="259" bestFit="1" customWidth="1"/>
    <col min="8200" max="8200" width="41" style="259" customWidth="1"/>
    <col min="8201" max="8201" width="140.85546875" style="259" bestFit="1" customWidth="1"/>
    <col min="8202" max="8202" width="140.85546875" style="259" customWidth="1"/>
    <col min="8203" max="8203" width="140.85546875" style="259" bestFit="1" customWidth="1"/>
    <col min="8204" max="8204" width="9.42578125" style="259" bestFit="1" customWidth="1"/>
    <col min="8205" max="8205" width="0" style="259" hidden="1" customWidth="1"/>
    <col min="8206" max="8206" width="14.85546875" style="259" bestFit="1" customWidth="1"/>
    <col min="8207" max="8207" width="28" style="259" customWidth="1"/>
    <col min="8208" max="8208" width="38.28515625" style="259" customWidth="1"/>
    <col min="8209" max="8209" width="9.140625" style="259"/>
    <col min="8210" max="8210" width="30.5703125" style="259" bestFit="1" customWidth="1"/>
    <col min="8211" max="8211" width="9.140625" style="259"/>
    <col min="8212" max="8212" width="16.7109375" style="259" bestFit="1" customWidth="1"/>
    <col min="8213" max="8443" width="9.140625" style="259"/>
    <col min="8444" max="8445" width="4.42578125" style="259" customWidth="1"/>
    <col min="8446" max="8446" width="27.28515625" style="259" customWidth="1"/>
    <col min="8447" max="8448" width="0" style="259" hidden="1" customWidth="1"/>
    <col min="8449" max="8449" width="95.28515625" style="259" customWidth="1"/>
    <col min="8450" max="8450" width="33" style="259" customWidth="1"/>
    <col min="8451" max="8451" width="32.42578125" style="259" customWidth="1"/>
    <col min="8452" max="8452" width="45" style="259" bestFit="1" customWidth="1"/>
    <col min="8453" max="8453" width="0" style="259" hidden="1" customWidth="1"/>
    <col min="8454" max="8454" width="47.7109375" style="259" bestFit="1" customWidth="1"/>
    <col min="8455" max="8455" width="48.42578125" style="259" bestFit="1" customWidth="1"/>
    <col min="8456" max="8456" width="41" style="259" customWidth="1"/>
    <col min="8457" max="8457" width="140.85546875" style="259" bestFit="1" customWidth="1"/>
    <col min="8458" max="8458" width="140.85546875" style="259" customWidth="1"/>
    <col min="8459" max="8459" width="140.85546875" style="259" bestFit="1" customWidth="1"/>
    <col min="8460" max="8460" width="9.42578125" style="259" bestFit="1" customWidth="1"/>
    <col min="8461" max="8461" width="0" style="259" hidden="1" customWidth="1"/>
    <col min="8462" max="8462" width="14.85546875" style="259" bestFit="1" customWidth="1"/>
    <col min="8463" max="8463" width="28" style="259" customWidth="1"/>
    <col min="8464" max="8464" width="38.28515625" style="259" customWidth="1"/>
    <col min="8465" max="8465" width="9.140625" style="259"/>
    <col min="8466" max="8466" width="30.5703125" style="259" bestFit="1" customWidth="1"/>
    <col min="8467" max="8467" width="9.140625" style="259"/>
    <col min="8468" max="8468" width="16.7109375" style="259" bestFit="1" customWidth="1"/>
    <col min="8469" max="8699" width="9.140625" style="259"/>
    <col min="8700" max="8701" width="4.42578125" style="259" customWidth="1"/>
    <col min="8702" max="8702" width="27.28515625" style="259" customWidth="1"/>
    <col min="8703" max="8704" width="0" style="259" hidden="1" customWidth="1"/>
    <col min="8705" max="8705" width="95.28515625" style="259" customWidth="1"/>
    <col min="8706" max="8706" width="33" style="259" customWidth="1"/>
    <col min="8707" max="8707" width="32.42578125" style="259" customWidth="1"/>
    <col min="8708" max="8708" width="45" style="259" bestFit="1" customWidth="1"/>
    <col min="8709" max="8709" width="0" style="259" hidden="1" customWidth="1"/>
    <col min="8710" max="8710" width="47.7109375" style="259" bestFit="1" customWidth="1"/>
    <col min="8711" max="8711" width="48.42578125" style="259" bestFit="1" customWidth="1"/>
    <col min="8712" max="8712" width="41" style="259" customWidth="1"/>
    <col min="8713" max="8713" width="140.85546875" style="259" bestFit="1" customWidth="1"/>
    <col min="8714" max="8714" width="140.85546875" style="259" customWidth="1"/>
    <col min="8715" max="8715" width="140.85546875" style="259" bestFit="1" customWidth="1"/>
    <col min="8716" max="8716" width="9.42578125" style="259" bestFit="1" customWidth="1"/>
    <col min="8717" max="8717" width="0" style="259" hidden="1" customWidth="1"/>
    <col min="8718" max="8718" width="14.85546875" style="259" bestFit="1" customWidth="1"/>
    <col min="8719" max="8719" width="28" style="259" customWidth="1"/>
    <col min="8720" max="8720" width="38.28515625" style="259" customWidth="1"/>
    <col min="8721" max="8721" width="9.140625" style="259"/>
    <col min="8722" max="8722" width="30.5703125" style="259" bestFit="1" customWidth="1"/>
    <col min="8723" max="8723" width="9.140625" style="259"/>
    <col min="8724" max="8724" width="16.7109375" style="259" bestFit="1" customWidth="1"/>
    <col min="8725" max="8955" width="9.140625" style="259"/>
    <col min="8956" max="8957" width="4.42578125" style="259" customWidth="1"/>
    <col min="8958" max="8958" width="27.28515625" style="259" customWidth="1"/>
    <col min="8959" max="8960" width="0" style="259" hidden="1" customWidth="1"/>
    <col min="8961" max="8961" width="95.28515625" style="259" customWidth="1"/>
    <col min="8962" max="8962" width="33" style="259" customWidth="1"/>
    <col min="8963" max="8963" width="32.42578125" style="259" customWidth="1"/>
    <col min="8964" max="8964" width="45" style="259" bestFit="1" customWidth="1"/>
    <col min="8965" max="8965" width="0" style="259" hidden="1" customWidth="1"/>
    <col min="8966" max="8966" width="47.7109375" style="259" bestFit="1" customWidth="1"/>
    <col min="8967" max="8967" width="48.42578125" style="259" bestFit="1" customWidth="1"/>
    <col min="8968" max="8968" width="41" style="259" customWidth="1"/>
    <col min="8969" max="8969" width="140.85546875" style="259" bestFit="1" customWidth="1"/>
    <col min="8970" max="8970" width="140.85546875" style="259" customWidth="1"/>
    <col min="8971" max="8971" width="140.85546875" style="259" bestFit="1" customWidth="1"/>
    <col min="8972" max="8972" width="9.42578125" style="259" bestFit="1" customWidth="1"/>
    <col min="8973" max="8973" width="0" style="259" hidden="1" customWidth="1"/>
    <col min="8974" max="8974" width="14.85546875" style="259" bestFit="1" customWidth="1"/>
    <col min="8975" max="8975" width="28" style="259" customWidth="1"/>
    <col min="8976" max="8976" width="38.28515625" style="259" customWidth="1"/>
    <col min="8977" max="8977" width="9.140625" style="259"/>
    <col min="8978" max="8978" width="30.5703125" style="259" bestFit="1" customWidth="1"/>
    <col min="8979" max="8979" width="9.140625" style="259"/>
    <col min="8980" max="8980" width="16.7109375" style="259" bestFit="1" customWidth="1"/>
    <col min="8981" max="9211" width="9.140625" style="259"/>
    <col min="9212" max="9213" width="4.42578125" style="259" customWidth="1"/>
    <col min="9214" max="9214" width="27.28515625" style="259" customWidth="1"/>
    <col min="9215" max="9216" width="0" style="259" hidden="1" customWidth="1"/>
    <col min="9217" max="9217" width="95.28515625" style="259" customWidth="1"/>
    <col min="9218" max="9218" width="33" style="259" customWidth="1"/>
    <col min="9219" max="9219" width="32.42578125" style="259" customWidth="1"/>
    <col min="9220" max="9220" width="45" style="259" bestFit="1" customWidth="1"/>
    <col min="9221" max="9221" width="0" style="259" hidden="1" customWidth="1"/>
    <col min="9222" max="9222" width="47.7109375" style="259" bestFit="1" customWidth="1"/>
    <col min="9223" max="9223" width="48.42578125" style="259" bestFit="1" customWidth="1"/>
    <col min="9224" max="9224" width="41" style="259" customWidth="1"/>
    <col min="9225" max="9225" width="140.85546875" style="259" bestFit="1" customWidth="1"/>
    <col min="9226" max="9226" width="140.85546875" style="259" customWidth="1"/>
    <col min="9227" max="9227" width="140.85546875" style="259" bestFit="1" customWidth="1"/>
    <col min="9228" max="9228" width="9.42578125" style="259" bestFit="1" customWidth="1"/>
    <col min="9229" max="9229" width="0" style="259" hidden="1" customWidth="1"/>
    <col min="9230" max="9230" width="14.85546875" style="259" bestFit="1" customWidth="1"/>
    <col min="9231" max="9231" width="28" style="259" customWidth="1"/>
    <col min="9232" max="9232" width="38.28515625" style="259" customWidth="1"/>
    <col min="9233" max="9233" width="9.140625" style="259"/>
    <col min="9234" max="9234" width="30.5703125" style="259" bestFit="1" customWidth="1"/>
    <col min="9235" max="9235" width="9.140625" style="259"/>
    <col min="9236" max="9236" width="16.7109375" style="259" bestFit="1" customWidth="1"/>
    <col min="9237" max="9467" width="9.140625" style="259"/>
    <col min="9468" max="9469" width="4.42578125" style="259" customWidth="1"/>
    <col min="9470" max="9470" width="27.28515625" style="259" customWidth="1"/>
    <col min="9471" max="9472" width="0" style="259" hidden="1" customWidth="1"/>
    <col min="9473" max="9473" width="95.28515625" style="259" customWidth="1"/>
    <col min="9474" max="9474" width="33" style="259" customWidth="1"/>
    <col min="9475" max="9475" width="32.42578125" style="259" customWidth="1"/>
    <col min="9476" max="9476" width="45" style="259" bestFit="1" customWidth="1"/>
    <col min="9477" max="9477" width="0" style="259" hidden="1" customWidth="1"/>
    <col min="9478" max="9478" width="47.7109375" style="259" bestFit="1" customWidth="1"/>
    <col min="9479" max="9479" width="48.42578125" style="259" bestFit="1" customWidth="1"/>
    <col min="9480" max="9480" width="41" style="259" customWidth="1"/>
    <col min="9481" max="9481" width="140.85546875" style="259" bestFit="1" customWidth="1"/>
    <col min="9482" max="9482" width="140.85546875" style="259" customWidth="1"/>
    <col min="9483" max="9483" width="140.85546875" style="259" bestFit="1" customWidth="1"/>
    <col min="9484" max="9484" width="9.42578125" style="259" bestFit="1" customWidth="1"/>
    <col min="9485" max="9485" width="0" style="259" hidden="1" customWidth="1"/>
    <col min="9486" max="9486" width="14.85546875" style="259" bestFit="1" customWidth="1"/>
    <col min="9487" max="9487" width="28" style="259" customWidth="1"/>
    <col min="9488" max="9488" width="38.28515625" style="259" customWidth="1"/>
    <col min="9489" max="9489" width="9.140625" style="259"/>
    <col min="9490" max="9490" width="30.5703125" style="259" bestFit="1" customWidth="1"/>
    <col min="9491" max="9491" width="9.140625" style="259"/>
    <col min="9492" max="9492" width="16.7109375" style="259" bestFit="1" customWidth="1"/>
    <col min="9493" max="9723" width="9.140625" style="259"/>
    <col min="9724" max="9725" width="4.42578125" style="259" customWidth="1"/>
    <col min="9726" max="9726" width="27.28515625" style="259" customWidth="1"/>
    <col min="9727" max="9728" width="0" style="259" hidden="1" customWidth="1"/>
    <col min="9729" max="9729" width="95.28515625" style="259" customWidth="1"/>
    <col min="9730" max="9730" width="33" style="259" customWidth="1"/>
    <col min="9731" max="9731" width="32.42578125" style="259" customWidth="1"/>
    <col min="9732" max="9732" width="45" style="259" bestFit="1" customWidth="1"/>
    <col min="9733" max="9733" width="0" style="259" hidden="1" customWidth="1"/>
    <col min="9734" max="9734" width="47.7109375" style="259" bestFit="1" customWidth="1"/>
    <col min="9735" max="9735" width="48.42578125" style="259" bestFit="1" customWidth="1"/>
    <col min="9736" max="9736" width="41" style="259" customWidth="1"/>
    <col min="9737" max="9737" width="140.85546875" style="259" bestFit="1" customWidth="1"/>
    <col min="9738" max="9738" width="140.85546875" style="259" customWidth="1"/>
    <col min="9739" max="9739" width="140.85546875" style="259" bestFit="1" customWidth="1"/>
    <col min="9740" max="9740" width="9.42578125" style="259" bestFit="1" customWidth="1"/>
    <col min="9741" max="9741" width="0" style="259" hidden="1" customWidth="1"/>
    <col min="9742" max="9742" width="14.85546875" style="259" bestFit="1" customWidth="1"/>
    <col min="9743" max="9743" width="28" style="259" customWidth="1"/>
    <col min="9744" max="9744" width="38.28515625" style="259" customWidth="1"/>
    <col min="9745" max="9745" width="9.140625" style="259"/>
    <col min="9746" max="9746" width="30.5703125" style="259" bestFit="1" customWidth="1"/>
    <col min="9747" max="9747" width="9.140625" style="259"/>
    <col min="9748" max="9748" width="16.7109375" style="259" bestFit="1" customWidth="1"/>
    <col min="9749" max="9979" width="9.140625" style="259"/>
    <col min="9980" max="9981" width="4.42578125" style="259" customWidth="1"/>
    <col min="9982" max="9982" width="27.28515625" style="259" customWidth="1"/>
    <col min="9983" max="9984" width="0" style="259" hidden="1" customWidth="1"/>
    <col min="9985" max="9985" width="95.28515625" style="259" customWidth="1"/>
    <col min="9986" max="9986" width="33" style="259" customWidth="1"/>
    <col min="9987" max="9987" width="32.42578125" style="259" customWidth="1"/>
    <col min="9988" max="9988" width="45" style="259" bestFit="1" customWidth="1"/>
    <col min="9989" max="9989" width="0" style="259" hidden="1" customWidth="1"/>
    <col min="9990" max="9990" width="47.7109375" style="259" bestFit="1" customWidth="1"/>
    <col min="9991" max="9991" width="48.42578125" style="259" bestFit="1" customWidth="1"/>
    <col min="9992" max="9992" width="41" style="259" customWidth="1"/>
    <col min="9993" max="9993" width="140.85546875" style="259" bestFit="1" customWidth="1"/>
    <col min="9994" max="9994" width="140.85546875" style="259" customWidth="1"/>
    <col min="9995" max="9995" width="140.85546875" style="259" bestFit="1" customWidth="1"/>
    <col min="9996" max="9996" width="9.42578125" style="259" bestFit="1" customWidth="1"/>
    <col min="9997" max="9997" width="0" style="259" hidden="1" customWidth="1"/>
    <col min="9998" max="9998" width="14.85546875" style="259" bestFit="1" customWidth="1"/>
    <col min="9999" max="9999" width="28" style="259" customWidth="1"/>
    <col min="10000" max="10000" width="38.28515625" style="259" customWidth="1"/>
    <col min="10001" max="10001" width="9.140625" style="259"/>
    <col min="10002" max="10002" width="30.5703125" style="259" bestFit="1" customWidth="1"/>
    <col min="10003" max="10003" width="9.140625" style="259"/>
    <col min="10004" max="10004" width="16.7109375" style="259" bestFit="1" customWidth="1"/>
    <col min="10005" max="10235" width="9.140625" style="259"/>
    <col min="10236" max="10237" width="4.42578125" style="259" customWidth="1"/>
    <col min="10238" max="10238" width="27.28515625" style="259" customWidth="1"/>
    <col min="10239" max="10240" width="0" style="259" hidden="1" customWidth="1"/>
    <col min="10241" max="10241" width="95.28515625" style="259" customWidth="1"/>
    <col min="10242" max="10242" width="33" style="259" customWidth="1"/>
    <col min="10243" max="10243" width="32.42578125" style="259" customWidth="1"/>
    <col min="10244" max="10244" width="45" style="259" bestFit="1" customWidth="1"/>
    <col min="10245" max="10245" width="0" style="259" hidden="1" customWidth="1"/>
    <col min="10246" max="10246" width="47.7109375" style="259" bestFit="1" customWidth="1"/>
    <col min="10247" max="10247" width="48.42578125" style="259" bestFit="1" customWidth="1"/>
    <col min="10248" max="10248" width="41" style="259" customWidth="1"/>
    <col min="10249" max="10249" width="140.85546875" style="259" bestFit="1" customWidth="1"/>
    <col min="10250" max="10250" width="140.85546875" style="259" customWidth="1"/>
    <col min="10251" max="10251" width="140.85546875" style="259" bestFit="1" customWidth="1"/>
    <col min="10252" max="10252" width="9.42578125" style="259" bestFit="1" customWidth="1"/>
    <col min="10253" max="10253" width="0" style="259" hidden="1" customWidth="1"/>
    <col min="10254" max="10254" width="14.85546875" style="259" bestFit="1" customWidth="1"/>
    <col min="10255" max="10255" width="28" style="259" customWidth="1"/>
    <col min="10256" max="10256" width="38.28515625" style="259" customWidth="1"/>
    <col min="10257" max="10257" width="9.140625" style="259"/>
    <col min="10258" max="10258" width="30.5703125" style="259" bestFit="1" customWidth="1"/>
    <col min="10259" max="10259" width="9.140625" style="259"/>
    <col min="10260" max="10260" width="16.7109375" style="259" bestFit="1" customWidth="1"/>
    <col min="10261" max="10491" width="9.140625" style="259"/>
    <col min="10492" max="10493" width="4.42578125" style="259" customWidth="1"/>
    <col min="10494" max="10494" width="27.28515625" style="259" customWidth="1"/>
    <col min="10495" max="10496" width="0" style="259" hidden="1" customWidth="1"/>
    <col min="10497" max="10497" width="95.28515625" style="259" customWidth="1"/>
    <col min="10498" max="10498" width="33" style="259" customWidth="1"/>
    <col min="10499" max="10499" width="32.42578125" style="259" customWidth="1"/>
    <col min="10500" max="10500" width="45" style="259" bestFit="1" customWidth="1"/>
    <col min="10501" max="10501" width="0" style="259" hidden="1" customWidth="1"/>
    <col min="10502" max="10502" width="47.7109375" style="259" bestFit="1" customWidth="1"/>
    <col min="10503" max="10503" width="48.42578125" style="259" bestFit="1" customWidth="1"/>
    <col min="10504" max="10504" width="41" style="259" customWidth="1"/>
    <col min="10505" max="10505" width="140.85546875" style="259" bestFit="1" customWidth="1"/>
    <col min="10506" max="10506" width="140.85546875" style="259" customWidth="1"/>
    <col min="10507" max="10507" width="140.85546875" style="259" bestFit="1" customWidth="1"/>
    <col min="10508" max="10508" width="9.42578125" style="259" bestFit="1" customWidth="1"/>
    <col min="10509" max="10509" width="0" style="259" hidden="1" customWidth="1"/>
    <col min="10510" max="10510" width="14.85546875" style="259" bestFit="1" customWidth="1"/>
    <col min="10511" max="10511" width="28" style="259" customWidth="1"/>
    <col min="10512" max="10512" width="38.28515625" style="259" customWidth="1"/>
    <col min="10513" max="10513" width="9.140625" style="259"/>
    <col min="10514" max="10514" width="30.5703125" style="259" bestFit="1" customWidth="1"/>
    <col min="10515" max="10515" width="9.140625" style="259"/>
    <col min="10516" max="10516" width="16.7109375" style="259" bestFit="1" customWidth="1"/>
    <col min="10517" max="10747" width="9.140625" style="259"/>
    <col min="10748" max="10749" width="4.42578125" style="259" customWidth="1"/>
    <col min="10750" max="10750" width="27.28515625" style="259" customWidth="1"/>
    <col min="10751" max="10752" width="0" style="259" hidden="1" customWidth="1"/>
    <col min="10753" max="10753" width="95.28515625" style="259" customWidth="1"/>
    <col min="10754" max="10754" width="33" style="259" customWidth="1"/>
    <col min="10755" max="10755" width="32.42578125" style="259" customWidth="1"/>
    <col min="10756" max="10756" width="45" style="259" bestFit="1" customWidth="1"/>
    <col min="10757" max="10757" width="0" style="259" hidden="1" customWidth="1"/>
    <col min="10758" max="10758" width="47.7109375" style="259" bestFit="1" customWidth="1"/>
    <col min="10759" max="10759" width="48.42578125" style="259" bestFit="1" customWidth="1"/>
    <col min="10760" max="10760" width="41" style="259" customWidth="1"/>
    <col min="10761" max="10761" width="140.85546875" style="259" bestFit="1" customWidth="1"/>
    <col min="10762" max="10762" width="140.85546875" style="259" customWidth="1"/>
    <col min="10763" max="10763" width="140.85546875" style="259" bestFit="1" customWidth="1"/>
    <col min="10764" max="10764" width="9.42578125" style="259" bestFit="1" customWidth="1"/>
    <col min="10765" max="10765" width="0" style="259" hidden="1" customWidth="1"/>
    <col min="10766" max="10766" width="14.85546875" style="259" bestFit="1" customWidth="1"/>
    <col min="10767" max="10767" width="28" style="259" customWidth="1"/>
    <col min="10768" max="10768" width="38.28515625" style="259" customWidth="1"/>
    <col min="10769" max="10769" width="9.140625" style="259"/>
    <col min="10770" max="10770" width="30.5703125" style="259" bestFit="1" customWidth="1"/>
    <col min="10771" max="10771" width="9.140625" style="259"/>
    <col min="10772" max="10772" width="16.7109375" style="259" bestFit="1" customWidth="1"/>
    <col min="10773" max="11003" width="9.140625" style="259"/>
    <col min="11004" max="11005" width="4.42578125" style="259" customWidth="1"/>
    <col min="11006" max="11006" width="27.28515625" style="259" customWidth="1"/>
    <col min="11007" max="11008" width="0" style="259" hidden="1" customWidth="1"/>
    <col min="11009" max="11009" width="95.28515625" style="259" customWidth="1"/>
    <col min="11010" max="11010" width="33" style="259" customWidth="1"/>
    <col min="11011" max="11011" width="32.42578125" style="259" customWidth="1"/>
    <col min="11012" max="11012" width="45" style="259" bestFit="1" customWidth="1"/>
    <col min="11013" max="11013" width="0" style="259" hidden="1" customWidth="1"/>
    <col min="11014" max="11014" width="47.7109375" style="259" bestFit="1" customWidth="1"/>
    <col min="11015" max="11015" width="48.42578125" style="259" bestFit="1" customWidth="1"/>
    <col min="11016" max="11016" width="41" style="259" customWidth="1"/>
    <col min="11017" max="11017" width="140.85546875" style="259" bestFit="1" customWidth="1"/>
    <col min="11018" max="11018" width="140.85546875" style="259" customWidth="1"/>
    <col min="11019" max="11019" width="140.85546875" style="259" bestFit="1" customWidth="1"/>
    <col min="11020" max="11020" width="9.42578125" style="259" bestFit="1" customWidth="1"/>
    <col min="11021" max="11021" width="0" style="259" hidden="1" customWidth="1"/>
    <col min="11022" max="11022" width="14.85546875" style="259" bestFit="1" customWidth="1"/>
    <col min="11023" max="11023" width="28" style="259" customWidth="1"/>
    <col min="11024" max="11024" width="38.28515625" style="259" customWidth="1"/>
    <col min="11025" max="11025" width="9.140625" style="259"/>
    <col min="11026" max="11026" width="30.5703125" style="259" bestFit="1" customWidth="1"/>
    <col min="11027" max="11027" width="9.140625" style="259"/>
    <col min="11028" max="11028" width="16.7109375" style="259" bestFit="1" customWidth="1"/>
    <col min="11029" max="11259" width="9.140625" style="259"/>
    <col min="11260" max="11261" width="4.42578125" style="259" customWidth="1"/>
    <col min="11262" max="11262" width="27.28515625" style="259" customWidth="1"/>
    <col min="11263" max="11264" width="0" style="259" hidden="1" customWidth="1"/>
    <col min="11265" max="11265" width="95.28515625" style="259" customWidth="1"/>
    <col min="11266" max="11266" width="33" style="259" customWidth="1"/>
    <col min="11267" max="11267" width="32.42578125" style="259" customWidth="1"/>
    <col min="11268" max="11268" width="45" style="259" bestFit="1" customWidth="1"/>
    <col min="11269" max="11269" width="0" style="259" hidden="1" customWidth="1"/>
    <col min="11270" max="11270" width="47.7109375" style="259" bestFit="1" customWidth="1"/>
    <col min="11271" max="11271" width="48.42578125" style="259" bestFit="1" customWidth="1"/>
    <col min="11272" max="11272" width="41" style="259" customWidth="1"/>
    <col min="11273" max="11273" width="140.85546875" style="259" bestFit="1" customWidth="1"/>
    <col min="11274" max="11274" width="140.85546875" style="259" customWidth="1"/>
    <col min="11275" max="11275" width="140.85546875" style="259" bestFit="1" customWidth="1"/>
    <col min="11276" max="11276" width="9.42578125" style="259" bestFit="1" customWidth="1"/>
    <col min="11277" max="11277" width="0" style="259" hidden="1" customWidth="1"/>
    <col min="11278" max="11278" width="14.85546875" style="259" bestFit="1" customWidth="1"/>
    <col min="11279" max="11279" width="28" style="259" customWidth="1"/>
    <col min="11280" max="11280" width="38.28515625" style="259" customWidth="1"/>
    <col min="11281" max="11281" width="9.140625" style="259"/>
    <col min="11282" max="11282" width="30.5703125" style="259" bestFit="1" customWidth="1"/>
    <col min="11283" max="11283" width="9.140625" style="259"/>
    <col min="11284" max="11284" width="16.7109375" style="259" bestFit="1" customWidth="1"/>
    <col min="11285" max="11515" width="9.140625" style="259"/>
    <col min="11516" max="11517" width="4.42578125" style="259" customWidth="1"/>
    <col min="11518" max="11518" width="27.28515625" style="259" customWidth="1"/>
    <col min="11519" max="11520" width="0" style="259" hidden="1" customWidth="1"/>
    <col min="11521" max="11521" width="95.28515625" style="259" customWidth="1"/>
    <col min="11522" max="11522" width="33" style="259" customWidth="1"/>
    <col min="11523" max="11523" width="32.42578125" style="259" customWidth="1"/>
    <col min="11524" max="11524" width="45" style="259" bestFit="1" customWidth="1"/>
    <col min="11525" max="11525" width="0" style="259" hidden="1" customWidth="1"/>
    <col min="11526" max="11526" width="47.7109375" style="259" bestFit="1" customWidth="1"/>
    <col min="11527" max="11527" width="48.42578125" style="259" bestFit="1" customWidth="1"/>
    <col min="11528" max="11528" width="41" style="259" customWidth="1"/>
    <col min="11529" max="11529" width="140.85546875" style="259" bestFit="1" customWidth="1"/>
    <col min="11530" max="11530" width="140.85546875" style="259" customWidth="1"/>
    <col min="11531" max="11531" width="140.85546875" style="259" bestFit="1" customWidth="1"/>
    <col min="11532" max="11532" width="9.42578125" style="259" bestFit="1" customWidth="1"/>
    <col min="11533" max="11533" width="0" style="259" hidden="1" customWidth="1"/>
    <col min="11534" max="11534" width="14.85546875" style="259" bestFit="1" customWidth="1"/>
    <col min="11535" max="11535" width="28" style="259" customWidth="1"/>
    <col min="11536" max="11536" width="38.28515625" style="259" customWidth="1"/>
    <col min="11537" max="11537" width="9.140625" style="259"/>
    <col min="11538" max="11538" width="30.5703125" style="259" bestFit="1" customWidth="1"/>
    <col min="11539" max="11539" width="9.140625" style="259"/>
    <col min="11540" max="11540" width="16.7109375" style="259" bestFit="1" customWidth="1"/>
    <col min="11541" max="11771" width="9.140625" style="259"/>
    <col min="11772" max="11773" width="4.42578125" style="259" customWidth="1"/>
    <col min="11774" max="11774" width="27.28515625" style="259" customWidth="1"/>
    <col min="11775" max="11776" width="0" style="259" hidden="1" customWidth="1"/>
    <col min="11777" max="11777" width="95.28515625" style="259" customWidth="1"/>
    <col min="11778" max="11778" width="33" style="259" customWidth="1"/>
    <col min="11779" max="11779" width="32.42578125" style="259" customWidth="1"/>
    <col min="11780" max="11780" width="45" style="259" bestFit="1" customWidth="1"/>
    <col min="11781" max="11781" width="0" style="259" hidden="1" customWidth="1"/>
    <col min="11782" max="11782" width="47.7109375" style="259" bestFit="1" customWidth="1"/>
    <col min="11783" max="11783" width="48.42578125" style="259" bestFit="1" customWidth="1"/>
    <col min="11784" max="11784" width="41" style="259" customWidth="1"/>
    <col min="11785" max="11785" width="140.85546875" style="259" bestFit="1" customWidth="1"/>
    <col min="11786" max="11786" width="140.85546875" style="259" customWidth="1"/>
    <col min="11787" max="11787" width="140.85546875" style="259" bestFit="1" customWidth="1"/>
    <col min="11788" max="11788" width="9.42578125" style="259" bestFit="1" customWidth="1"/>
    <col min="11789" max="11789" width="0" style="259" hidden="1" customWidth="1"/>
    <col min="11790" max="11790" width="14.85546875" style="259" bestFit="1" customWidth="1"/>
    <col min="11791" max="11791" width="28" style="259" customWidth="1"/>
    <col min="11792" max="11792" width="38.28515625" style="259" customWidth="1"/>
    <col min="11793" max="11793" width="9.140625" style="259"/>
    <col min="11794" max="11794" width="30.5703125" style="259" bestFit="1" customWidth="1"/>
    <col min="11795" max="11795" width="9.140625" style="259"/>
    <col min="11796" max="11796" width="16.7109375" style="259" bestFit="1" customWidth="1"/>
    <col min="11797" max="12027" width="9.140625" style="259"/>
    <col min="12028" max="12029" width="4.42578125" style="259" customWidth="1"/>
    <col min="12030" max="12030" width="27.28515625" style="259" customWidth="1"/>
    <col min="12031" max="12032" width="0" style="259" hidden="1" customWidth="1"/>
    <col min="12033" max="12033" width="95.28515625" style="259" customWidth="1"/>
    <col min="12034" max="12034" width="33" style="259" customWidth="1"/>
    <col min="12035" max="12035" width="32.42578125" style="259" customWidth="1"/>
    <col min="12036" max="12036" width="45" style="259" bestFit="1" customWidth="1"/>
    <col min="12037" max="12037" width="0" style="259" hidden="1" customWidth="1"/>
    <col min="12038" max="12038" width="47.7109375" style="259" bestFit="1" customWidth="1"/>
    <col min="12039" max="12039" width="48.42578125" style="259" bestFit="1" customWidth="1"/>
    <col min="12040" max="12040" width="41" style="259" customWidth="1"/>
    <col min="12041" max="12041" width="140.85546875" style="259" bestFit="1" customWidth="1"/>
    <col min="12042" max="12042" width="140.85546875" style="259" customWidth="1"/>
    <col min="12043" max="12043" width="140.85546875" style="259" bestFit="1" customWidth="1"/>
    <col min="12044" max="12044" width="9.42578125" style="259" bestFit="1" customWidth="1"/>
    <col min="12045" max="12045" width="0" style="259" hidden="1" customWidth="1"/>
    <col min="12046" max="12046" width="14.85546875" style="259" bestFit="1" customWidth="1"/>
    <col min="12047" max="12047" width="28" style="259" customWidth="1"/>
    <col min="12048" max="12048" width="38.28515625" style="259" customWidth="1"/>
    <col min="12049" max="12049" width="9.140625" style="259"/>
    <col min="12050" max="12050" width="30.5703125" style="259" bestFit="1" customWidth="1"/>
    <col min="12051" max="12051" width="9.140625" style="259"/>
    <col min="12052" max="12052" width="16.7109375" style="259" bestFit="1" customWidth="1"/>
    <col min="12053" max="12283" width="9.140625" style="259"/>
    <col min="12284" max="12285" width="4.42578125" style="259" customWidth="1"/>
    <col min="12286" max="12286" width="27.28515625" style="259" customWidth="1"/>
    <col min="12287" max="12288" width="0" style="259" hidden="1" customWidth="1"/>
    <col min="12289" max="12289" width="95.28515625" style="259" customWidth="1"/>
    <col min="12290" max="12290" width="33" style="259" customWidth="1"/>
    <col min="12291" max="12291" width="32.42578125" style="259" customWidth="1"/>
    <col min="12292" max="12292" width="45" style="259" bestFit="1" customWidth="1"/>
    <col min="12293" max="12293" width="0" style="259" hidden="1" customWidth="1"/>
    <col min="12294" max="12294" width="47.7109375" style="259" bestFit="1" customWidth="1"/>
    <col min="12295" max="12295" width="48.42578125" style="259" bestFit="1" customWidth="1"/>
    <col min="12296" max="12296" width="41" style="259" customWidth="1"/>
    <col min="12297" max="12297" width="140.85546875" style="259" bestFit="1" customWidth="1"/>
    <col min="12298" max="12298" width="140.85546875" style="259" customWidth="1"/>
    <col min="12299" max="12299" width="140.85546875" style="259" bestFit="1" customWidth="1"/>
    <col min="12300" max="12300" width="9.42578125" style="259" bestFit="1" customWidth="1"/>
    <col min="12301" max="12301" width="0" style="259" hidden="1" customWidth="1"/>
    <col min="12302" max="12302" width="14.85546875" style="259" bestFit="1" customWidth="1"/>
    <col min="12303" max="12303" width="28" style="259" customWidth="1"/>
    <col min="12304" max="12304" width="38.28515625" style="259" customWidth="1"/>
    <col min="12305" max="12305" width="9.140625" style="259"/>
    <col min="12306" max="12306" width="30.5703125" style="259" bestFit="1" customWidth="1"/>
    <col min="12307" max="12307" width="9.140625" style="259"/>
    <col min="12308" max="12308" width="16.7109375" style="259" bestFit="1" customWidth="1"/>
    <col min="12309" max="12539" width="9.140625" style="259"/>
    <col min="12540" max="12541" width="4.42578125" style="259" customWidth="1"/>
    <col min="12542" max="12542" width="27.28515625" style="259" customWidth="1"/>
    <col min="12543" max="12544" width="0" style="259" hidden="1" customWidth="1"/>
    <col min="12545" max="12545" width="95.28515625" style="259" customWidth="1"/>
    <col min="12546" max="12546" width="33" style="259" customWidth="1"/>
    <col min="12547" max="12547" width="32.42578125" style="259" customWidth="1"/>
    <col min="12548" max="12548" width="45" style="259" bestFit="1" customWidth="1"/>
    <col min="12549" max="12549" width="0" style="259" hidden="1" customWidth="1"/>
    <col min="12550" max="12550" width="47.7109375" style="259" bestFit="1" customWidth="1"/>
    <col min="12551" max="12551" width="48.42578125" style="259" bestFit="1" customWidth="1"/>
    <col min="12552" max="12552" width="41" style="259" customWidth="1"/>
    <col min="12553" max="12553" width="140.85546875" style="259" bestFit="1" customWidth="1"/>
    <col min="12554" max="12554" width="140.85546875" style="259" customWidth="1"/>
    <col min="12555" max="12555" width="140.85546875" style="259" bestFit="1" customWidth="1"/>
    <col min="12556" max="12556" width="9.42578125" style="259" bestFit="1" customWidth="1"/>
    <col min="12557" max="12557" width="0" style="259" hidden="1" customWidth="1"/>
    <col min="12558" max="12558" width="14.85546875" style="259" bestFit="1" customWidth="1"/>
    <col min="12559" max="12559" width="28" style="259" customWidth="1"/>
    <col min="12560" max="12560" width="38.28515625" style="259" customWidth="1"/>
    <col min="12561" max="12561" width="9.140625" style="259"/>
    <col min="12562" max="12562" width="30.5703125" style="259" bestFit="1" customWidth="1"/>
    <col min="12563" max="12563" width="9.140625" style="259"/>
    <col min="12564" max="12564" width="16.7109375" style="259" bestFit="1" customWidth="1"/>
    <col min="12565" max="12795" width="9.140625" style="259"/>
    <col min="12796" max="12797" width="4.42578125" style="259" customWidth="1"/>
    <col min="12798" max="12798" width="27.28515625" style="259" customWidth="1"/>
    <col min="12799" max="12800" width="0" style="259" hidden="1" customWidth="1"/>
    <col min="12801" max="12801" width="95.28515625" style="259" customWidth="1"/>
    <col min="12802" max="12802" width="33" style="259" customWidth="1"/>
    <col min="12803" max="12803" width="32.42578125" style="259" customWidth="1"/>
    <col min="12804" max="12804" width="45" style="259" bestFit="1" customWidth="1"/>
    <col min="12805" max="12805" width="0" style="259" hidden="1" customWidth="1"/>
    <col min="12806" max="12806" width="47.7109375" style="259" bestFit="1" customWidth="1"/>
    <col min="12807" max="12807" width="48.42578125" style="259" bestFit="1" customWidth="1"/>
    <col min="12808" max="12808" width="41" style="259" customWidth="1"/>
    <col min="12809" max="12809" width="140.85546875" style="259" bestFit="1" customWidth="1"/>
    <col min="12810" max="12810" width="140.85546875" style="259" customWidth="1"/>
    <col min="12811" max="12811" width="140.85546875" style="259" bestFit="1" customWidth="1"/>
    <col min="12812" max="12812" width="9.42578125" style="259" bestFit="1" customWidth="1"/>
    <col min="12813" max="12813" width="0" style="259" hidden="1" customWidth="1"/>
    <col min="12814" max="12814" width="14.85546875" style="259" bestFit="1" customWidth="1"/>
    <col min="12815" max="12815" width="28" style="259" customWidth="1"/>
    <col min="12816" max="12816" width="38.28515625" style="259" customWidth="1"/>
    <col min="12817" max="12817" width="9.140625" style="259"/>
    <col min="12818" max="12818" width="30.5703125" style="259" bestFit="1" customWidth="1"/>
    <col min="12819" max="12819" width="9.140625" style="259"/>
    <col min="12820" max="12820" width="16.7109375" style="259" bestFit="1" customWidth="1"/>
    <col min="12821" max="13051" width="9.140625" style="259"/>
    <col min="13052" max="13053" width="4.42578125" style="259" customWidth="1"/>
    <col min="13054" max="13054" width="27.28515625" style="259" customWidth="1"/>
    <col min="13055" max="13056" width="0" style="259" hidden="1" customWidth="1"/>
    <col min="13057" max="13057" width="95.28515625" style="259" customWidth="1"/>
    <col min="13058" max="13058" width="33" style="259" customWidth="1"/>
    <col min="13059" max="13059" width="32.42578125" style="259" customWidth="1"/>
    <col min="13060" max="13060" width="45" style="259" bestFit="1" customWidth="1"/>
    <col min="13061" max="13061" width="0" style="259" hidden="1" customWidth="1"/>
    <col min="13062" max="13062" width="47.7109375" style="259" bestFit="1" customWidth="1"/>
    <col min="13063" max="13063" width="48.42578125" style="259" bestFit="1" customWidth="1"/>
    <col min="13064" max="13064" width="41" style="259" customWidth="1"/>
    <col min="13065" max="13065" width="140.85546875" style="259" bestFit="1" customWidth="1"/>
    <col min="13066" max="13066" width="140.85546875" style="259" customWidth="1"/>
    <col min="13067" max="13067" width="140.85546875" style="259" bestFit="1" customWidth="1"/>
    <col min="13068" max="13068" width="9.42578125" style="259" bestFit="1" customWidth="1"/>
    <col min="13069" max="13069" width="0" style="259" hidden="1" customWidth="1"/>
    <col min="13070" max="13070" width="14.85546875" style="259" bestFit="1" customWidth="1"/>
    <col min="13071" max="13071" width="28" style="259" customWidth="1"/>
    <col min="13072" max="13072" width="38.28515625" style="259" customWidth="1"/>
    <col min="13073" max="13073" width="9.140625" style="259"/>
    <col min="13074" max="13074" width="30.5703125" style="259" bestFit="1" customWidth="1"/>
    <col min="13075" max="13075" width="9.140625" style="259"/>
    <col min="13076" max="13076" width="16.7109375" style="259" bestFit="1" customWidth="1"/>
    <col min="13077" max="13307" width="9.140625" style="259"/>
    <col min="13308" max="13309" width="4.42578125" style="259" customWidth="1"/>
    <col min="13310" max="13310" width="27.28515625" style="259" customWidth="1"/>
    <col min="13311" max="13312" width="0" style="259" hidden="1" customWidth="1"/>
    <col min="13313" max="13313" width="95.28515625" style="259" customWidth="1"/>
    <col min="13314" max="13314" width="33" style="259" customWidth="1"/>
    <col min="13315" max="13315" width="32.42578125" style="259" customWidth="1"/>
    <col min="13316" max="13316" width="45" style="259" bestFit="1" customWidth="1"/>
    <col min="13317" max="13317" width="0" style="259" hidden="1" customWidth="1"/>
    <col min="13318" max="13318" width="47.7109375" style="259" bestFit="1" customWidth="1"/>
    <col min="13319" max="13319" width="48.42578125" style="259" bestFit="1" customWidth="1"/>
    <col min="13320" max="13320" width="41" style="259" customWidth="1"/>
    <col min="13321" max="13321" width="140.85546875" style="259" bestFit="1" customWidth="1"/>
    <col min="13322" max="13322" width="140.85546875" style="259" customWidth="1"/>
    <col min="13323" max="13323" width="140.85546875" style="259" bestFit="1" customWidth="1"/>
    <col min="13324" max="13324" width="9.42578125" style="259" bestFit="1" customWidth="1"/>
    <col min="13325" max="13325" width="0" style="259" hidden="1" customWidth="1"/>
    <col min="13326" max="13326" width="14.85546875" style="259" bestFit="1" customWidth="1"/>
    <col min="13327" max="13327" width="28" style="259" customWidth="1"/>
    <col min="13328" max="13328" width="38.28515625" style="259" customWidth="1"/>
    <col min="13329" max="13329" width="9.140625" style="259"/>
    <col min="13330" max="13330" width="30.5703125" style="259" bestFit="1" customWidth="1"/>
    <col min="13331" max="13331" width="9.140625" style="259"/>
    <col min="13332" max="13332" width="16.7109375" style="259" bestFit="1" customWidth="1"/>
    <col min="13333" max="13563" width="9.140625" style="259"/>
    <col min="13564" max="13565" width="4.42578125" style="259" customWidth="1"/>
    <col min="13566" max="13566" width="27.28515625" style="259" customWidth="1"/>
    <col min="13567" max="13568" width="0" style="259" hidden="1" customWidth="1"/>
    <col min="13569" max="13569" width="95.28515625" style="259" customWidth="1"/>
    <col min="13570" max="13570" width="33" style="259" customWidth="1"/>
    <col min="13571" max="13571" width="32.42578125" style="259" customWidth="1"/>
    <col min="13572" max="13572" width="45" style="259" bestFit="1" customWidth="1"/>
    <col min="13573" max="13573" width="0" style="259" hidden="1" customWidth="1"/>
    <col min="13574" max="13574" width="47.7109375" style="259" bestFit="1" customWidth="1"/>
    <col min="13575" max="13575" width="48.42578125" style="259" bestFit="1" customWidth="1"/>
    <col min="13576" max="13576" width="41" style="259" customWidth="1"/>
    <col min="13577" max="13577" width="140.85546875" style="259" bestFit="1" customWidth="1"/>
    <col min="13578" max="13578" width="140.85546875" style="259" customWidth="1"/>
    <col min="13579" max="13579" width="140.85546875" style="259" bestFit="1" customWidth="1"/>
    <col min="13580" max="13580" width="9.42578125" style="259" bestFit="1" customWidth="1"/>
    <col min="13581" max="13581" width="0" style="259" hidden="1" customWidth="1"/>
    <col min="13582" max="13582" width="14.85546875" style="259" bestFit="1" customWidth="1"/>
    <col min="13583" max="13583" width="28" style="259" customWidth="1"/>
    <col min="13584" max="13584" width="38.28515625" style="259" customWidth="1"/>
    <col min="13585" max="13585" width="9.140625" style="259"/>
    <col min="13586" max="13586" width="30.5703125" style="259" bestFit="1" customWidth="1"/>
    <col min="13587" max="13587" width="9.140625" style="259"/>
    <col min="13588" max="13588" width="16.7109375" style="259" bestFit="1" customWidth="1"/>
    <col min="13589" max="13819" width="9.140625" style="259"/>
    <col min="13820" max="13821" width="4.42578125" style="259" customWidth="1"/>
    <col min="13822" max="13822" width="27.28515625" style="259" customWidth="1"/>
    <col min="13823" max="13824" width="0" style="259" hidden="1" customWidth="1"/>
    <col min="13825" max="13825" width="95.28515625" style="259" customWidth="1"/>
    <col min="13826" max="13826" width="33" style="259" customWidth="1"/>
    <col min="13827" max="13827" width="32.42578125" style="259" customWidth="1"/>
    <col min="13828" max="13828" width="45" style="259" bestFit="1" customWidth="1"/>
    <col min="13829" max="13829" width="0" style="259" hidden="1" customWidth="1"/>
    <col min="13830" max="13830" width="47.7109375" style="259" bestFit="1" customWidth="1"/>
    <col min="13831" max="13831" width="48.42578125" style="259" bestFit="1" customWidth="1"/>
    <col min="13832" max="13832" width="41" style="259" customWidth="1"/>
    <col min="13833" max="13833" width="140.85546875" style="259" bestFit="1" customWidth="1"/>
    <col min="13834" max="13834" width="140.85546875" style="259" customWidth="1"/>
    <col min="13835" max="13835" width="140.85546875" style="259" bestFit="1" customWidth="1"/>
    <col min="13836" max="13836" width="9.42578125" style="259" bestFit="1" customWidth="1"/>
    <col min="13837" max="13837" width="0" style="259" hidden="1" customWidth="1"/>
    <col min="13838" max="13838" width="14.85546875" style="259" bestFit="1" customWidth="1"/>
    <col min="13839" max="13839" width="28" style="259" customWidth="1"/>
    <col min="13840" max="13840" width="38.28515625" style="259" customWidth="1"/>
    <col min="13841" max="13841" width="9.140625" style="259"/>
    <col min="13842" max="13842" width="30.5703125" style="259" bestFit="1" customWidth="1"/>
    <col min="13843" max="13843" width="9.140625" style="259"/>
    <col min="13844" max="13844" width="16.7109375" style="259" bestFit="1" customWidth="1"/>
    <col min="13845" max="14075" width="9.140625" style="259"/>
    <col min="14076" max="14077" width="4.42578125" style="259" customWidth="1"/>
    <col min="14078" max="14078" width="27.28515625" style="259" customWidth="1"/>
    <col min="14079" max="14080" width="0" style="259" hidden="1" customWidth="1"/>
    <col min="14081" max="14081" width="95.28515625" style="259" customWidth="1"/>
    <col min="14082" max="14082" width="33" style="259" customWidth="1"/>
    <col min="14083" max="14083" width="32.42578125" style="259" customWidth="1"/>
    <col min="14084" max="14084" width="45" style="259" bestFit="1" customWidth="1"/>
    <col min="14085" max="14085" width="0" style="259" hidden="1" customWidth="1"/>
    <col min="14086" max="14086" width="47.7109375" style="259" bestFit="1" customWidth="1"/>
    <col min="14087" max="14087" width="48.42578125" style="259" bestFit="1" customWidth="1"/>
    <col min="14088" max="14088" width="41" style="259" customWidth="1"/>
    <col min="14089" max="14089" width="140.85546875" style="259" bestFit="1" customWidth="1"/>
    <col min="14090" max="14090" width="140.85546875" style="259" customWidth="1"/>
    <col min="14091" max="14091" width="140.85546875" style="259" bestFit="1" customWidth="1"/>
    <col min="14092" max="14092" width="9.42578125" style="259" bestFit="1" customWidth="1"/>
    <col min="14093" max="14093" width="0" style="259" hidden="1" customWidth="1"/>
    <col min="14094" max="14094" width="14.85546875" style="259" bestFit="1" customWidth="1"/>
    <col min="14095" max="14095" width="28" style="259" customWidth="1"/>
    <col min="14096" max="14096" width="38.28515625" style="259" customWidth="1"/>
    <col min="14097" max="14097" width="9.140625" style="259"/>
    <col min="14098" max="14098" width="30.5703125" style="259" bestFit="1" customWidth="1"/>
    <col min="14099" max="14099" width="9.140625" style="259"/>
    <col min="14100" max="14100" width="16.7109375" style="259" bestFit="1" customWidth="1"/>
    <col min="14101" max="14331" width="9.140625" style="259"/>
    <col min="14332" max="14333" width="4.42578125" style="259" customWidth="1"/>
    <col min="14334" max="14334" width="27.28515625" style="259" customWidth="1"/>
    <col min="14335" max="14336" width="0" style="259" hidden="1" customWidth="1"/>
    <col min="14337" max="14337" width="95.28515625" style="259" customWidth="1"/>
    <col min="14338" max="14338" width="33" style="259" customWidth="1"/>
    <col min="14339" max="14339" width="32.42578125" style="259" customWidth="1"/>
    <col min="14340" max="14340" width="45" style="259" bestFit="1" customWidth="1"/>
    <col min="14341" max="14341" width="0" style="259" hidden="1" customWidth="1"/>
    <col min="14342" max="14342" width="47.7109375" style="259" bestFit="1" customWidth="1"/>
    <col min="14343" max="14343" width="48.42578125" style="259" bestFit="1" customWidth="1"/>
    <col min="14344" max="14344" width="41" style="259" customWidth="1"/>
    <col min="14345" max="14345" width="140.85546875" style="259" bestFit="1" customWidth="1"/>
    <col min="14346" max="14346" width="140.85546875" style="259" customWidth="1"/>
    <col min="14347" max="14347" width="140.85546875" style="259" bestFit="1" customWidth="1"/>
    <col min="14348" max="14348" width="9.42578125" style="259" bestFit="1" customWidth="1"/>
    <col min="14349" max="14349" width="0" style="259" hidden="1" customWidth="1"/>
    <col min="14350" max="14350" width="14.85546875" style="259" bestFit="1" customWidth="1"/>
    <col min="14351" max="14351" width="28" style="259" customWidth="1"/>
    <col min="14352" max="14352" width="38.28515625" style="259" customWidth="1"/>
    <col min="14353" max="14353" width="9.140625" style="259"/>
    <col min="14354" max="14354" width="30.5703125" style="259" bestFit="1" customWidth="1"/>
    <col min="14355" max="14355" width="9.140625" style="259"/>
    <col min="14356" max="14356" width="16.7109375" style="259" bestFit="1" customWidth="1"/>
    <col min="14357" max="14587" width="9.140625" style="259"/>
    <col min="14588" max="14589" width="4.42578125" style="259" customWidth="1"/>
    <col min="14590" max="14590" width="27.28515625" style="259" customWidth="1"/>
    <col min="14591" max="14592" width="0" style="259" hidden="1" customWidth="1"/>
    <col min="14593" max="14593" width="95.28515625" style="259" customWidth="1"/>
    <col min="14594" max="14594" width="33" style="259" customWidth="1"/>
    <col min="14595" max="14595" width="32.42578125" style="259" customWidth="1"/>
    <col min="14596" max="14596" width="45" style="259" bestFit="1" customWidth="1"/>
    <col min="14597" max="14597" width="0" style="259" hidden="1" customWidth="1"/>
    <col min="14598" max="14598" width="47.7109375" style="259" bestFit="1" customWidth="1"/>
    <col min="14599" max="14599" width="48.42578125" style="259" bestFit="1" customWidth="1"/>
    <col min="14600" max="14600" width="41" style="259" customWidth="1"/>
    <col min="14601" max="14601" width="140.85546875" style="259" bestFit="1" customWidth="1"/>
    <col min="14602" max="14602" width="140.85546875" style="259" customWidth="1"/>
    <col min="14603" max="14603" width="140.85546875" style="259" bestFit="1" customWidth="1"/>
    <col min="14604" max="14604" width="9.42578125" style="259" bestFit="1" customWidth="1"/>
    <col min="14605" max="14605" width="0" style="259" hidden="1" customWidth="1"/>
    <col min="14606" max="14606" width="14.85546875" style="259" bestFit="1" customWidth="1"/>
    <col min="14607" max="14607" width="28" style="259" customWidth="1"/>
    <col min="14608" max="14608" width="38.28515625" style="259" customWidth="1"/>
    <col min="14609" max="14609" width="9.140625" style="259"/>
    <col min="14610" max="14610" width="30.5703125" style="259" bestFit="1" customWidth="1"/>
    <col min="14611" max="14611" width="9.140625" style="259"/>
    <col min="14612" max="14612" width="16.7109375" style="259" bestFit="1" customWidth="1"/>
    <col min="14613" max="14843" width="9.140625" style="259"/>
    <col min="14844" max="14845" width="4.42578125" style="259" customWidth="1"/>
    <col min="14846" max="14846" width="27.28515625" style="259" customWidth="1"/>
    <col min="14847" max="14848" width="0" style="259" hidden="1" customWidth="1"/>
    <col min="14849" max="14849" width="95.28515625" style="259" customWidth="1"/>
    <col min="14850" max="14850" width="33" style="259" customWidth="1"/>
    <col min="14851" max="14851" width="32.42578125" style="259" customWidth="1"/>
    <col min="14852" max="14852" width="45" style="259" bestFit="1" customWidth="1"/>
    <col min="14853" max="14853" width="0" style="259" hidden="1" customWidth="1"/>
    <col min="14854" max="14854" width="47.7109375" style="259" bestFit="1" customWidth="1"/>
    <col min="14855" max="14855" width="48.42578125" style="259" bestFit="1" customWidth="1"/>
    <col min="14856" max="14856" width="41" style="259" customWidth="1"/>
    <col min="14857" max="14857" width="140.85546875" style="259" bestFit="1" customWidth="1"/>
    <col min="14858" max="14858" width="140.85546875" style="259" customWidth="1"/>
    <col min="14859" max="14859" width="140.85546875" style="259" bestFit="1" customWidth="1"/>
    <col min="14860" max="14860" width="9.42578125" style="259" bestFit="1" customWidth="1"/>
    <col min="14861" max="14861" width="0" style="259" hidden="1" customWidth="1"/>
    <col min="14862" max="14862" width="14.85546875" style="259" bestFit="1" customWidth="1"/>
    <col min="14863" max="14863" width="28" style="259" customWidth="1"/>
    <col min="14864" max="14864" width="38.28515625" style="259" customWidth="1"/>
    <col min="14865" max="14865" width="9.140625" style="259"/>
    <col min="14866" max="14866" width="30.5703125" style="259" bestFit="1" customWidth="1"/>
    <col min="14867" max="14867" width="9.140625" style="259"/>
    <col min="14868" max="14868" width="16.7109375" style="259" bestFit="1" customWidth="1"/>
    <col min="14869" max="15099" width="9.140625" style="259"/>
    <col min="15100" max="15101" width="4.42578125" style="259" customWidth="1"/>
    <col min="15102" max="15102" width="27.28515625" style="259" customWidth="1"/>
    <col min="15103" max="15104" width="0" style="259" hidden="1" customWidth="1"/>
    <col min="15105" max="15105" width="95.28515625" style="259" customWidth="1"/>
    <col min="15106" max="15106" width="33" style="259" customWidth="1"/>
    <col min="15107" max="15107" width="32.42578125" style="259" customWidth="1"/>
    <col min="15108" max="15108" width="45" style="259" bestFit="1" customWidth="1"/>
    <col min="15109" max="15109" width="0" style="259" hidden="1" customWidth="1"/>
    <col min="15110" max="15110" width="47.7109375" style="259" bestFit="1" customWidth="1"/>
    <col min="15111" max="15111" width="48.42578125" style="259" bestFit="1" customWidth="1"/>
    <col min="15112" max="15112" width="41" style="259" customWidth="1"/>
    <col min="15113" max="15113" width="140.85546875" style="259" bestFit="1" customWidth="1"/>
    <col min="15114" max="15114" width="140.85546875" style="259" customWidth="1"/>
    <col min="15115" max="15115" width="140.85546875" style="259" bestFit="1" customWidth="1"/>
    <col min="15116" max="15116" width="9.42578125" style="259" bestFit="1" customWidth="1"/>
    <col min="15117" max="15117" width="0" style="259" hidden="1" customWidth="1"/>
    <col min="15118" max="15118" width="14.85546875" style="259" bestFit="1" customWidth="1"/>
    <col min="15119" max="15119" width="28" style="259" customWidth="1"/>
    <col min="15120" max="15120" width="38.28515625" style="259" customWidth="1"/>
    <col min="15121" max="15121" width="9.140625" style="259"/>
    <col min="15122" max="15122" width="30.5703125" style="259" bestFit="1" customWidth="1"/>
    <col min="15123" max="15123" width="9.140625" style="259"/>
    <col min="15124" max="15124" width="16.7109375" style="259" bestFit="1" customWidth="1"/>
    <col min="15125" max="15355" width="9.140625" style="259"/>
    <col min="15356" max="15357" width="4.42578125" style="259" customWidth="1"/>
    <col min="15358" max="15358" width="27.28515625" style="259" customWidth="1"/>
    <col min="15359" max="15360" width="0" style="259" hidden="1" customWidth="1"/>
    <col min="15361" max="15361" width="95.28515625" style="259" customWidth="1"/>
    <col min="15362" max="15362" width="33" style="259" customWidth="1"/>
    <col min="15363" max="15363" width="32.42578125" style="259" customWidth="1"/>
    <col min="15364" max="15364" width="45" style="259" bestFit="1" customWidth="1"/>
    <col min="15365" max="15365" width="0" style="259" hidden="1" customWidth="1"/>
    <col min="15366" max="15366" width="47.7109375" style="259" bestFit="1" customWidth="1"/>
    <col min="15367" max="15367" width="48.42578125" style="259" bestFit="1" customWidth="1"/>
    <col min="15368" max="15368" width="41" style="259" customWidth="1"/>
    <col min="15369" max="15369" width="140.85546875" style="259" bestFit="1" customWidth="1"/>
    <col min="15370" max="15370" width="140.85546875" style="259" customWidth="1"/>
    <col min="15371" max="15371" width="140.85546875" style="259" bestFit="1" customWidth="1"/>
    <col min="15372" max="15372" width="9.42578125" style="259" bestFit="1" customWidth="1"/>
    <col min="15373" max="15373" width="0" style="259" hidden="1" customWidth="1"/>
    <col min="15374" max="15374" width="14.85546875" style="259" bestFit="1" customWidth="1"/>
    <col min="15375" max="15375" width="28" style="259" customWidth="1"/>
    <col min="15376" max="15376" width="38.28515625" style="259" customWidth="1"/>
    <col min="15377" max="15377" width="9.140625" style="259"/>
    <col min="15378" max="15378" width="30.5703125" style="259" bestFit="1" customWidth="1"/>
    <col min="15379" max="15379" width="9.140625" style="259"/>
    <col min="15380" max="15380" width="16.7109375" style="259" bestFit="1" customWidth="1"/>
    <col min="15381" max="15611" width="9.140625" style="259"/>
    <col min="15612" max="15613" width="4.42578125" style="259" customWidth="1"/>
    <col min="15614" max="15614" width="27.28515625" style="259" customWidth="1"/>
    <col min="15615" max="15616" width="0" style="259" hidden="1" customWidth="1"/>
    <col min="15617" max="15617" width="95.28515625" style="259" customWidth="1"/>
    <col min="15618" max="15618" width="33" style="259" customWidth="1"/>
    <col min="15619" max="15619" width="32.42578125" style="259" customWidth="1"/>
    <col min="15620" max="15620" width="45" style="259" bestFit="1" customWidth="1"/>
    <col min="15621" max="15621" width="0" style="259" hidden="1" customWidth="1"/>
    <col min="15622" max="15622" width="47.7109375" style="259" bestFit="1" customWidth="1"/>
    <col min="15623" max="15623" width="48.42578125" style="259" bestFit="1" customWidth="1"/>
    <col min="15624" max="15624" width="41" style="259" customWidth="1"/>
    <col min="15625" max="15625" width="140.85546875" style="259" bestFit="1" customWidth="1"/>
    <col min="15626" max="15626" width="140.85546875" style="259" customWidth="1"/>
    <col min="15627" max="15627" width="140.85546875" style="259" bestFit="1" customWidth="1"/>
    <col min="15628" max="15628" width="9.42578125" style="259" bestFit="1" customWidth="1"/>
    <col min="15629" max="15629" width="0" style="259" hidden="1" customWidth="1"/>
    <col min="15630" max="15630" width="14.85546875" style="259" bestFit="1" customWidth="1"/>
    <col min="15631" max="15631" width="28" style="259" customWidth="1"/>
    <col min="15632" max="15632" width="38.28515625" style="259" customWidth="1"/>
    <col min="15633" max="15633" width="9.140625" style="259"/>
    <col min="15634" max="15634" width="30.5703125" style="259" bestFit="1" customWidth="1"/>
    <col min="15635" max="15635" width="9.140625" style="259"/>
    <col min="15636" max="15636" width="16.7109375" style="259" bestFit="1" customWidth="1"/>
    <col min="15637" max="15867" width="9.140625" style="259"/>
    <col min="15868" max="15869" width="4.42578125" style="259" customWidth="1"/>
    <col min="15870" max="15870" width="27.28515625" style="259" customWidth="1"/>
    <col min="15871" max="15872" width="0" style="259" hidden="1" customWidth="1"/>
    <col min="15873" max="15873" width="95.28515625" style="259" customWidth="1"/>
    <col min="15874" max="15874" width="33" style="259" customWidth="1"/>
    <col min="15875" max="15875" width="32.42578125" style="259" customWidth="1"/>
    <col min="15876" max="15876" width="45" style="259" bestFit="1" customWidth="1"/>
    <col min="15877" max="15877" width="0" style="259" hidden="1" customWidth="1"/>
    <col min="15878" max="15878" width="47.7109375" style="259" bestFit="1" customWidth="1"/>
    <col min="15879" max="15879" width="48.42578125" style="259" bestFit="1" customWidth="1"/>
    <col min="15880" max="15880" width="41" style="259" customWidth="1"/>
    <col min="15881" max="15881" width="140.85546875" style="259" bestFit="1" customWidth="1"/>
    <col min="15882" max="15882" width="140.85546875" style="259" customWidth="1"/>
    <col min="15883" max="15883" width="140.85546875" style="259" bestFit="1" customWidth="1"/>
    <col min="15884" max="15884" width="9.42578125" style="259" bestFit="1" customWidth="1"/>
    <col min="15885" max="15885" width="0" style="259" hidden="1" customWidth="1"/>
    <col min="15886" max="15886" width="14.85546875" style="259" bestFit="1" customWidth="1"/>
    <col min="15887" max="15887" width="28" style="259" customWidth="1"/>
    <col min="15888" max="15888" width="38.28515625" style="259" customWidth="1"/>
    <col min="15889" max="15889" width="9.140625" style="259"/>
    <col min="15890" max="15890" width="30.5703125" style="259" bestFit="1" customWidth="1"/>
    <col min="15891" max="15891" width="9.140625" style="259"/>
    <col min="15892" max="15892" width="16.7109375" style="259" bestFit="1" customWidth="1"/>
    <col min="15893" max="16123" width="9.140625" style="259"/>
    <col min="16124" max="16125" width="4.42578125" style="259" customWidth="1"/>
    <col min="16126" max="16126" width="27.28515625" style="259" customWidth="1"/>
    <col min="16127" max="16128" width="0" style="259" hidden="1" customWidth="1"/>
    <col min="16129" max="16129" width="95.28515625" style="259" customWidth="1"/>
    <col min="16130" max="16130" width="33" style="259" customWidth="1"/>
    <col min="16131" max="16131" width="32.42578125" style="259" customWidth="1"/>
    <col min="16132" max="16132" width="45" style="259" bestFit="1" customWidth="1"/>
    <col min="16133" max="16133" width="0" style="259" hidden="1" customWidth="1"/>
    <col min="16134" max="16134" width="47.7109375" style="259" bestFit="1" customWidth="1"/>
    <col min="16135" max="16135" width="48.42578125" style="259" bestFit="1" customWidth="1"/>
    <col min="16136" max="16136" width="41" style="259" customWidth="1"/>
    <col min="16137" max="16137" width="140.85546875" style="259" bestFit="1" customWidth="1"/>
    <col min="16138" max="16138" width="140.85546875" style="259" customWidth="1"/>
    <col min="16139" max="16139" width="140.85546875" style="259" bestFit="1" customWidth="1"/>
    <col min="16140" max="16140" width="9.42578125" style="259" bestFit="1" customWidth="1"/>
    <col min="16141" max="16141" width="0" style="259" hidden="1" customWidth="1"/>
    <col min="16142" max="16142" width="14.85546875" style="259" bestFit="1" customWidth="1"/>
    <col min="16143" max="16143" width="28" style="259" customWidth="1"/>
    <col min="16144" max="16144" width="38.28515625" style="259" customWidth="1"/>
    <col min="16145" max="16145" width="9.140625" style="259"/>
    <col min="16146" max="16146" width="30.5703125" style="259" bestFit="1" customWidth="1"/>
    <col min="16147" max="16147" width="9.140625" style="259"/>
    <col min="16148" max="16148" width="16.7109375" style="259" bestFit="1" customWidth="1"/>
    <col min="16149" max="16384" width="9.140625" style="259"/>
  </cols>
  <sheetData>
    <row r="1" spans="1:20" ht="24.95" customHeight="1">
      <c r="A1" s="1461"/>
      <c r="B1" s="1462"/>
      <c r="C1" s="1462"/>
      <c r="D1" s="1462"/>
      <c r="E1" s="1462"/>
      <c r="F1" s="1462"/>
      <c r="G1" s="1462"/>
      <c r="H1" s="1043"/>
    </row>
    <row r="2" spans="1:20" ht="24.95" customHeight="1">
      <c r="A2" s="1463"/>
      <c r="B2" s="1464"/>
      <c r="C2" s="1464"/>
      <c r="D2" s="1464"/>
      <c r="E2" s="1464"/>
      <c r="F2" s="1464"/>
      <c r="G2" s="1464"/>
      <c r="H2" s="1043"/>
    </row>
    <row r="3" spans="1:20" ht="24.95" customHeight="1">
      <c r="A3" s="1463"/>
      <c r="B3" s="1464"/>
      <c r="C3" s="1464"/>
      <c r="D3" s="1464"/>
      <c r="E3" s="1464"/>
      <c r="F3" s="1464"/>
      <c r="G3" s="1464"/>
      <c r="H3" s="1043"/>
    </row>
    <row r="4" spans="1:20" ht="24.95" customHeight="1">
      <c r="A4" s="1463"/>
      <c r="B4" s="1464"/>
      <c r="C4" s="1464"/>
      <c r="D4" s="1464"/>
      <c r="E4" s="1464"/>
      <c r="F4" s="1464"/>
      <c r="G4" s="1464"/>
      <c r="H4" s="1043"/>
    </row>
    <row r="5" spans="1:20" ht="27.95" customHeight="1">
      <c r="A5" s="1465" t="s">
        <v>17</v>
      </c>
      <c r="B5" s="1466"/>
      <c r="C5" s="1466"/>
      <c r="D5" s="1466"/>
      <c r="E5" s="1466"/>
      <c r="F5" s="1466"/>
      <c r="G5" s="1466"/>
      <c r="H5" s="1466"/>
    </row>
    <row r="6" spans="1:20" ht="27.95" customHeight="1">
      <c r="A6" s="1467" t="s">
        <v>1075</v>
      </c>
      <c r="B6" s="1468"/>
      <c r="C6" s="1468"/>
      <c r="D6" s="1468"/>
      <c r="E6" s="1468"/>
      <c r="F6" s="1468"/>
      <c r="G6" s="1468"/>
      <c r="H6" s="1468"/>
    </row>
    <row r="7" spans="1:20" ht="27.6" customHeight="1">
      <c r="A7" s="1469"/>
      <c r="B7" s="1470"/>
      <c r="C7" s="1470"/>
      <c r="D7" s="1470"/>
      <c r="E7" s="1470"/>
      <c r="F7" s="1470"/>
      <c r="G7" s="1470"/>
      <c r="H7" s="1045"/>
    </row>
    <row r="8" spans="1:20" ht="50.25" customHeight="1">
      <c r="A8" s="1046" t="s">
        <v>654</v>
      </c>
      <c r="B8" s="1471"/>
      <c r="C8" s="1471"/>
      <c r="D8" s="1471"/>
      <c r="E8" s="1471"/>
      <c r="F8" s="1471"/>
      <c r="G8" s="1471"/>
      <c r="H8" s="1471"/>
    </row>
    <row r="9" spans="1:20" ht="51.6" customHeight="1" thickBot="1">
      <c r="A9" s="1303" t="s">
        <v>533</v>
      </c>
      <c r="B9" s="1305">
        <f>G174</f>
        <v>26964488.739999998</v>
      </c>
      <c r="C9" s="1304"/>
      <c r="D9" s="1304"/>
      <c r="E9" s="1304"/>
      <c r="F9" s="1304"/>
      <c r="G9" s="1304"/>
      <c r="H9" s="1042"/>
    </row>
    <row r="10" spans="1:20" ht="49.15" customHeight="1">
      <c r="A10" s="1481" t="s">
        <v>6</v>
      </c>
      <c r="B10" s="1472" t="s">
        <v>2613</v>
      </c>
      <c r="C10" s="1479" t="s">
        <v>20</v>
      </c>
      <c r="D10" s="1479" t="s">
        <v>793</v>
      </c>
      <c r="E10" s="1479" t="s">
        <v>2614</v>
      </c>
      <c r="F10" s="1472" t="s">
        <v>2615</v>
      </c>
      <c r="G10" s="1474" t="s">
        <v>2616</v>
      </c>
      <c r="H10" s="1476" t="s">
        <v>2617</v>
      </c>
      <c r="L10" s="260"/>
      <c r="M10" s="260"/>
      <c r="N10" s="261"/>
      <c r="O10" s="261"/>
      <c r="P10" s="261"/>
    </row>
    <row r="11" spans="1:20" ht="26.25" thickBot="1">
      <c r="A11" s="1482"/>
      <c r="B11" s="1473"/>
      <c r="C11" s="1480"/>
      <c r="D11" s="1480"/>
      <c r="E11" s="1480"/>
      <c r="F11" s="1473"/>
      <c r="G11" s="1475"/>
      <c r="H11" s="1477"/>
      <c r="L11" s="260"/>
      <c r="M11" s="260"/>
      <c r="N11" s="261"/>
      <c r="O11" s="261"/>
      <c r="P11" s="261"/>
    </row>
    <row r="12" spans="1:20" ht="26.25">
      <c r="A12" s="1047"/>
      <c r="B12" s="1049"/>
      <c r="C12" s="1049"/>
      <c r="D12" s="1049"/>
      <c r="E12" s="1049"/>
      <c r="F12" s="1049"/>
      <c r="G12" s="1048"/>
      <c r="H12" s="1050"/>
      <c r="L12" s="1051"/>
      <c r="M12" s="1051"/>
      <c r="N12" s="261"/>
      <c r="O12" s="261"/>
      <c r="P12" s="261"/>
    </row>
    <row r="13" spans="1:20" ht="30.75">
      <c r="A13" s="1052">
        <v>1</v>
      </c>
      <c r="B13" s="1053" t="s">
        <v>1</v>
      </c>
      <c r="C13" s="1053" t="s">
        <v>2618</v>
      </c>
      <c r="D13" s="1053">
        <v>1</v>
      </c>
      <c r="E13" s="1132">
        <f>'[62]QCI '!$E$13</f>
        <v>610907.1</v>
      </c>
      <c r="F13" s="1054">
        <f>G13-E13</f>
        <v>261327.44</v>
      </c>
      <c r="G13" s="1055">
        <f>'ORÇAMENTO (F)'!K22</f>
        <v>872234.54</v>
      </c>
      <c r="H13" s="1056">
        <f>G13/$G$174</f>
        <v>3.2300000000000002E-2</v>
      </c>
      <c r="I13" s="1057"/>
      <c r="J13" s="1057"/>
      <c r="K13" s="1058"/>
      <c r="L13" s="1454"/>
      <c r="M13" s="260"/>
      <c r="N13" s="1453"/>
      <c r="O13" s="1452"/>
      <c r="P13" s="1453"/>
      <c r="R13" s="354"/>
      <c r="T13" s="291"/>
    </row>
    <row r="14" spans="1:20" ht="45" hidden="1" customHeight="1">
      <c r="A14" s="1059" t="s">
        <v>18</v>
      </c>
      <c r="B14" s="1061" t="s">
        <v>246</v>
      </c>
      <c r="C14" s="1062">
        <v>6</v>
      </c>
      <c r="D14" s="1063" t="s">
        <v>2</v>
      </c>
      <c r="E14" s="1064"/>
      <c r="F14" s="1066"/>
      <c r="G14" s="1067">
        <v>0</v>
      </c>
      <c r="H14" s="1068">
        <v>0</v>
      </c>
      <c r="I14" s="1057"/>
      <c r="J14" s="1057"/>
      <c r="K14" s="1058"/>
      <c r="L14" s="1454"/>
      <c r="M14" s="260"/>
      <c r="N14" s="1453"/>
      <c r="O14" s="1452"/>
      <c r="P14" s="1453"/>
    </row>
    <row r="15" spans="1:20" ht="45" hidden="1" customHeight="1" thickBot="1">
      <c r="A15" s="1059" t="s">
        <v>19</v>
      </c>
      <c r="B15" s="1061" t="s">
        <v>474</v>
      </c>
      <c r="C15" s="1062" t="e">
        <v>#REF!</v>
      </c>
      <c r="D15" s="1063" t="s">
        <v>3</v>
      </c>
      <c r="E15" s="1064">
        <v>0.47</v>
      </c>
      <c r="F15" s="1066"/>
      <c r="G15" s="1067" t="e">
        <v>#REF!</v>
      </c>
      <c r="H15" s="1068">
        <v>0</v>
      </c>
      <c r="I15" s="1057"/>
      <c r="J15" s="1057"/>
      <c r="K15" s="1058"/>
      <c r="L15" s="260"/>
      <c r="M15" s="260"/>
      <c r="N15" s="261"/>
      <c r="O15" s="261"/>
      <c r="P15" s="261"/>
    </row>
    <row r="16" spans="1:20" ht="45" hidden="1" customHeight="1" thickBot="1">
      <c r="A16" s="1059" t="s">
        <v>341</v>
      </c>
      <c r="B16" s="1061" t="s">
        <v>344</v>
      </c>
      <c r="C16" s="1062">
        <v>1</v>
      </c>
      <c r="D16" s="1060" t="s">
        <v>275</v>
      </c>
      <c r="E16" s="1064" t="e">
        <v>#REF!</v>
      </c>
      <c r="F16" s="1066"/>
      <c r="G16" s="1067" t="e">
        <v>#REF!</v>
      </c>
      <c r="H16" s="1068">
        <v>0.02</v>
      </c>
      <c r="I16" s="1057"/>
      <c r="J16" s="1057"/>
      <c r="K16" s="1058"/>
      <c r="L16" s="260"/>
      <c r="M16" s="260"/>
      <c r="N16" s="261"/>
      <c r="O16" s="261"/>
      <c r="P16" s="261"/>
    </row>
    <row r="17" spans="1:16" ht="45" hidden="1" customHeight="1" thickBot="1">
      <c r="A17" s="1059" t="s">
        <v>423</v>
      </c>
      <c r="B17" s="1069" t="s">
        <v>353</v>
      </c>
      <c r="C17" s="1062">
        <v>1</v>
      </c>
      <c r="D17" s="1060" t="s">
        <v>275</v>
      </c>
      <c r="E17" s="1064" t="e">
        <v>#REF!</v>
      </c>
      <c r="F17" s="1066"/>
      <c r="G17" s="1067" t="e">
        <v>#REF!</v>
      </c>
      <c r="H17" s="1068">
        <v>0.01</v>
      </c>
      <c r="I17" s="1057"/>
      <c r="J17" s="1057"/>
      <c r="K17" s="1058"/>
      <c r="L17" s="1454"/>
      <c r="M17" s="260"/>
      <c r="N17" s="1453"/>
      <c r="O17" s="1453"/>
      <c r="P17" s="1453"/>
    </row>
    <row r="18" spans="1:16" ht="27.95" hidden="1" customHeight="1" thickBot="1">
      <c r="A18" s="1456"/>
      <c r="B18" s="1457"/>
      <c r="C18" s="1457"/>
      <c r="D18" s="1457"/>
      <c r="E18" s="1457"/>
      <c r="F18" s="1070"/>
      <c r="G18" s="1071" t="e">
        <v>#REF!</v>
      </c>
      <c r="H18" s="1056">
        <v>0.03</v>
      </c>
      <c r="I18" s="1057"/>
      <c r="J18" s="1057"/>
      <c r="K18" s="1058"/>
      <c r="L18" s="1454"/>
      <c r="M18" s="260"/>
      <c r="N18" s="1453"/>
      <c r="O18" s="1453"/>
      <c r="P18" s="1453"/>
    </row>
    <row r="19" spans="1:16" s="435" customFormat="1" ht="27.95" customHeight="1" thickBot="1">
      <c r="A19" s="1155"/>
      <c r="B19" s="1156"/>
      <c r="C19" s="1156"/>
      <c r="D19" s="1156"/>
      <c r="E19" s="1156"/>
      <c r="F19" s="1156"/>
      <c r="G19" s="1152"/>
      <c r="H19" s="1153"/>
      <c r="I19" s="1146"/>
      <c r="J19" s="1146"/>
      <c r="K19" s="1147"/>
      <c r="L19" s="1157"/>
      <c r="M19" s="1157"/>
      <c r="N19" s="1148"/>
      <c r="O19" s="1148"/>
      <c r="P19" s="1148"/>
    </row>
    <row r="20" spans="1:16" ht="27.95" customHeight="1">
      <c r="A20" s="1137">
        <v>2</v>
      </c>
      <c r="B20" s="1134" t="s">
        <v>1077</v>
      </c>
      <c r="C20" s="1134" t="s">
        <v>2618</v>
      </c>
      <c r="D20" s="1134">
        <v>1</v>
      </c>
      <c r="E20" s="1132">
        <f>'[62]QCI '!$E$20</f>
        <v>4550986.97</v>
      </c>
      <c r="F20" s="1054">
        <f>G20-E20</f>
        <v>1946773.5</v>
      </c>
      <c r="G20" s="1138">
        <f>'ORÇAMENTO (F)'!K741</f>
        <v>6497760.4699999997</v>
      </c>
      <c r="H20" s="1129">
        <f>G20/$G$174</f>
        <v>0.24099999999999999</v>
      </c>
      <c r="I20" s="1057"/>
      <c r="J20" s="1057"/>
      <c r="K20" s="1058"/>
      <c r="L20" s="1478"/>
      <c r="M20" s="260"/>
      <c r="N20" s="1455"/>
      <c r="O20" s="1455"/>
      <c r="P20" s="1455"/>
    </row>
    <row r="21" spans="1:16" ht="45" hidden="1" customHeight="1">
      <c r="A21" s="1059" t="s">
        <v>4</v>
      </c>
      <c r="B21" s="1072" t="s">
        <v>214</v>
      </c>
      <c r="C21" s="1073" t="e">
        <v>#REF!</v>
      </c>
      <c r="D21" s="1063" t="s">
        <v>0</v>
      </c>
      <c r="E21" s="1074"/>
      <c r="F21" s="1066"/>
      <c r="G21" s="1067" t="e">
        <v>#REF!</v>
      </c>
      <c r="H21" s="1068">
        <v>0.01</v>
      </c>
      <c r="I21" s="1057"/>
      <c r="J21" s="1057"/>
      <c r="K21" s="1058"/>
      <c r="L21" s="1454"/>
      <c r="M21" s="260"/>
      <c r="N21" s="1453"/>
      <c r="O21" s="1453"/>
      <c r="P21" s="1453"/>
    </row>
    <row r="22" spans="1:16" ht="45" hidden="1" customHeight="1" thickBot="1">
      <c r="A22" s="1059" t="s">
        <v>4</v>
      </c>
      <c r="B22" s="1072" t="s">
        <v>2619</v>
      </c>
      <c r="C22" s="1073" t="e">
        <v>#REF!</v>
      </c>
      <c r="D22" s="1063" t="s">
        <v>0</v>
      </c>
      <c r="E22" s="1074">
        <v>126.86</v>
      </c>
      <c r="F22" s="1066"/>
      <c r="G22" s="1067" t="e">
        <v>#REF!</v>
      </c>
      <c r="H22" s="1068">
        <v>0.01</v>
      </c>
      <c r="I22" s="1057"/>
      <c r="J22" s="1057"/>
      <c r="K22" s="1058"/>
      <c r="L22" s="1454"/>
      <c r="M22" s="260"/>
      <c r="N22" s="1453"/>
      <c r="O22" s="1453"/>
      <c r="P22" s="1453"/>
    </row>
    <row r="23" spans="1:16" ht="27.95" hidden="1" customHeight="1" thickBot="1">
      <c r="A23" s="1456"/>
      <c r="B23" s="1457"/>
      <c r="C23" s="1457"/>
      <c r="D23" s="1457"/>
      <c r="E23" s="1457"/>
      <c r="F23" s="1070"/>
      <c r="G23" s="1071" t="e">
        <v>#REF!</v>
      </c>
      <c r="H23" s="1056">
        <v>0.01</v>
      </c>
      <c r="I23" s="1057"/>
      <c r="J23" s="1057"/>
      <c r="K23" s="1058"/>
      <c r="L23" s="1454"/>
      <c r="M23" s="260"/>
      <c r="N23" s="1453"/>
      <c r="O23" s="1453"/>
      <c r="P23" s="1453"/>
    </row>
    <row r="24" spans="1:16" ht="30.75" hidden="1">
      <c r="A24" s="1077" t="s">
        <v>9</v>
      </c>
      <c r="B24" s="1072" t="s">
        <v>2620</v>
      </c>
      <c r="C24" s="1073" t="e">
        <v>#REF!</v>
      </c>
      <c r="D24" s="1063" t="s">
        <v>0</v>
      </c>
      <c r="E24" s="1074"/>
      <c r="F24" s="1066"/>
      <c r="G24" s="1067" t="e">
        <v>#REF!</v>
      </c>
      <c r="H24" s="1068">
        <v>0</v>
      </c>
      <c r="I24" s="1057"/>
      <c r="J24" s="1057"/>
      <c r="K24" s="1058"/>
      <c r="L24" s="260"/>
      <c r="M24" s="260"/>
      <c r="N24" s="261"/>
      <c r="O24" s="261"/>
      <c r="P24" s="261"/>
    </row>
    <row r="25" spans="1:16" ht="78.75" hidden="1">
      <c r="A25" s="1077" t="s">
        <v>26</v>
      </c>
      <c r="B25" s="1072" t="s">
        <v>202</v>
      </c>
      <c r="C25" s="1073" t="e">
        <v>#REF!</v>
      </c>
      <c r="D25" s="1063" t="s">
        <v>2</v>
      </c>
      <c r="E25" s="1074">
        <v>93.7</v>
      </c>
      <c r="F25" s="1066"/>
      <c r="G25" s="1067" t="e">
        <v>#REF!</v>
      </c>
      <c r="H25" s="1068">
        <v>0.02</v>
      </c>
      <c r="I25" s="1057"/>
      <c r="J25" s="1057"/>
      <c r="K25" s="1058"/>
      <c r="L25" s="260"/>
      <c r="M25" s="260"/>
      <c r="N25" s="261"/>
      <c r="O25" s="261"/>
      <c r="P25" s="261"/>
    </row>
    <row r="26" spans="1:16" ht="52.5" hidden="1">
      <c r="A26" s="1077" t="s">
        <v>63</v>
      </c>
      <c r="B26" s="1072" t="s">
        <v>2621</v>
      </c>
      <c r="C26" s="1073" t="e">
        <v>#REF!</v>
      </c>
      <c r="D26" s="1063" t="s">
        <v>3</v>
      </c>
      <c r="E26" s="1074">
        <v>145.34</v>
      </c>
      <c r="F26" s="1066"/>
      <c r="G26" s="1067" t="e">
        <v>#REF!</v>
      </c>
      <c r="H26" s="1068">
        <v>0.02</v>
      </c>
      <c r="I26" s="1057"/>
      <c r="J26" s="1057"/>
      <c r="K26" s="1058"/>
      <c r="L26" s="260"/>
      <c r="M26" s="260"/>
      <c r="N26" s="261"/>
      <c r="O26" s="261"/>
      <c r="P26" s="261"/>
    </row>
    <row r="27" spans="1:16" ht="52.5" hidden="1">
      <c r="A27" s="1077" t="s">
        <v>997</v>
      </c>
      <c r="B27" s="1072" t="s">
        <v>148</v>
      </c>
      <c r="C27" s="1073" t="e">
        <v>#REF!</v>
      </c>
      <c r="D27" s="1062" t="s">
        <v>0</v>
      </c>
      <c r="E27" s="1078">
        <v>16.09</v>
      </c>
      <c r="F27" s="1066"/>
      <c r="G27" s="1067" t="e">
        <v>#REF!</v>
      </c>
      <c r="H27" s="1068">
        <v>0</v>
      </c>
      <c r="I27" s="1057"/>
      <c r="J27" s="1057"/>
      <c r="K27" s="1058"/>
      <c r="L27" s="260"/>
      <c r="M27" s="260"/>
      <c r="N27" s="261"/>
      <c r="O27" s="261"/>
      <c r="P27" s="261"/>
    </row>
    <row r="28" spans="1:16" ht="45" hidden="1" customHeight="1" thickBot="1">
      <c r="A28" s="1077" t="s">
        <v>998</v>
      </c>
      <c r="B28" s="1079" t="s">
        <v>2622</v>
      </c>
      <c r="C28" s="1073" t="e">
        <v>#REF!</v>
      </c>
      <c r="D28" s="1060" t="s">
        <v>3</v>
      </c>
      <c r="E28" s="1065">
        <v>38.72</v>
      </c>
      <c r="F28" s="1066"/>
      <c r="G28" s="1067" t="e">
        <v>#REF!</v>
      </c>
      <c r="H28" s="1068">
        <v>0.01</v>
      </c>
      <c r="I28" s="1057"/>
      <c r="J28" s="1057"/>
      <c r="K28" s="1058"/>
    </row>
    <row r="29" spans="1:16" ht="45" hidden="1" customHeight="1" thickBot="1">
      <c r="A29" s="1077" t="s">
        <v>999</v>
      </c>
      <c r="B29" s="1072" t="s">
        <v>62</v>
      </c>
      <c r="C29" s="1073" t="e">
        <v>#REF!</v>
      </c>
      <c r="D29" s="1060" t="s">
        <v>3</v>
      </c>
      <c r="E29" s="1074">
        <v>48.52</v>
      </c>
      <c r="F29" s="1066"/>
      <c r="G29" s="1067" t="e">
        <v>#REF!</v>
      </c>
      <c r="H29" s="1068">
        <v>0.01</v>
      </c>
      <c r="I29" s="1057"/>
      <c r="J29" s="1057"/>
      <c r="K29" s="1058"/>
    </row>
    <row r="30" spans="1:16" ht="27.95" hidden="1" customHeight="1" thickBot="1">
      <c r="A30" s="1458"/>
      <c r="B30" s="1459"/>
      <c r="C30" s="1459"/>
      <c r="D30" s="1459"/>
      <c r="E30" s="1459"/>
      <c r="F30" s="1080"/>
      <c r="G30" s="1071" t="e">
        <v>#REF!</v>
      </c>
      <c r="H30" s="1056">
        <v>0.06</v>
      </c>
      <c r="I30" s="1057"/>
      <c r="J30" s="1057"/>
      <c r="K30" s="1058"/>
    </row>
    <row r="31" spans="1:16" ht="30.75" hidden="1">
      <c r="A31" s="1081">
        <v>4</v>
      </c>
      <c r="B31" s="1076" t="s">
        <v>619</v>
      </c>
      <c r="C31" s="1460"/>
      <c r="D31" s="1460"/>
      <c r="E31" s="1460"/>
      <c r="F31" s="1460"/>
      <c r="G31" s="1460"/>
      <c r="H31" s="1082">
        <v>0</v>
      </c>
      <c r="I31" s="1057"/>
      <c r="J31" s="1057"/>
      <c r="K31" s="1058"/>
    </row>
    <row r="32" spans="1:16" ht="30.75" hidden="1">
      <c r="A32" s="1083" t="s">
        <v>29</v>
      </c>
      <c r="B32" s="1084" t="s">
        <v>536</v>
      </c>
      <c r="C32" s="1062" t="e">
        <v>#REF!</v>
      </c>
      <c r="D32" s="1060" t="s">
        <v>275</v>
      </c>
      <c r="E32" s="1085">
        <v>172.96</v>
      </c>
      <c r="F32" s="1066"/>
      <c r="G32" s="1067" t="e">
        <v>#REF!</v>
      </c>
      <c r="H32" s="1068" t="e">
        <v>#REF!</v>
      </c>
      <c r="I32" s="1057"/>
      <c r="J32" s="1057"/>
      <c r="K32" s="1058"/>
    </row>
    <row r="33" spans="1:11" ht="30.75" hidden="1">
      <c r="A33" s="1086" t="s">
        <v>359</v>
      </c>
      <c r="B33" s="1069" t="s">
        <v>427</v>
      </c>
      <c r="C33" s="1062" t="e">
        <v>#REF!</v>
      </c>
      <c r="D33" s="1063" t="s">
        <v>0</v>
      </c>
      <c r="E33" s="1085">
        <v>11.56</v>
      </c>
      <c r="F33" s="1066"/>
      <c r="G33" s="1067" t="e">
        <v>#REF!</v>
      </c>
      <c r="H33" s="1068" t="e">
        <v>#REF!</v>
      </c>
      <c r="I33" s="1057"/>
      <c r="J33" s="1057"/>
      <c r="K33" s="1058"/>
    </row>
    <row r="34" spans="1:11" ht="78.75" hidden="1">
      <c r="A34" s="1087" t="s">
        <v>360</v>
      </c>
      <c r="B34" s="1072" t="s">
        <v>291</v>
      </c>
      <c r="C34" s="1062" t="e">
        <v>#REF!</v>
      </c>
      <c r="D34" s="1063" t="s">
        <v>0</v>
      </c>
      <c r="E34" s="1088">
        <v>6.55</v>
      </c>
      <c r="F34" s="1066"/>
      <c r="G34" s="1067" t="e">
        <v>#REF!</v>
      </c>
      <c r="H34" s="1068" t="e">
        <v>#REF!</v>
      </c>
      <c r="I34" s="1057"/>
      <c r="J34" s="1057"/>
      <c r="K34" s="1058"/>
    </row>
    <row r="35" spans="1:11" ht="52.5" hidden="1">
      <c r="A35" s="1087" t="s">
        <v>361</v>
      </c>
      <c r="B35" s="1072" t="s">
        <v>294</v>
      </c>
      <c r="C35" s="1062" t="e">
        <v>#REF!</v>
      </c>
      <c r="D35" s="1063" t="s">
        <v>221</v>
      </c>
      <c r="E35" s="1085">
        <v>2.84</v>
      </c>
      <c r="F35" s="1066"/>
      <c r="G35" s="1067" t="e">
        <v>#REF!</v>
      </c>
      <c r="H35" s="1068" t="e">
        <v>#REF!</v>
      </c>
      <c r="I35" s="1057"/>
      <c r="J35" s="1057"/>
      <c r="K35" s="1058"/>
    </row>
    <row r="36" spans="1:11" ht="52.5" hidden="1">
      <c r="A36" s="1087" t="s">
        <v>2623</v>
      </c>
      <c r="B36" s="1079" t="s">
        <v>218</v>
      </c>
      <c r="C36" s="1062" t="e">
        <v>#REF!</v>
      </c>
      <c r="D36" s="1063" t="s">
        <v>2</v>
      </c>
      <c r="E36" s="1085">
        <v>5.58</v>
      </c>
      <c r="F36" s="1066"/>
      <c r="G36" s="1067" t="e">
        <v>#REF!</v>
      </c>
      <c r="H36" s="1068" t="e">
        <v>#REF!</v>
      </c>
      <c r="I36" s="1057"/>
      <c r="J36" s="1057"/>
      <c r="K36" s="1058"/>
    </row>
    <row r="37" spans="1:11" ht="30.75" hidden="1">
      <c r="A37" s="1087" t="s">
        <v>362</v>
      </c>
      <c r="B37" s="1072" t="s">
        <v>288</v>
      </c>
      <c r="C37" s="1062" t="e">
        <v>#REF!</v>
      </c>
      <c r="D37" s="1062" t="s">
        <v>2</v>
      </c>
      <c r="E37" s="1088">
        <v>39.04</v>
      </c>
      <c r="F37" s="1066"/>
      <c r="G37" s="1067" t="e">
        <v>#REF!</v>
      </c>
      <c r="H37" s="1068" t="e">
        <v>#REF!</v>
      </c>
      <c r="I37" s="1057"/>
      <c r="J37" s="1057"/>
      <c r="K37" s="1058"/>
    </row>
    <row r="38" spans="1:11" ht="30.75" hidden="1">
      <c r="A38" s="1087" t="s">
        <v>363</v>
      </c>
      <c r="B38" s="1072" t="s">
        <v>425</v>
      </c>
      <c r="C38" s="1062" t="e">
        <v>#REF!</v>
      </c>
      <c r="D38" s="1063" t="s">
        <v>0</v>
      </c>
      <c r="E38" s="1088">
        <v>141.51</v>
      </c>
      <c r="F38" s="1066"/>
      <c r="G38" s="1067" t="e">
        <v>#REF!</v>
      </c>
      <c r="H38" s="1068" t="e">
        <v>#REF!</v>
      </c>
      <c r="I38" s="1057"/>
      <c r="J38" s="1057"/>
      <c r="K38" s="1058"/>
    </row>
    <row r="39" spans="1:11" ht="78.75" hidden="1">
      <c r="A39" s="1087" t="s">
        <v>364</v>
      </c>
      <c r="B39" s="1072" t="s">
        <v>499</v>
      </c>
      <c r="C39" s="1062" t="e">
        <v>#REF!</v>
      </c>
      <c r="D39" s="1063" t="s">
        <v>0</v>
      </c>
      <c r="E39" s="1085">
        <v>17.59</v>
      </c>
      <c r="F39" s="1066"/>
      <c r="G39" s="1067" t="e">
        <v>#REF!</v>
      </c>
      <c r="H39" s="1068" t="e">
        <v>#REF!</v>
      </c>
      <c r="I39" s="1057"/>
      <c r="J39" s="1057"/>
      <c r="K39" s="1058"/>
    </row>
    <row r="40" spans="1:11" ht="78.75" hidden="1">
      <c r="A40" s="1087" t="s">
        <v>428</v>
      </c>
      <c r="B40" s="1072" t="s">
        <v>349</v>
      </c>
      <c r="C40" s="1062" t="e">
        <v>#REF!</v>
      </c>
      <c r="D40" s="1063" t="s">
        <v>3</v>
      </c>
      <c r="E40" s="1085">
        <v>64.489999999999995</v>
      </c>
      <c r="F40" s="1066"/>
      <c r="G40" s="1067" t="e">
        <v>#REF!</v>
      </c>
      <c r="H40" s="1068" t="e">
        <v>#REF!</v>
      </c>
      <c r="I40" s="1057"/>
      <c r="J40" s="1057"/>
      <c r="K40" s="1058"/>
    </row>
    <row r="41" spans="1:11" ht="45" hidden="1" customHeight="1" thickBot="1">
      <c r="A41" s="1083" t="s">
        <v>30</v>
      </c>
      <c r="B41" s="1089" t="s">
        <v>537</v>
      </c>
      <c r="C41" s="1062" t="e">
        <v>#REF!</v>
      </c>
      <c r="D41" s="1060" t="s">
        <v>275</v>
      </c>
      <c r="E41" s="1085">
        <v>239.76</v>
      </c>
      <c r="F41" s="1066"/>
      <c r="G41" s="1067" t="e">
        <v>#REF!</v>
      </c>
      <c r="H41" s="1068" t="e">
        <v>#REF!</v>
      </c>
      <c r="I41" s="1057"/>
      <c r="J41" s="1057"/>
      <c r="K41" s="1058"/>
    </row>
    <row r="42" spans="1:11" ht="45" hidden="1" customHeight="1" thickBot="1">
      <c r="A42" s="1086" t="s">
        <v>365</v>
      </c>
      <c r="B42" s="1069" t="s">
        <v>427</v>
      </c>
      <c r="C42" s="1062" t="e">
        <v>#REF!</v>
      </c>
      <c r="D42" s="1063" t="s">
        <v>0</v>
      </c>
      <c r="E42" s="1085">
        <v>10.8</v>
      </c>
      <c r="F42" s="1066"/>
      <c r="G42" s="1067" t="e">
        <v>#REF!</v>
      </c>
      <c r="H42" s="1068" t="e">
        <v>#REF!</v>
      </c>
      <c r="I42" s="1057"/>
      <c r="J42" s="1057"/>
      <c r="K42" s="1058"/>
    </row>
    <row r="43" spans="1:11" ht="45" hidden="1" customHeight="1" thickBot="1">
      <c r="A43" s="1086" t="s">
        <v>366</v>
      </c>
      <c r="B43" s="1072" t="s">
        <v>291</v>
      </c>
      <c r="C43" s="1062" t="e">
        <v>#REF!</v>
      </c>
      <c r="D43" s="1063" t="s">
        <v>0</v>
      </c>
      <c r="E43" s="1085">
        <v>6.48</v>
      </c>
      <c r="F43" s="1066"/>
      <c r="G43" s="1067" t="e">
        <v>#REF!</v>
      </c>
      <c r="H43" s="1068" t="e">
        <v>#REF!</v>
      </c>
      <c r="I43" s="1057"/>
      <c r="J43" s="1057"/>
      <c r="K43" s="1058"/>
    </row>
    <row r="44" spans="1:11" ht="45" hidden="1" customHeight="1" thickBot="1">
      <c r="A44" s="1086" t="s">
        <v>367</v>
      </c>
      <c r="B44" s="1072" t="s">
        <v>294</v>
      </c>
      <c r="C44" s="1062" t="e">
        <v>#REF!</v>
      </c>
      <c r="D44" s="1063" t="s">
        <v>221</v>
      </c>
      <c r="E44" s="1085">
        <v>2.83</v>
      </c>
      <c r="F44" s="1066"/>
      <c r="G44" s="1067" t="e">
        <v>#REF!</v>
      </c>
      <c r="H44" s="1068" t="e">
        <v>#REF!</v>
      </c>
      <c r="I44" s="1057"/>
      <c r="J44" s="1057"/>
      <c r="K44" s="1058"/>
    </row>
    <row r="45" spans="1:11" ht="45" hidden="1" customHeight="1" thickBot="1">
      <c r="A45" s="1086" t="s">
        <v>368</v>
      </c>
      <c r="B45" s="1079" t="s">
        <v>218</v>
      </c>
      <c r="C45" s="1062" t="e">
        <v>#REF!</v>
      </c>
      <c r="D45" s="1063" t="s">
        <v>2</v>
      </c>
      <c r="E45" s="1085">
        <v>6.33</v>
      </c>
      <c r="F45" s="1066"/>
      <c r="G45" s="1067" t="e">
        <v>#REF!</v>
      </c>
      <c r="H45" s="1068" t="e">
        <v>#REF!</v>
      </c>
      <c r="I45" s="1057"/>
      <c r="J45" s="1057"/>
      <c r="K45" s="1058"/>
    </row>
    <row r="46" spans="1:11" s="293" customFormat="1" ht="45" hidden="1" customHeight="1" thickBot="1">
      <c r="A46" s="1090" t="s">
        <v>369</v>
      </c>
      <c r="B46" s="1091" t="s">
        <v>288</v>
      </c>
      <c r="C46" s="1092" t="e">
        <v>#REF!</v>
      </c>
      <c r="D46" s="1092" t="s">
        <v>2</v>
      </c>
      <c r="E46" s="1093">
        <v>44.1</v>
      </c>
      <c r="F46" s="1094"/>
      <c r="G46" s="1095" t="e">
        <v>#REF!</v>
      </c>
      <c r="H46" s="1096" t="e">
        <v>#REF!</v>
      </c>
      <c r="I46" s="1057"/>
      <c r="J46" s="1057"/>
      <c r="K46" s="1058"/>
    </row>
    <row r="47" spans="1:11" ht="45" hidden="1" customHeight="1" thickBot="1">
      <c r="A47" s="1086" t="s">
        <v>370</v>
      </c>
      <c r="B47" s="1072" t="s">
        <v>425</v>
      </c>
      <c r="C47" s="1062" t="e">
        <v>#REF!</v>
      </c>
      <c r="D47" s="1063" t="s">
        <v>0</v>
      </c>
      <c r="E47" s="1085">
        <v>172.47</v>
      </c>
      <c r="F47" s="1066"/>
      <c r="G47" s="1067" t="e">
        <v>#REF!</v>
      </c>
      <c r="H47" s="1068" t="e">
        <v>#REF!</v>
      </c>
      <c r="I47" s="1057"/>
      <c r="J47" s="1057"/>
      <c r="K47" s="1058"/>
    </row>
    <row r="48" spans="1:11" ht="45" hidden="1" customHeight="1" thickBot="1">
      <c r="A48" s="1086" t="s">
        <v>371</v>
      </c>
      <c r="B48" s="1072" t="s">
        <v>499</v>
      </c>
      <c r="C48" s="1062" t="e">
        <v>#REF!</v>
      </c>
      <c r="D48" s="1063" t="s">
        <v>0</v>
      </c>
      <c r="E48" s="1085">
        <v>18.260000000000002</v>
      </c>
      <c r="F48" s="1066"/>
      <c r="G48" s="1067" t="e">
        <v>#REF!</v>
      </c>
      <c r="H48" s="1068" t="e">
        <v>#REF!</v>
      </c>
      <c r="I48" s="1057"/>
      <c r="J48" s="1057"/>
      <c r="K48" s="1058"/>
    </row>
    <row r="49" spans="1:11" ht="45" hidden="1" customHeight="1" thickBot="1">
      <c r="A49" s="1086" t="s">
        <v>432</v>
      </c>
      <c r="B49" s="1072" t="s">
        <v>498</v>
      </c>
      <c r="C49" s="1062" t="e">
        <v>#REF!</v>
      </c>
      <c r="D49" s="1062" t="s">
        <v>2</v>
      </c>
      <c r="E49" s="1085">
        <v>43.07</v>
      </c>
      <c r="F49" s="1066"/>
      <c r="G49" s="1067" t="e">
        <v>#REF!</v>
      </c>
      <c r="H49" s="1068" t="e">
        <v>#REF!</v>
      </c>
      <c r="I49" s="1057"/>
      <c r="J49" s="1057"/>
      <c r="K49" s="1058"/>
    </row>
    <row r="50" spans="1:11" ht="45" hidden="1" customHeight="1" thickBot="1">
      <c r="A50" s="1086" t="s">
        <v>433</v>
      </c>
      <c r="B50" s="1069" t="s">
        <v>350</v>
      </c>
      <c r="C50" s="1062" t="e">
        <v>#REF!</v>
      </c>
      <c r="D50" s="1063" t="s">
        <v>3</v>
      </c>
      <c r="E50" s="1085">
        <v>91.19</v>
      </c>
      <c r="F50" s="1066"/>
      <c r="G50" s="1067" t="e">
        <v>#REF!</v>
      </c>
      <c r="H50" s="1068" t="e">
        <v>#REF!</v>
      </c>
      <c r="I50" s="1057"/>
      <c r="J50" s="1057"/>
      <c r="K50" s="1058"/>
    </row>
    <row r="51" spans="1:11" ht="45" hidden="1" customHeight="1" thickBot="1">
      <c r="A51" s="1083" t="s">
        <v>31</v>
      </c>
      <c r="B51" s="1089" t="s">
        <v>538</v>
      </c>
      <c r="C51" s="1062" t="e">
        <v>#REF!</v>
      </c>
      <c r="D51" s="1060" t="s">
        <v>275</v>
      </c>
      <c r="E51" s="1085">
        <v>422.31</v>
      </c>
      <c r="F51" s="1066"/>
      <c r="G51" s="1067" t="e">
        <v>#REF!</v>
      </c>
      <c r="H51" s="1068" t="e">
        <v>#REF!</v>
      </c>
      <c r="I51" s="1057"/>
      <c r="J51" s="1057"/>
      <c r="K51" s="1058"/>
    </row>
    <row r="52" spans="1:11" ht="45" hidden="1" customHeight="1" thickBot="1">
      <c r="A52" s="1086" t="s">
        <v>372</v>
      </c>
      <c r="B52" s="1069" t="s">
        <v>427</v>
      </c>
      <c r="C52" s="1062" t="e">
        <v>#REF!</v>
      </c>
      <c r="D52" s="1063" t="s">
        <v>0</v>
      </c>
      <c r="E52" s="1085">
        <v>11.56</v>
      </c>
      <c r="F52" s="1066"/>
      <c r="G52" s="1067" t="e">
        <v>#REF!</v>
      </c>
      <c r="H52" s="1068" t="e">
        <v>#REF!</v>
      </c>
      <c r="I52" s="1057"/>
      <c r="J52" s="1057"/>
      <c r="K52" s="1058"/>
    </row>
    <row r="53" spans="1:11" ht="45" hidden="1" customHeight="1" thickBot="1">
      <c r="A53" s="1086" t="s">
        <v>373</v>
      </c>
      <c r="B53" s="1072" t="s">
        <v>291</v>
      </c>
      <c r="C53" s="1062" t="e">
        <v>#REF!</v>
      </c>
      <c r="D53" s="1063" t="s">
        <v>0</v>
      </c>
      <c r="E53" s="1085">
        <v>6.55</v>
      </c>
      <c r="F53" s="1066"/>
      <c r="G53" s="1067" t="e">
        <v>#REF!</v>
      </c>
      <c r="H53" s="1068" t="e">
        <v>#REF!</v>
      </c>
      <c r="I53" s="1057"/>
      <c r="J53" s="1057"/>
      <c r="K53" s="1058"/>
    </row>
    <row r="54" spans="1:11" ht="45" hidden="1" customHeight="1" thickBot="1">
      <c r="A54" s="1086" t="s">
        <v>374</v>
      </c>
      <c r="B54" s="1072" t="s">
        <v>294</v>
      </c>
      <c r="C54" s="1062" t="e">
        <v>#REF!</v>
      </c>
      <c r="D54" s="1063" t="s">
        <v>221</v>
      </c>
      <c r="E54" s="1085">
        <v>2.84</v>
      </c>
      <c r="F54" s="1066"/>
      <c r="G54" s="1067" t="e">
        <v>#REF!</v>
      </c>
      <c r="H54" s="1068" t="e">
        <v>#REF!</v>
      </c>
      <c r="I54" s="1057"/>
      <c r="J54" s="1057"/>
      <c r="K54" s="1058"/>
    </row>
    <row r="55" spans="1:11" ht="45" hidden="1" customHeight="1" thickBot="1">
      <c r="A55" s="1086" t="s">
        <v>375</v>
      </c>
      <c r="B55" s="1079" t="s">
        <v>218</v>
      </c>
      <c r="C55" s="1062" t="e">
        <v>#REF!</v>
      </c>
      <c r="D55" s="1063" t="s">
        <v>2</v>
      </c>
      <c r="E55" s="1085">
        <v>5.58</v>
      </c>
      <c r="F55" s="1066"/>
      <c r="G55" s="1067" t="e">
        <v>#REF!</v>
      </c>
      <c r="H55" s="1068" t="e">
        <v>#REF!</v>
      </c>
      <c r="I55" s="1057"/>
      <c r="J55" s="1057"/>
      <c r="K55" s="1058"/>
    </row>
    <row r="56" spans="1:11" ht="45" hidden="1" customHeight="1" thickBot="1">
      <c r="A56" s="1086" t="s">
        <v>376</v>
      </c>
      <c r="B56" s="1072" t="s">
        <v>288</v>
      </c>
      <c r="C56" s="1062" t="e">
        <v>#REF!</v>
      </c>
      <c r="D56" s="1062" t="s">
        <v>2</v>
      </c>
      <c r="E56" s="1085">
        <v>39.04</v>
      </c>
      <c r="F56" s="1066"/>
      <c r="G56" s="1067" t="e">
        <v>#REF!</v>
      </c>
      <c r="H56" s="1068" t="e">
        <v>#REF!</v>
      </c>
      <c r="I56" s="1057"/>
      <c r="J56" s="1057"/>
      <c r="K56" s="1058"/>
    </row>
    <row r="57" spans="1:11" ht="45" hidden="1" customHeight="1" thickBot="1">
      <c r="A57" s="1086" t="s">
        <v>377</v>
      </c>
      <c r="B57" s="1072" t="s">
        <v>425</v>
      </c>
      <c r="C57" s="1062" t="e">
        <v>#REF!</v>
      </c>
      <c r="D57" s="1063" t="s">
        <v>0</v>
      </c>
      <c r="E57" s="1085">
        <v>141.51</v>
      </c>
      <c r="F57" s="1066"/>
      <c r="G57" s="1067" t="e">
        <v>#REF!</v>
      </c>
      <c r="H57" s="1068" t="e">
        <v>#REF!</v>
      </c>
      <c r="I57" s="1057"/>
      <c r="J57" s="1057"/>
      <c r="K57" s="1058"/>
    </row>
    <row r="58" spans="1:11" ht="45" hidden="1" customHeight="1" thickBot="1">
      <c r="A58" s="1086" t="s">
        <v>378</v>
      </c>
      <c r="B58" s="1072" t="s">
        <v>499</v>
      </c>
      <c r="C58" s="1062" t="e">
        <v>#REF!</v>
      </c>
      <c r="D58" s="1063" t="s">
        <v>0</v>
      </c>
      <c r="E58" s="1085">
        <v>17.59</v>
      </c>
      <c r="F58" s="1066"/>
      <c r="G58" s="1067" t="e">
        <v>#REF!</v>
      </c>
      <c r="H58" s="1068" t="e">
        <v>#REF!</v>
      </c>
      <c r="I58" s="1057"/>
      <c r="J58" s="1057"/>
      <c r="K58" s="1058"/>
    </row>
    <row r="59" spans="1:11" ht="45" hidden="1" customHeight="1" thickBot="1">
      <c r="A59" s="1086" t="s">
        <v>434</v>
      </c>
      <c r="B59" s="1072" t="s">
        <v>498</v>
      </c>
      <c r="C59" s="1062" t="e">
        <v>#REF!</v>
      </c>
      <c r="D59" s="1062" t="s">
        <v>2</v>
      </c>
      <c r="E59" s="1085">
        <v>43.07</v>
      </c>
      <c r="F59" s="1066"/>
      <c r="G59" s="1067" t="e">
        <v>#REF!</v>
      </c>
      <c r="H59" s="1068" t="e">
        <v>#REF!</v>
      </c>
      <c r="I59" s="1057"/>
      <c r="J59" s="1057"/>
      <c r="K59" s="1058"/>
    </row>
    <row r="60" spans="1:11" ht="45" hidden="1" customHeight="1" thickBot="1">
      <c r="A60" s="1086" t="s">
        <v>435</v>
      </c>
      <c r="B60" s="1069" t="s">
        <v>351</v>
      </c>
      <c r="C60" s="1062" t="e">
        <v>#REF!</v>
      </c>
      <c r="D60" s="1063" t="s">
        <v>3</v>
      </c>
      <c r="E60" s="1085">
        <v>126.24</v>
      </c>
      <c r="F60" s="1066"/>
      <c r="G60" s="1067" t="e">
        <v>#REF!</v>
      </c>
      <c r="H60" s="1068" t="e">
        <v>#REF!</v>
      </c>
      <c r="I60" s="1057"/>
      <c r="J60" s="1057"/>
      <c r="K60" s="1058"/>
    </row>
    <row r="61" spans="1:11" ht="45" hidden="1" customHeight="1" thickBot="1">
      <c r="A61" s="1083" t="s">
        <v>292</v>
      </c>
      <c r="B61" s="1089" t="s">
        <v>539</v>
      </c>
      <c r="C61" s="1062" t="e">
        <v>#REF!</v>
      </c>
      <c r="D61" s="1060" t="s">
        <v>275</v>
      </c>
      <c r="E61" s="1085">
        <v>612.33000000000004</v>
      </c>
      <c r="F61" s="1066"/>
      <c r="G61" s="1067" t="e">
        <v>#REF!</v>
      </c>
      <c r="H61" s="1068" t="e">
        <v>#REF!</v>
      </c>
      <c r="I61" s="1057"/>
      <c r="J61" s="1057"/>
      <c r="K61" s="1058"/>
    </row>
    <row r="62" spans="1:11" ht="45" hidden="1" customHeight="1" thickBot="1">
      <c r="A62" s="1086" t="s">
        <v>379</v>
      </c>
      <c r="B62" s="1069" t="s">
        <v>427</v>
      </c>
      <c r="C62" s="1062" t="e">
        <v>#REF!</v>
      </c>
      <c r="D62" s="1063" t="s">
        <v>0</v>
      </c>
      <c r="E62" s="1085">
        <v>11.56</v>
      </c>
      <c r="F62" s="1066"/>
      <c r="G62" s="1067" t="e">
        <v>#REF!</v>
      </c>
      <c r="H62" s="1068" t="e">
        <v>#REF!</v>
      </c>
      <c r="I62" s="1057"/>
      <c r="J62" s="1057"/>
      <c r="K62" s="1058"/>
    </row>
    <row r="63" spans="1:11" ht="45" hidden="1" customHeight="1" thickBot="1">
      <c r="A63" s="1086" t="s">
        <v>380</v>
      </c>
      <c r="B63" s="1072" t="s">
        <v>291</v>
      </c>
      <c r="C63" s="1062" t="e">
        <v>#REF!</v>
      </c>
      <c r="D63" s="1063" t="s">
        <v>0</v>
      </c>
      <c r="E63" s="1085">
        <v>6.55</v>
      </c>
      <c r="F63" s="1066"/>
      <c r="G63" s="1067" t="e">
        <v>#REF!</v>
      </c>
      <c r="H63" s="1068" t="e">
        <v>#REF!</v>
      </c>
      <c r="I63" s="1057"/>
      <c r="J63" s="1057"/>
      <c r="K63" s="1058"/>
    </row>
    <row r="64" spans="1:11" ht="45" hidden="1" customHeight="1" thickBot="1">
      <c r="A64" s="1086" t="s">
        <v>381</v>
      </c>
      <c r="B64" s="1072" t="s">
        <v>294</v>
      </c>
      <c r="C64" s="1062" t="e">
        <v>#REF!</v>
      </c>
      <c r="D64" s="1063" t="s">
        <v>221</v>
      </c>
      <c r="E64" s="1085">
        <v>2.84</v>
      </c>
      <c r="F64" s="1066"/>
      <c r="G64" s="1067" t="e">
        <v>#REF!</v>
      </c>
      <c r="H64" s="1068" t="e">
        <v>#REF!</v>
      </c>
      <c r="I64" s="1057"/>
      <c r="J64" s="1057"/>
      <c r="K64" s="1058"/>
    </row>
    <row r="65" spans="1:11" ht="45" hidden="1" customHeight="1" thickBot="1">
      <c r="A65" s="1086" t="s">
        <v>382</v>
      </c>
      <c r="B65" s="1079" t="s">
        <v>218</v>
      </c>
      <c r="C65" s="1062" t="e">
        <v>#REF!</v>
      </c>
      <c r="D65" s="1063" t="s">
        <v>2</v>
      </c>
      <c r="E65" s="1085">
        <v>5.58</v>
      </c>
      <c r="F65" s="1066"/>
      <c r="G65" s="1067" t="e">
        <v>#REF!</v>
      </c>
      <c r="H65" s="1068" t="e">
        <v>#REF!</v>
      </c>
      <c r="I65" s="1057"/>
      <c r="J65" s="1057"/>
      <c r="K65" s="1058"/>
    </row>
    <row r="66" spans="1:11" ht="45" hidden="1" customHeight="1" thickBot="1">
      <c r="A66" s="1086" t="s">
        <v>383</v>
      </c>
      <c r="B66" s="1072" t="s">
        <v>288</v>
      </c>
      <c r="C66" s="1062" t="e">
        <v>#REF!</v>
      </c>
      <c r="D66" s="1062" t="s">
        <v>2</v>
      </c>
      <c r="E66" s="1085">
        <v>39.04</v>
      </c>
      <c r="F66" s="1066"/>
      <c r="G66" s="1067" t="e">
        <v>#REF!</v>
      </c>
      <c r="H66" s="1068" t="e">
        <v>#REF!</v>
      </c>
      <c r="I66" s="1057"/>
      <c r="J66" s="1057"/>
      <c r="K66" s="1058"/>
    </row>
    <row r="67" spans="1:11" ht="45" hidden="1" customHeight="1" thickBot="1">
      <c r="A67" s="1086" t="s">
        <v>384</v>
      </c>
      <c r="B67" s="1072" t="s">
        <v>425</v>
      </c>
      <c r="C67" s="1062" t="e">
        <v>#REF!</v>
      </c>
      <c r="D67" s="1063" t="s">
        <v>0</v>
      </c>
      <c r="E67" s="1085">
        <v>141.51</v>
      </c>
      <c r="F67" s="1066"/>
      <c r="G67" s="1067" t="e">
        <v>#REF!</v>
      </c>
      <c r="H67" s="1068" t="e">
        <v>#REF!</v>
      </c>
      <c r="I67" s="1057"/>
      <c r="J67" s="1057"/>
      <c r="K67" s="1058"/>
    </row>
    <row r="68" spans="1:11" ht="45" hidden="1" customHeight="1" thickBot="1">
      <c r="A68" s="1086" t="s">
        <v>385</v>
      </c>
      <c r="B68" s="1072" t="s">
        <v>499</v>
      </c>
      <c r="C68" s="1062" t="e">
        <v>#REF!</v>
      </c>
      <c r="D68" s="1063" t="s">
        <v>0</v>
      </c>
      <c r="E68" s="1085">
        <v>17.59</v>
      </c>
      <c r="F68" s="1066"/>
      <c r="G68" s="1067" t="e">
        <v>#REF!</v>
      </c>
      <c r="H68" s="1068" t="e">
        <v>#REF!</v>
      </c>
      <c r="I68" s="1057"/>
      <c r="J68" s="1057"/>
      <c r="K68" s="1058"/>
    </row>
    <row r="69" spans="1:11" ht="43.5" hidden="1" customHeight="1" thickBot="1">
      <c r="A69" s="1086" t="s">
        <v>436</v>
      </c>
      <c r="B69" s="1072" t="s">
        <v>498</v>
      </c>
      <c r="C69" s="1062" t="e">
        <v>#REF!</v>
      </c>
      <c r="D69" s="1062" t="s">
        <v>2</v>
      </c>
      <c r="E69" s="1085">
        <v>43.07</v>
      </c>
      <c r="F69" s="1066"/>
      <c r="G69" s="1067" t="e">
        <v>#REF!</v>
      </c>
      <c r="H69" s="1068" t="e">
        <v>#REF!</v>
      </c>
      <c r="I69" s="1057"/>
      <c r="J69" s="1057"/>
      <c r="K69" s="1058"/>
    </row>
    <row r="70" spans="1:11" ht="75.75" hidden="1" customHeight="1" thickBot="1">
      <c r="A70" s="1086" t="s">
        <v>437</v>
      </c>
      <c r="B70" s="1069" t="s">
        <v>352</v>
      </c>
      <c r="C70" s="1062" t="e">
        <v>#REF!</v>
      </c>
      <c r="D70" s="1063" t="s">
        <v>3</v>
      </c>
      <c r="E70" s="1085">
        <v>166.1</v>
      </c>
      <c r="F70" s="1066"/>
      <c r="G70" s="1067" t="e">
        <v>#REF!</v>
      </c>
      <c r="H70" s="1068" t="e">
        <v>#REF!</v>
      </c>
      <c r="I70" s="1057"/>
      <c r="J70" s="1057"/>
      <c r="K70" s="1058"/>
    </row>
    <row r="71" spans="1:11" ht="45" hidden="1" customHeight="1" thickBot="1">
      <c r="A71" s="1083" t="s">
        <v>386</v>
      </c>
      <c r="B71" s="1089" t="s">
        <v>540</v>
      </c>
      <c r="C71" s="1062" t="e">
        <v>#REF!</v>
      </c>
      <c r="D71" s="1060" t="s">
        <v>275</v>
      </c>
      <c r="E71" s="1085">
        <v>955.61</v>
      </c>
      <c r="F71" s="1066"/>
      <c r="G71" s="1067" t="e">
        <v>#REF!</v>
      </c>
      <c r="H71" s="1068" t="e">
        <v>#REF!</v>
      </c>
      <c r="I71" s="1057"/>
      <c r="J71" s="1057"/>
      <c r="K71" s="1058"/>
    </row>
    <row r="72" spans="1:11" ht="45" hidden="1" customHeight="1" thickBot="1">
      <c r="A72" s="1086" t="s">
        <v>387</v>
      </c>
      <c r="B72" s="1069" t="s">
        <v>427</v>
      </c>
      <c r="C72" s="1062" t="e">
        <v>#REF!</v>
      </c>
      <c r="D72" s="1063" t="s">
        <v>0</v>
      </c>
      <c r="E72" s="1085">
        <v>11.56</v>
      </c>
      <c r="F72" s="1066"/>
      <c r="G72" s="1067" t="e">
        <v>#REF!</v>
      </c>
      <c r="H72" s="1068" t="e">
        <v>#REF!</v>
      </c>
      <c r="I72" s="1057"/>
      <c r="J72" s="1057"/>
      <c r="K72" s="1058"/>
    </row>
    <row r="73" spans="1:11" ht="45" hidden="1" customHeight="1" thickBot="1">
      <c r="A73" s="1086" t="s">
        <v>388</v>
      </c>
      <c r="B73" s="1072" t="s">
        <v>291</v>
      </c>
      <c r="C73" s="1062" t="e">
        <v>#REF!</v>
      </c>
      <c r="D73" s="1063" t="s">
        <v>0</v>
      </c>
      <c r="E73" s="1085">
        <v>6.55</v>
      </c>
      <c r="F73" s="1066"/>
      <c r="G73" s="1067" t="e">
        <v>#REF!</v>
      </c>
      <c r="H73" s="1068" t="e">
        <v>#REF!</v>
      </c>
      <c r="I73" s="1057"/>
      <c r="J73" s="1057"/>
      <c r="K73" s="1058"/>
    </row>
    <row r="74" spans="1:11" ht="45" hidden="1" customHeight="1" thickBot="1">
      <c r="A74" s="1086" t="s">
        <v>389</v>
      </c>
      <c r="B74" s="1072" t="s">
        <v>294</v>
      </c>
      <c r="C74" s="1062" t="e">
        <v>#REF!</v>
      </c>
      <c r="D74" s="1063" t="s">
        <v>221</v>
      </c>
      <c r="E74" s="1085">
        <v>2.84</v>
      </c>
      <c r="F74" s="1066"/>
      <c r="G74" s="1067" t="e">
        <v>#REF!</v>
      </c>
      <c r="H74" s="1068" t="e">
        <v>#REF!</v>
      </c>
      <c r="I74" s="1057"/>
      <c r="J74" s="1057"/>
      <c r="K74" s="1058"/>
    </row>
    <row r="75" spans="1:11" ht="45" hidden="1" customHeight="1" thickBot="1">
      <c r="A75" s="1086" t="s">
        <v>390</v>
      </c>
      <c r="B75" s="1079" t="s">
        <v>218</v>
      </c>
      <c r="C75" s="1062" t="e">
        <v>#REF!</v>
      </c>
      <c r="D75" s="1063" t="s">
        <v>2</v>
      </c>
      <c r="E75" s="1085">
        <v>5.58</v>
      </c>
      <c r="F75" s="1066"/>
      <c r="G75" s="1067" t="e">
        <v>#REF!</v>
      </c>
      <c r="H75" s="1068" t="e">
        <v>#REF!</v>
      </c>
      <c r="I75" s="1057"/>
      <c r="J75" s="1057"/>
      <c r="K75" s="1058"/>
    </row>
    <row r="76" spans="1:11" ht="45" hidden="1" customHeight="1" thickBot="1">
      <c r="A76" s="1086" t="s">
        <v>391</v>
      </c>
      <c r="B76" s="1072" t="s">
        <v>288</v>
      </c>
      <c r="C76" s="1062" t="e">
        <v>#REF!</v>
      </c>
      <c r="D76" s="1062" t="s">
        <v>2</v>
      </c>
      <c r="E76" s="1085">
        <v>39.04</v>
      </c>
      <c r="F76" s="1066"/>
      <c r="G76" s="1067" t="e">
        <v>#REF!</v>
      </c>
      <c r="H76" s="1068" t="e">
        <v>#REF!</v>
      </c>
      <c r="I76" s="1057"/>
      <c r="J76" s="1057"/>
      <c r="K76" s="1058"/>
    </row>
    <row r="77" spans="1:11" ht="45" hidden="1" customHeight="1" thickBot="1">
      <c r="A77" s="1086" t="s">
        <v>392</v>
      </c>
      <c r="B77" s="1072" t="s">
        <v>425</v>
      </c>
      <c r="C77" s="1062" t="e">
        <v>#REF!</v>
      </c>
      <c r="D77" s="1063" t="s">
        <v>0</v>
      </c>
      <c r="E77" s="1085">
        <v>141.51</v>
      </c>
      <c r="F77" s="1066"/>
      <c r="G77" s="1067" t="e">
        <v>#REF!</v>
      </c>
      <c r="H77" s="1068" t="e">
        <v>#REF!</v>
      </c>
      <c r="I77" s="1057"/>
      <c r="J77" s="1057"/>
      <c r="K77" s="1058"/>
    </row>
    <row r="78" spans="1:11" ht="45" hidden="1" customHeight="1" thickBot="1">
      <c r="A78" s="1086" t="s">
        <v>393</v>
      </c>
      <c r="B78" s="1072" t="s">
        <v>499</v>
      </c>
      <c r="C78" s="1062" t="e">
        <v>#REF!</v>
      </c>
      <c r="D78" s="1063" t="s">
        <v>0</v>
      </c>
      <c r="E78" s="1085">
        <v>17.59</v>
      </c>
      <c r="F78" s="1066"/>
      <c r="G78" s="1067" t="e">
        <v>#REF!</v>
      </c>
      <c r="H78" s="1068" t="e">
        <v>#REF!</v>
      </c>
      <c r="I78" s="1057"/>
      <c r="J78" s="1057"/>
      <c r="K78" s="1058"/>
    </row>
    <row r="79" spans="1:11" ht="45" hidden="1" customHeight="1" thickBot="1">
      <c r="A79" s="1086" t="s">
        <v>438</v>
      </c>
      <c r="B79" s="1072" t="s">
        <v>498</v>
      </c>
      <c r="C79" s="1062" t="e">
        <v>#REF!</v>
      </c>
      <c r="D79" s="1062" t="s">
        <v>2</v>
      </c>
      <c r="E79" s="1085">
        <v>43.07</v>
      </c>
      <c r="F79" s="1066"/>
      <c r="G79" s="1067" t="e">
        <v>#REF!</v>
      </c>
      <c r="H79" s="1068" t="e">
        <v>#REF!</v>
      </c>
      <c r="I79" s="1057"/>
      <c r="J79" s="1057"/>
      <c r="K79" s="1058"/>
    </row>
    <row r="80" spans="1:11" ht="45" hidden="1" customHeight="1" thickBot="1">
      <c r="A80" s="1086" t="s">
        <v>439</v>
      </c>
      <c r="B80" s="1069" t="s">
        <v>346</v>
      </c>
      <c r="C80" s="1062" t="e">
        <v>#REF!</v>
      </c>
      <c r="D80" s="1063" t="s">
        <v>3</v>
      </c>
      <c r="E80" s="1085">
        <v>206.05</v>
      </c>
      <c r="F80" s="1066"/>
      <c r="G80" s="1067" t="e">
        <v>#REF!</v>
      </c>
      <c r="H80" s="1068" t="e">
        <v>#REF!</v>
      </c>
      <c r="I80" s="1057"/>
      <c r="J80" s="1057"/>
      <c r="K80" s="1058"/>
    </row>
    <row r="81" spans="1:11" ht="45" hidden="1" customHeight="1" thickBot="1">
      <c r="A81" s="1083" t="s">
        <v>394</v>
      </c>
      <c r="B81" s="1089" t="s">
        <v>541</v>
      </c>
      <c r="C81" s="1062" t="e">
        <v>#REF!</v>
      </c>
      <c r="D81" s="1060" t="s">
        <v>275</v>
      </c>
      <c r="E81" s="1085">
        <v>1451.26</v>
      </c>
      <c r="F81" s="1066"/>
      <c r="G81" s="1067" t="e">
        <v>#REF!</v>
      </c>
      <c r="H81" s="1068" t="e">
        <v>#REF!</v>
      </c>
      <c r="I81" s="1057"/>
      <c r="J81" s="1057"/>
      <c r="K81" s="1058"/>
    </row>
    <row r="82" spans="1:11" ht="45" hidden="1" customHeight="1" thickBot="1">
      <c r="A82" s="1086" t="s">
        <v>395</v>
      </c>
      <c r="B82" s="1069" t="s">
        <v>427</v>
      </c>
      <c r="C82" s="1062" t="e">
        <v>#REF!</v>
      </c>
      <c r="D82" s="1063" t="s">
        <v>0</v>
      </c>
      <c r="E82" s="1085">
        <v>11.56</v>
      </c>
      <c r="F82" s="1066"/>
      <c r="G82" s="1067" t="e">
        <v>#REF!</v>
      </c>
      <c r="H82" s="1068" t="e">
        <v>#REF!</v>
      </c>
      <c r="I82" s="1057"/>
      <c r="J82" s="1057"/>
      <c r="K82" s="1058"/>
    </row>
    <row r="83" spans="1:11" ht="45" hidden="1" customHeight="1" thickBot="1">
      <c r="A83" s="1086" t="s">
        <v>396</v>
      </c>
      <c r="B83" s="1072" t="s">
        <v>291</v>
      </c>
      <c r="C83" s="1062" t="e">
        <v>#REF!</v>
      </c>
      <c r="D83" s="1063" t="s">
        <v>0</v>
      </c>
      <c r="E83" s="1085">
        <v>6.55</v>
      </c>
      <c r="F83" s="1066"/>
      <c r="G83" s="1067" t="e">
        <v>#REF!</v>
      </c>
      <c r="H83" s="1068" t="e">
        <v>#REF!</v>
      </c>
      <c r="I83" s="1057"/>
      <c r="J83" s="1057"/>
      <c r="K83" s="1058"/>
    </row>
    <row r="84" spans="1:11" ht="45" hidden="1" customHeight="1" thickBot="1">
      <c r="A84" s="1086" t="s">
        <v>397</v>
      </c>
      <c r="B84" s="1072" t="s">
        <v>294</v>
      </c>
      <c r="C84" s="1062" t="e">
        <v>#REF!</v>
      </c>
      <c r="D84" s="1063" t="s">
        <v>221</v>
      </c>
      <c r="E84" s="1085">
        <v>2.84</v>
      </c>
      <c r="F84" s="1066"/>
      <c r="G84" s="1067" t="e">
        <v>#REF!</v>
      </c>
      <c r="H84" s="1068" t="e">
        <v>#REF!</v>
      </c>
      <c r="I84" s="1057"/>
      <c r="J84" s="1057"/>
      <c r="K84" s="1058"/>
    </row>
    <row r="85" spans="1:11" ht="45" hidden="1" customHeight="1" thickBot="1">
      <c r="A85" s="1086" t="s">
        <v>398</v>
      </c>
      <c r="B85" s="1079" t="s">
        <v>218</v>
      </c>
      <c r="C85" s="1062" t="e">
        <v>#REF!</v>
      </c>
      <c r="D85" s="1063" t="s">
        <v>2</v>
      </c>
      <c r="E85" s="1085">
        <v>5.58</v>
      </c>
      <c r="F85" s="1066"/>
      <c r="G85" s="1067" t="e">
        <v>#REF!</v>
      </c>
      <c r="H85" s="1068" t="e">
        <v>#REF!</v>
      </c>
      <c r="I85" s="1057"/>
      <c r="J85" s="1057"/>
      <c r="K85" s="1058"/>
    </row>
    <row r="86" spans="1:11" ht="45" hidden="1" customHeight="1" thickBot="1">
      <c r="A86" s="1086" t="s">
        <v>399</v>
      </c>
      <c r="B86" s="1072" t="s">
        <v>288</v>
      </c>
      <c r="C86" s="1062" t="e">
        <v>#REF!</v>
      </c>
      <c r="D86" s="1062" t="s">
        <v>2</v>
      </c>
      <c r="E86" s="1085">
        <v>39.04</v>
      </c>
      <c r="F86" s="1066"/>
      <c r="G86" s="1067" t="e">
        <v>#REF!</v>
      </c>
      <c r="H86" s="1068" t="e">
        <v>#REF!</v>
      </c>
      <c r="I86" s="1057"/>
      <c r="J86" s="1057"/>
      <c r="K86" s="1058"/>
    </row>
    <row r="87" spans="1:11" ht="45" hidden="1" customHeight="1" thickBot="1">
      <c r="A87" s="1086" t="s">
        <v>400</v>
      </c>
      <c r="B87" s="1072" t="s">
        <v>425</v>
      </c>
      <c r="C87" s="1062" t="e">
        <v>#REF!</v>
      </c>
      <c r="D87" s="1063" t="s">
        <v>0</v>
      </c>
      <c r="E87" s="1085">
        <v>141.51</v>
      </c>
      <c r="F87" s="1066"/>
      <c r="G87" s="1067" t="e">
        <v>#REF!</v>
      </c>
      <c r="H87" s="1068" t="e">
        <v>#REF!</v>
      </c>
      <c r="I87" s="1057"/>
      <c r="J87" s="1057"/>
      <c r="K87" s="1058"/>
    </row>
    <row r="88" spans="1:11" ht="45" hidden="1" customHeight="1" thickBot="1">
      <c r="A88" s="1086" t="s">
        <v>401</v>
      </c>
      <c r="B88" s="1072" t="s">
        <v>499</v>
      </c>
      <c r="C88" s="1062" t="e">
        <v>#REF!</v>
      </c>
      <c r="D88" s="1063" t="s">
        <v>0</v>
      </c>
      <c r="E88" s="1085">
        <v>17.59</v>
      </c>
      <c r="F88" s="1066"/>
      <c r="G88" s="1067" t="e">
        <v>#REF!</v>
      </c>
      <c r="H88" s="1068" t="e">
        <v>#REF!</v>
      </c>
      <c r="I88" s="1057"/>
      <c r="J88" s="1057"/>
      <c r="K88" s="1058"/>
    </row>
    <row r="89" spans="1:11" ht="45" hidden="1" customHeight="1" thickBot="1">
      <c r="A89" s="1086" t="s">
        <v>440</v>
      </c>
      <c r="B89" s="1072" t="s">
        <v>498</v>
      </c>
      <c r="C89" s="1062" t="e">
        <v>#REF!</v>
      </c>
      <c r="D89" s="1062" t="s">
        <v>2</v>
      </c>
      <c r="E89" s="1085">
        <v>43.07</v>
      </c>
      <c r="F89" s="1066"/>
      <c r="G89" s="1067" t="e">
        <v>#REF!</v>
      </c>
      <c r="H89" s="1068" t="e">
        <v>#REF!</v>
      </c>
      <c r="I89" s="1057"/>
      <c r="J89" s="1057"/>
      <c r="K89" s="1058"/>
    </row>
    <row r="90" spans="1:11" ht="45" hidden="1" customHeight="1" thickBot="1">
      <c r="A90" s="1086" t="s">
        <v>441</v>
      </c>
      <c r="B90" s="1069" t="s">
        <v>347</v>
      </c>
      <c r="C90" s="1062" t="e">
        <v>#REF!</v>
      </c>
      <c r="D90" s="1063" t="s">
        <v>3</v>
      </c>
      <c r="E90" s="1085">
        <v>273.91000000000003</v>
      </c>
      <c r="F90" s="1066"/>
      <c r="G90" s="1067" t="e">
        <v>#REF!</v>
      </c>
      <c r="H90" s="1068" t="e">
        <v>#REF!</v>
      </c>
      <c r="I90" s="1057"/>
      <c r="J90" s="1057"/>
      <c r="K90" s="1058"/>
    </row>
    <row r="91" spans="1:11" ht="45" hidden="1" customHeight="1" thickBot="1">
      <c r="A91" s="1083" t="s">
        <v>292</v>
      </c>
      <c r="B91" s="1089" t="s">
        <v>219</v>
      </c>
      <c r="C91" s="1062"/>
      <c r="D91" s="1063"/>
      <c r="E91" s="1085"/>
      <c r="F91" s="1066"/>
      <c r="G91" s="1067"/>
      <c r="H91" s="1068">
        <v>0</v>
      </c>
      <c r="I91" s="1057"/>
      <c r="J91" s="1057"/>
      <c r="K91" s="1058"/>
    </row>
    <row r="92" spans="1:11" ht="45" hidden="1" customHeight="1" thickBot="1">
      <c r="A92" s="1086" t="s">
        <v>379</v>
      </c>
      <c r="B92" s="1069" t="s">
        <v>213</v>
      </c>
      <c r="C92" s="1062" t="e">
        <v>#REF!</v>
      </c>
      <c r="D92" s="1060" t="s">
        <v>275</v>
      </c>
      <c r="E92" s="1085">
        <v>1622.69</v>
      </c>
      <c r="F92" s="1066"/>
      <c r="G92" s="1067" t="e">
        <v>#REF!</v>
      </c>
      <c r="H92" s="1068" t="e">
        <v>#REF!</v>
      </c>
      <c r="I92" s="1057"/>
      <c r="J92" s="1057"/>
      <c r="K92" s="1058"/>
    </row>
    <row r="93" spans="1:11" ht="45" hidden="1" customHeight="1" thickBot="1">
      <c r="A93" s="1083" t="s">
        <v>386</v>
      </c>
      <c r="B93" s="1089" t="s">
        <v>402</v>
      </c>
      <c r="C93" s="1062"/>
      <c r="D93" s="1063"/>
      <c r="E93" s="1085"/>
      <c r="F93" s="1066"/>
      <c r="G93" s="1067"/>
      <c r="H93" s="1068">
        <v>0</v>
      </c>
      <c r="I93" s="1057"/>
      <c r="J93" s="1057"/>
      <c r="K93" s="1058"/>
    </row>
    <row r="94" spans="1:11" ht="45" hidden="1" customHeight="1" thickBot="1">
      <c r="A94" s="1086" t="s">
        <v>387</v>
      </c>
      <c r="B94" s="1069" t="s">
        <v>2624</v>
      </c>
      <c r="C94" s="1062" t="e">
        <v>#REF!</v>
      </c>
      <c r="D94" s="1060" t="s">
        <v>275</v>
      </c>
      <c r="E94" s="1085">
        <v>209.75</v>
      </c>
      <c r="F94" s="1066"/>
      <c r="G94" s="1067" t="e">
        <v>#REF!</v>
      </c>
      <c r="H94" s="1068" t="e">
        <v>#REF!</v>
      </c>
      <c r="I94" s="1057"/>
      <c r="J94" s="1057"/>
      <c r="K94" s="1058"/>
    </row>
    <row r="95" spans="1:11" ht="45" hidden="1" customHeight="1" thickBot="1">
      <c r="A95" s="1083" t="s">
        <v>394</v>
      </c>
      <c r="B95" s="1089" t="s">
        <v>220</v>
      </c>
      <c r="C95" s="1062"/>
      <c r="D95" s="1063"/>
      <c r="E95" s="1085"/>
      <c r="F95" s="1066"/>
      <c r="G95" s="1067"/>
      <c r="H95" s="1068">
        <v>0</v>
      </c>
      <c r="I95" s="1057"/>
      <c r="J95" s="1057"/>
      <c r="K95" s="1058"/>
    </row>
    <row r="96" spans="1:11" ht="45" hidden="1" customHeight="1" thickBot="1">
      <c r="A96" s="1086" t="s">
        <v>395</v>
      </c>
      <c r="B96" s="1069" t="s">
        <v>2625</v>
      </c>
      <c r="C96" s="1062" t="e">
        <v>#REF!</v>
      </c>
      <c r="D96" s="1060" t="s">
        <v>275</v>
      </c>
      <c r="E96" s="1085">
        <v>6290.65</v>
      </c>
      <c r="F96" s="1066"/>
      <c r="G96" s="1067" t="e">
        <v>#REF!</v>
      </c>
      <c r="H96" s="1068" t="e">
        <v>#REF!</v>
      </c>
      <c r="I96" s="1057"/>
      <c r="J96" s="1057"/>
      <c r="K96" s="1058"/>
    </row>
    <row r="97" spans="1:16" ht="45" hidden="1" customHeight="1" thickBot="1">
      <c r="A97" s="1083" t="s">
        <v>2626</v>
      </c>
      <c r="B97" s="1089" t="s">
        <v>2627</v>
      </c>
      <c r="C97" s="1062"/>
      <c r="D97" s="1063"/>
      <c r="E97" s="1085"/>
      <c r="F97" s="1066"/>
      <c r="G97" s="1067"/>
      <c r="H97" s="1068">
        <v>0</v>
      </c>
      <c r="I97" s="1057"/>
      <c r="J97" s="1057"/>
      <c r="K97" s="1058"/>
    </row>
    <row r="98" spans="1:16" ht="45" hidden="1" customHeight="1" thickBot="1">
      <c r="A98" s="1086" t="s">
        <v>2628</v>
      </c>
      <c r="B98" s="1069" t="s">
        <v>2629</v>
      </c>
      <c r="C98" s="1062" t="e">
        <v>#REF!</v>
      </c>
      <c r="D98" s="1060" t="s">
        <v>275</v>
      </c>
      <c r="E98" s="1085">
        <v>106.74</v>
      </c>
      <c r="F98" s="1066"/>
      <c r="G98" s="1067" t="e">
        <v>#REF!</v>
      </c>
      <c r="H98" s="1068" t="e">
        <v>#REF!</v>
      </c>
      <c r="I98" s="1057"/>
      <c r="J98" s="1057"/>
      <c r="K98" s="1058"/>
    </row>
    <row r="99" spans="1:16" ht="45" hidden="1" customHeight="1" thickBot="1">
      <c r="A99" s="1083" t="s">
        <v>2630</v>
      </c>
      <c r="B99" s="1089" t="s">
        <v>451</v>
      </c>
      <c r="C99" s="1062"/>
      <c r="D99" s="1063"/>
      <c r="E99" s="1085"/>
      <c r="F99" s="1066"/>
      <c r="G99" s="1067"/>
      <c r="H99" s="1068">
        <v>0</v>
      </c>
      <c r="I99" s="1057"/>
      <c r="J99" s="1057"/>
      <c r="K99" s="1058"/>
    </row>
    <row r="100" spans="1:16" ht="45" hidden="1" customHeight="1" thickBot="1">
      <c r="A100" s="1086" t="s">
        <v>2631</v>
      </c>
      <c r="B100" s="1069" t="s">
        <v>2632</v>
      </c>
      <c r="C100" s="1062" t="e">
        <v>#REF!</v>
      </c>
      <c r="D100" s="1060" t="s">
        <v>275</v>
      </c>
      <c r="E100" s="1085">
        <v>5841.18</v>
      </c>
      <c r="F100" s="1066"/>
      <c r="G100" s="1067" t="e">
        <v>#REF!</v>
      </c>
      <c r="H100" s="1068" t="e">
        <v>#REF!</v>
      </c>
      <c r="I100" s="1057"/>
      <c r="J100" s="1057"/>
      <c r="K100" s="1058"/>
    </row>
    <row r="101" spans="1:16" ht="27.95" hidden="1" customHeight="1" thickBot="1">
      <c r="A101" s="1458" t="s">
        <v>12</v>
      </c>
      <c r="B101" s="1459"/>
      <c r="C101" s="1459"/>
      <c r="D101" s="1459"/>
      <c r="E101" s="1459"/>
      <c r="F101" s="1080"/>
      <c r="G101" s="1071" t="e">
        <v>#REF!</v>
      </c>
      <c r="H101" s="1056" t="e">
        <v>#REF!</v>
      </c>
      <c r="I101" s="1057"/>
      <c r="J101" s="1057"/>
      <c r="K101" s="1058"/>
    </row>
    <row r="102" spans="1:16" s="435" customFormat="1" ht="27.95" customHeight="1" thickBot="1">
      <c r="A102" s="1150"/>
      <c r="B102" s="1151"/>
      <c r="C102" s="1151"/>
      <c r="D102" s="1151"/>
      <c r="E102" s="1151"/>
      <c r="F102" s="1151"/>
      <c r="G102" s="1152"/>
      <c r="H102" s="1153"/>
      <c r="I102" s="1146"/>
      <c r="J102" s="1146"/>
      <c r="K102" s="1154"/>
    </row>
    <row r="103" spans="1:16" ht="46.15" customHeight="1">
      <c r="A103" s="1133">
        <v>3</v>
      </c>
      <c r="B103" s="1131" t="s">
        <v>3484</v>
      </c>
      <c r="C103" s="1131" t="s">
        <v>2618</v>
      </c>
      <c r="D103" s="1134">
        <v>1</v>
      </c>
      <c r="E103" s="1132">
        <f>'[62]QCI '!$E$103</f>
        <v>61000.38</v>
      </c>
      <c r="F103" s="1054">
        <f>G103-E103</f>
        <v>26094.1</v>
      </c>
      <c r="G103" s="1136">
        <f>'ORÇAMENTO (F)'!K746</f>
        <v>87094.48</v>
      </c>
      <c r="H103" s="1129">
        <f>G103/$G$174</f>
        <v>3.2000000000000002E-3</v>
      </c>
      <c r="I103" s="1057"/>
      <c r="J103" s="1057"/>
      <c r="K103" s="1058"/>
      <c r="O103" s="1455"/>
      <c r="P103" s="1455"/>
    </row>
    <row r="104" spans="1:16" s="293" customFormat="1" ht="45" hidden="1" customHeight="1">
      <c r="A104" s="1098" t="s">
        <v>13</v>
      </c>
      <c r="B104" s="1091" t="s">
        <v>2633</v>
      </c>
      <c r="C104" s="1099" t="e">
        <v>#REF!</v>
      </c>
      <c r="D104" s="1092" t="s">
        <v>2</v>
      </c>
      <c r="E104" s="1100"/>
      <c r="F104" s="1066"/>
      <c r="G104" s="1067" t="e">
        <v>#REF!</v>
      </c>
      <c r="H104" s="1068">
        <v>0</v>
      </c>
      <c r="I104" s="1057"/>
      <c r="J104" s="1057"/>
      <c r="K104" s="1058"/>
      <c r="O104" s="1453"/>
      <c r="P104" s="1453"/>
    </row>
    <row r="105" spans="1:16" ht="78.75" hidden="1">
      <c r="A105" s="1098" t="s">
        <v>142</v>
      </c>
      <c r="B105" s="1072" t="s">
        <v>2634</v>
      </c>
      <c r="C105" s="1073" t="e">
        <v>#REF!</v>
      </c>
      <c r="D105" s="1062" t="s">
        <v>0</v>
      </c>
      <c r="E105" s="1100">
        <v>14.73</v>
      </c>
      <c r="F105" s="1066"/>
      <c r="G105" s="1067" t="e">
        <v>#REF!</v>
      </c>
      <c r="H105" s="1068">
        <v>0</v>
      </c>
      <c r="I105" s="1057"/>
      <c r="J105" s="1057"/>
      <c r="K105" s="1058"/>
    </row>
    <row r="106" spans="1:16" ht="52.5" hidden="1">
      <c r="A106" s="1098" t="s">
        <v>143</v>
      </c>
      <c r="B106" s="1072" t="s">
        <v>2635</v>
      </c>
      <c r="C106" s="1062" t="e">
        <v>#REF!</v>
      </c>
      <c r="D106" s="1063" t="s">
        <v>221</v>
      </c>
      <c r="E106" s="1101">
        <v>2.97</v>
      </c>
      <c r="F106" s="1066"/>
      <c r="G106" s="1067" t="e">
        <v>#REF!</v>
      </c>
      <c r="H106" s="1068">
        <v>0</v>
      </c>
      <c r="I106" s="1057"/>
      <c r="J106" s="1057"/>
      <c r="K106" s="1058"/>
    </row>
    <row r="107" spans="1:16" ht="76.5" hidden="1" customHeight="1" thickBot="1">
      <c r="A107" s="1098" t="s">
        <v>410</v>
      </c>
      <c r="B107" s="1072" t="s">
        <v>2636</v>
      </c>
      <c r="C107" s="1062" t="e">
        <v>#REF!</v>
      </c>
      <c r="D107" s="1063" t="s">
        <v>0</v>
      </c>
      <c r="E107" s="1101">
        <v>15.02</v>
      </c>
      <c r="F107" s="1066"/>
      <c r="G107" s="1067" t="e">
        <v>#REF!</v>
      </c>
      <c r="H107" s="1068">
        <v>0</v>
      </c>
      <c r="I107" s="1057"/>
      <c r="J107" s="1057"/>
      <c r="K107" s="1058"/>
    </row>
    <row r="108" spans="1:16" ht="45" hidden="1" customHeight="1" thickBot="1">
      <c r="A108" s="1098" t="s">
        <v>410</v>
      </c>
      <c r="B108" s="1072" t="s">
        <v>601</v>
      </c>
      <c r="C108" s="1062" t="e">
        <v>#REF!</v>
      </c>
      <c r="D108" s="1063" t="s">
        <v>0</v>
      </c>
      <c r="E108" s="1085">
        <v>11.56</v>
      </c>
      <c r="F108" s="1066"/>
      <c r="G108" s="1067" t="e">
        <v>#REF!</v>
      </c>
      <c r="H108" s="1068">
        <v>0</v>
      </c>
      <c r="I108" s="1057"/>
      <c r="J108" s="1057"/>
      <c r="K108" s="1058"/>
    </row>
    <row r="109" spans="1:16" ht="76.5" hidden="1" customHeight="1" thickBot="1">
      <c r="A109" s="1098" t="s">
        <v>594</v>
      </c>
      <c r="B109" s="1072" t="s">
        <v>2636</v>
      </c>
      <c r="C109" s="1062" t="e">
        <v>#REF!</v>
      </c>
      <c r="D109" s="1063" t="s">
        <v>0</v>
      </c>
      <c r="E109" s="1085">
        <v>15.02</v>
      </c>
      <c r="F109" s="1066"/>
      <c r="G109" s="1067" t="e">
        <v>#REF!</v>
      </c>
      <c r="H109" s="1068">
        <v>0</v>
      </c>
      <c r="I109" s="1057"/>
      <c r="J109" s="1057"/>
      <c r="K109" s="1058"/>
    </row>
    <row r="110" spans="1:16" ht="45" hidden="1" customHeight="1" thickBot="1">
      <c r="A110" s="1098" t="s">
        <v>595</v>
      </c>
      <c r="B110" s="1072" t="s">
        <v>598</v>
      </c>
      <c r="C110" s="1062" t="e">
        <v>#REF!</v>
      </c>
      <c r="D110" s="1063" t="s">
        <v>0</v>
      </c>
      <c r="E110" s="1085">
        <v>36.51</v>
      </c>
      <c r="F110" s="1066"/>
      <c r="G110" s="1067" t="e">
        <v>#REF!</v>
      </c>
      <c r="H110" s="1068">
        <v>0</v>
      </c>
      <c r="I110" s="1057"/>
      <c r="J110" s="1057"/>
      <c r="K110" s="1058"/>
    </row>
    <row r="111" spans="1:16" ht="45" hidden="1" customHeight="1" thickBot="1">
      <c r="A111" s="1098" t="s">
        <v>646</v>
      </c>
      <c r="B111" s="1072" t="s">
        <v>599</v>
      </c>
      <c r="C111" s="1062" t="e">
        <v>#REF!</v>
      </c>
      <c r="D111" s="1063" t="s">
        <v>602</v>
      </c>
      <c r="E111" s="1085">
        <v>1.91</v>
      </c>
      <c r="F111" s="1066"/>
      <c r="G111" s="1067" t="e">
        <v>#REF!</v>
      </c>
      <c r="H111" s="1068">
        <v>0</v>
      </c>
      <c r="I111" s="1057"/>
      <c r="J111" s="1057"/>
      <c r="K111" s="1058"/>
    </row>
    <row r="112" spans="1:16" ht="45" hidden="1" customHeight="1" thickBot="1">
      <c r="A112" s="1098" t="s">
        <v>2637</v>
      </c>
      <c r="B112" s="1072" t="s">
        <v>600</v>
      </c>
      <c r="C112" s="1062" t="e">
        <v>#REF!</v>
      </c>
      <c r="D112" s="1063" t="s">
        <v>602</v>
      </c>
      <c r="E112" s="1085">
        <v>1.01</v>
      </c>
      <c r="F112" s="1066"/>
      <c r="G112" s="1067" t="e">
        <v>#REF!</v>
      </c>
      <c r="H112" s="1068">
        <v>0</v>
      </c>
      <c r="I112" s="1057"/>
      <c r="J112" s="1057"/>
      <c r="K112" s="1058"/>
    </row>
    <row r="113" spans="1:16" ht="45" hidden="1" customHeight="1" thickBot="1">
      <c r="A113" s="1098" t="s">
        <v>2638</v>
      </c>
      <c r="B113" s="1072"/>
      <c r="C113" s="1062"/>
      <c r="D113" s="1063"/>
      <c r="E113" s="1085"/>
      <c r="F113" s="1066"/>
      <c r="G113" s="1067"/>
      <c r="H113" s="1068">
        <v>0</v>
      </c>
      <c r="I113" s="1057"/>
      <c r="J113" s="1057"/>
      <c r="K113" s="1058"/>
    </row>
    <row r="114" spans="1:16" ht="45" hidden="1" customHeight="1" thickBot="1">
      <c r="A114" s="1098" t="s">
        <v>593</v>
      </c>
      <c r="B114" s="1072" t="s">
        <v>2639</v>
      </c>
      <c r="C114" s="1062" t="e">
        <v>#REF!</v>
      </c>
      <c r="D114" s="1063" t="s">
        <v>0</v>
      </c>
      <c r="E114" s="1085">
        <v>34.32</v>
      </c>
      <c r="F114" s="1066"/>
      <c r="G114" s="1067" t="e">
        <v>#REF!</v>
      </c>
      <c r="H114" s="1068">
        <v>0.06</v>
      </c>
      <c r="I114" s="1057"/>
      <c r="J114" s="1057"/>
      <c r="K114" s="1058"/>
    </row>
    <row r="115" spans="1:16" ht="27.95" hidden="1" customHeight="1" thickBot="1">
      <c r="A115" s="1458"/>
      <c r="B115" s="1459"/>
      <c r="C115" s="1459"/>
      <c r="D115" s="1459"/>
      <c r="E115" s="1459"/>
      <c r="F115" s="1080"/>
      <c r="G115" s="1071" t="e">
        <v>#REF!</v>
      </c>
      <c r="H115" s="1056">
        <v>0.06</v>
      </c>
      <c r="I115" s="1057"/>
      <c r="J115" s="1057"/>
      <c r="K115" s="1058"/>
    </row>
    <row r="116" spans="1:16" ht="27.95" hidden="1" customHeight="1" thickBot="1">
      <c r="A116" s="1097">
        <v>6</v>
      </c>
      <c r="B116" s="1076" t="s">
        <v>28</v>
      </c>
      <c r="C116" s="1460"/>
      <c r="D116" s="1460"/>
      <c r="E116" s="1460"/>
      <c r="F116" s="1460"/>
      <c r="G116" s="1460"/>
      <c r="H116" s="1082">
        <v>0</v>
      </c>
      <c r="I116" s="1057"/>
      <c r="J116" s="1057"/>
      <c r="K116" s="1058"/>
    </row>
    <row r="117" spans="1:16" ht="78.75" hidden="1">
      <c r="A117" s="1098" t="s">
        <v>178</v>
      </c>
      <c r="B117" s="1072" t="s">
        <v>677</v>
      </c>
      <c r="C117" s="1073" t="e">
        <v>#REF!</v>
      </c>
      <c r="D117" s="1062" t="s">
        <v>0</v>
      </c>
      <c r="E117" s="1102" t="e">
        <v>#REF!</v>
      </c>
      <c r="F117" s="1066"/>
      <c r="G117" s="1067" t="e">
        <v>#REF!</v>
      </c>
      <c r="H117" s="1068">
        <v>0</v>
      </c>
      <c r="I117" s="1057"/>
      <c r="J117" s="1057"/>
      <c r="K117" s="1058"/>
    </row>
    <row r="118" spans="1:16" ht="45" hidden="1" customHeight="1" thickBot="1">
      <c r="A118" s="1098" t="s">
        <v>179</v>
      </c>
      <c r="B118" s="1072" t="s">
        <v>645</v>
      </c>
      <c r="C118" s="1062" t="e">
        <v>#REF!</v>
      </c>
      <c r="D118" s="1063" t="s">
        <v>0</v>
      </c>
      <c r="E118" s="1103">
        <v>15.02</v>
      </c>
      <c r="F118" s="1066"/>
      <c r="G118" s="1067" t="e">
        <v>#REF!</v>
      </c>
      <c r="H118" s="1068">
        <v>0</v>
      </c>
      <c r="I118" s="1057"/>
      <c r="J118" s="1057"/>
      <c r="K118" s="1058"/>
    </row>
    <row r="119" spans="1:16" ht="45" hidden="1" customHeight="1" thickBot="1">
      <c r="A119" s="1098" t="s">
        <v>501</v>
      </c>
      <c r="B119" s="1072" t="s">
        <v>465</v>
      </c>
      <c r="C119" s="1073" t="e">
        <v>#REF!</v>
      </c>
      <c r="D119" s="1062" t="s">
        <v>466</v>
      </c>
      <c r="E119" s="1102">
        <v>1.91</v>
      </c>
      <c r="F119" s="1066"/>
      <c r="G119" s="1067" t="e">
        <v>#REF!</v>
      </c>
      <c r="H119" s="1068">
        <v>0</v>
      </c>
      <c r="I119" s="1057"/>
      <c r="J119" s="1057"/>
      <c r="K119" s="1058"/>
    </row>
    <row r="120" spans="1:16" ht="45" hidden="1" customHeight="1" thickBot="1">
      <c r="A120" s="1098" t="s">
        <v>502</v>
      </c>
      <c r="B120" s="1072" t="s">
        <v>600</v>
      </c>
      <c r="C120" s="1073" t="e">
        <v>#REF!</v>
      </c>
      <c r="D120" s="1062" t="s">
        <v>466</v>
      </c>
      <c r="E120" s="1102">
        <v>1.01</v>
      </c>
      <c r="F120" s="1066"/>
      <c r="G120" s="1067" t="e">
        <v>#REF!</v>
      </c>
      <c r="H120" s="1068">
        <v>0</v>
      </c>
      <c r="I120" s="1057"/>
      <c r="J120" s="1057"/>
      <c r="K120" s="1058"/>
    </row>
    <row r="121" spans="1:16" ht="78.75" hidden="1">
      <c r="A121" s="1098" t="s">
        <v>503</v>
      </c>
      <c r="B121" s="1072" t="s">
        <v>543</v>
      </c>
      <c r="C121" s="1073" t="e">
        <v>#REF!</v>
      </c>
      <c r="D121" s="1062" t="s">
        <v>417</v>
      </c>
      <c r="E121" s="1102" t="e">
        <v>#REF!</v>
      </c>
      <c r="F121" s="1066"/>
      <c r="G121" s="1067" t="e">
        <v>#REF!</v>
      </c>
      <c r="H121" s="1068">
        <v>0</v>
      </c>
      <c r="I121" s="1057"/>
      <c r="J121" s="1057"/>
      <c r="K121" s="1058"/>
    </row>
    <row r="122" spans="1:16" ht="45" hidden="1" customHeight="1" thickBot="1">
      <c r="A122" s="1098" t="s">
        <v>504</v>
      </c>
      <c r="B122" s="1072" t="s">
        <v>645</v>
      </c>
      <c r="C122" s="1062" t="e">
        <v>#REF!</v>
      </c>
      <c r="D122" s="1063" t="s">
        <v>0</v>
      </c>
      <c r="E122" s="1103">
        <v>15.02</v>
      </c>
      <c r="F122" s="1066"/>
      <c r="G122" s="1067" t="e">
        <v>#REF!</v>
      </c>
      <c r="H122" s="1068">
        <v>0</v>
      </c>
      <c r="I122" s="1057"/>
      <c r="J122" s="1057"/>
      <c r="K122" s="1058"/>
    </row>
    <row r="123" spans="1:16" ht="45" hidden="1" customHeight="1" thickBot="1">
      <c r="A123" s="1098" t="s">
        <v>647</v>
      </c>
      <c r="B123" s="1072" t="s">
        <v>465</v>
      </c>
      <c r="C123" s="1073" t="e">
        <v>#REF!</v>
      </c>
      <c r="D123" s="1062" t="s">
        <v>466</v>
      </c>
      <c r="E123" s="1103">
        <v>1.91</v>
      </c>
      <c r="F123" s="1066"/>
      <c r="G123" s="1067" t="e">
        <v>#REF!</v>
      </c>
      <c r="H123" s="1068">
        <v>0</v>
      </c>
      <c r="I123" s="1057"/>
      <c r="J123" s="1057"/>
      <c r="K123" s="1058"/>
    </row>
    <row r="124" spans="1:16" ht="45" hidden="1" customHeight="1" thickBot="1">
      <c r="A124" s="1098" t="s">
        <v>648</v>
      </c>
      <c r="B124" s="1072" t="s">
        <v>600</v>
      </c>
      <c r="C124" s="1073" t="e">
        <v>#REF!</v>
      </c>
      <c r="D124" s="1062" t="s">
        <v>466</v>
      </c>
      <c r="E124" s="1103">
        <v>1.01</v>
      </c>
      <c r="F124" s="1066"/>
      <c r="G124" s="1067" t="e">
        <v>#REF!</v>
      </c>
      <c r="H124" s="1068">
        <v>0</v>
      </c>
      <c r="I124" s="1057"/>
      <c r="J124" s="1057"/>
      <c r="K124" s="1058"/>
    </row>
    <row r="125" spans="1:16" ht="27.95" hidden="1" customHeight="1" thickBot="1">
      <c r="A125" s="1458" t="s">
        <v>144</v>
      </c>
      <c r="B125" s="1459"/>
      <c r="C125" s="1459"/>
      <c r="D125" s="1459"/>
      <c r="E125" s="1459"/>
      <c r="F125" s="1080"/>
      <c r="G125" s="1071" t="e">
        <v>#REF!</v>
      </c>
      <c r="H125" s="1056">
        <v>0</v>
      </c>
      <c r="I125" s="1057"/>
      <c r="J125" s="1057"/>
      <c r="K125" s="1058"/>
    </row>
    <row r="126" spans="1:16" s="435" customFormat="1" ht="27.95" customHeight="1" thickBot="1">
      <c r="A126" s="1150"/>
      <c r="B126" s="1151"/>
      <c r="C126" s="1151"/>
      <c r="D126" s="1151"/>
      <c r="E126" s="1151"/>
      <c r="F126" s="1151"/>
      <c r="G126" s="1152"/>
      <c r="H126" s="1153"/>
      <c r="I126" s="1146"/>
      <c r="J126" s="1146"/>
      <c r="K126" s="1154"/>
    </row>
    <row r="127" spans="1:16" ht="27.95" customHeight="1">
      <c r="A127" s="1133">
        <v>4</v>
      </c>
      <c r="B127" s="1131" t="s">
        <v>620</v>
      </c>
      <c r="C127" s="1131" t="s">
        <v>2618</v>
      </c>
      <c r="D127" s="1134">
        <v>1</v>
      </c>
      <c r="E127" s="1132">
        <f>'[62]QCI '!$E$127</f>
        <v>1896945.84</v>
      </c>
      <c r="F127" s="1054">
        <f>G127-E127</f>
        <v>811455.61</v>
      </c>
      <c r="G127" s="1136">
        <f>'ORÇAMENTO (F)'!K756</f>
        <v>2708401.45</v>
      </c>
      <c r="H127" s="1129">
        <f>G127/$G$174</f>
        <v>0.1004</v>
      </c>
      <c r="I127" s="1057"/>
      <c r="J127" s="1057"/>
      <c r="K127" s="1058"/>
      <c r="O127" s="1455"/>
      <c r="P127" s="1455"/>
    </row>
    <row r="128" spans="1:16" ht="49.9" hidden="1" customHeight="1">
      <c r="A128" s="1098" t="s">
        <v>178</v>
      </c>
      <c r="B128" s="1091" t="s">
        <v>198</v>
      </c>
      <c r="C128" s="1073" t="e">
        <v>#REF!</v>
      </c>
      <c r="D128" s="1063" t="s">
        <v>2</v>
      </c>
      <c r="E128" s="1101"/>
      <c r="F128" s="1066"/>
      <c r="G128" s="1067" t="e">
        <v>#REF!</v>
      </c>
      <c r="H128" s="1068">
        <v>0.05</v>
      </c>
      <c r="I128" s="1057"/>
      <c r="J128" s="1057"/>
      <c r="K128" s="1058"/>
      <c r="O128" s="1453"/>
      <c r="P128" s="1453"/>
    </row>
    <row r="129" spans="1:16" ht="45" hidden="1" customHeight="1" thickBot="1">
      <c r="A129" s="1098" t="s">
        <v>179</v>
      </c>
      <c r="B129" s="1091" t="s">
        <v>199</v>
      </c>
      <c r="C129" s="1073" t="e">
        <v>#REF!</v>
      </c>
      <c r="D129" s="1063" t="s">
        <v>2</v>
      </c>
      <c r="E129" s="1101" t="e">
        <v>#REF!</v>
      </c>
      <c r="F129" s="1066"/>
      <c r="G129" s="1067" t="e">
        <v>#REF!</v>
      </c>
      <c r="H129" s="1068">
        <v>0.02</v>
      </c>
      <c r="I129" s="1057"/>
      <c r="J129" s="1057"/>
      <c r="K129" s="1058"/>
    </row>
    <row r="130" spans="1:16" ht="45" hidden="1" customHeight="1" thickBot="1">
      <c r="A130" s="1098" t="s">
        <v>501</v>
      </c>
      <c r="B130" s="1091" t="s">
        <v>476</v>
      </c>
      <c r="C130" s="1073" t="e">
        <v>#REF!</v>
      </c>
      <c r="D130" s="1062" t="s">
        <v>0</v>
      </c>
      <c r="E130" s="1101">
        <v>2570.66</v>
      </c>
      <c r="F130" s="1066"/>
      <c r="G130" s="1067" t="e">
        <v>#REF!</v>
      </c>
      <c r="H130" s="1068">
        <v>0.53</v>
      </c>
      <c r="I130" s="1057"/>
      <c r="J130" s="1057"/>
      <c r="K130" s="1058"/>
    </row>
    <row r="131" spans="1:16" ht="45" hidden="1" customHeight="1" thickBot="1">
      <c r="A131" s="1098" t="s">
        <v>502</v>
      </c>
      <c r="B131" s="1072" t="s">
        <v>289</v>
      </c>
      <c r="C131" s="1073" t="e">
        <v>#REF!</v>
      </c>
      <c r="D131" s="1062" t="s">
        <v>466</v>
      </c>
      <c r="E131" s="1101">
        <v>2.4300000000000002</v>
      </c>
      <c r="F131" s="1066"/>
      <c r="G131" s="1067" t="e">
        <v>#REF!</v>
      </c>
      <c r="H131" s="1068">
        <v>0.01</v>
      </c>
      <c r="I131" s="1057"/>
      <c r="J131" s="1057"/>
      <c r="K131" s="1058"/>
      <c r="L131" s="407"/>
      <c r="M131" s="407"/>
      <c r="N131" s="407"/>
    </row>
    <row r="132" spans="1:16" ht="45" hidden="1" customHeight="1" thickBot="1">
      <c r="A132" s="1098" t="s">
        <v>503</v>
      </c>
      <c r="B132" s="1072" t="s">
        <v>551</v>
      </c>
      <c r="C132" s="1073" t="e">
        <v>#REF!</v>
      </c>
      <c r="D132" s="1063" t="s">
        <v>2</v>
      </c>
      <c r="E132" s="1101">
        <v>6.87</v>
      </c>
      <c r="F132" s="1066"/>
      <c r="G132" s="1067" t="e">
        <v>#REF!</v>
      </c>
      <c r="H132" s="1068">
        <v>0.03</v>
      </c>
      <c r="I132" s="1057"/>
      <c r="J132" s="1057"/>
      <c r="K132" s="1058"/>
      <c r="L132" s="407"/>
      <c r="M132" s="407"/>
      <c r="N132" s="407"/>
    </row>
    <row r="133" spans="1:16" ht="45" hidden="1" customHeight="1" thickBot="1">
      <c r="A133" s="1098" t="s">
        <v>504</v>
      </c>
      <c r="B133" s="1091" t="s">
        <v>611</v>
      </c>
      <c r="C133" s="1073" t="e">
        <v>#REF!</v>
      </c>
      <c r="D133" s="1062" t="s">
        <v>0</v>
      </c>
      <c r="E133" s="1101">
        <v>418.67</v>
      </c>
      <c r="F133" s="1066"/>
      <c r="G133" s="1067" t="e">
        <v>#REF!</v>
      </c>
      <c r="H133" s="1068">
        <v>0</v>
      </c>
      <c r="I133" s="1057"/>
      <c r="J133" s="1057"/>
      <c r="K133" s="1058"/>
    </row>
    <row r="134" spans="1:16" ht="45" hidden="1" customHeight="1" thickBot="1">
      <c r="A134" s="1098" t="s">
        <v>647</v>
      </c>
      <c r="B134" s="1072" t="s">
        <v>613</v>
      </c>
      <c r="C134" s="1073" t="e">
        <v>#REF!</v>
      </c>
      <c r="D134" s="1062" t="s">
        <v>2</v>
      </c>
      <c r="E134" s="1101">
        <v>21.8</v>
      </c>
      <c r="F134" s="1066"/>
      <c r="G134" s="1067" t="e">
        <v>#REF!</v>
      </c>
      <c r="H134" s="1068">
        <v>0</v>
      </c>
      <c r="I134" s="1057"/>
      <c r="J134" s="1057"/>
      <c r="K134" s="1058"/>
    </row>
    <row r="135" spans="1:16" ht="45" hidden="1" customHeight="1" thickBot="1">
      <c r="A135" s="1098" t="s">
        <v>504</v>
      </c>
      <c r="B135" s="1072" t="s">
        <v>614</v>
      </c>
      <c r="C135" s="1073" t="e">
        <v>#REF!</v>
      </c>
      <c r="D135" s="1062" t="s">
        <v>0</v>
      </c>
      <c r="E135" s="1101">
        <v>9.27</v>
      </c>
      <c r="F135" s="1066"/>
      <c r="G135" s="1067" t="e">
        <v>#REF!</v>
      </c>
      <c r="H135" s="1068">
        <v>0</v>
      </c>
      <c r="I135" s="1057"/>
      <c r="J135" s="1057"/>
      <c r="K135" s="1058"/>
    </row>
    <row r="136" spans="1:16" ht="49.15" hidden="1" customHeight="1" thickBot="1">
      <c r="A136" s="1098" t="s">
        <v>647</v>
      </c>
      <c r="B136" s="1072" t="s">
        <v>597</v>
      </c>
      <c r="C136" s="1073" t="e">
        <v>#REF!</v>
      </c>
      <c r="D136" s="1063" t="s">
        <v>221</v>
      </c>
      <c r="E136" s="1101">
        <v>2.97</v>
      </c>
      <c r="F136" s="1066"/>
      <c r="G136" s="1067" t="e">
        <v>#REF!</v>
      </c>
      <c r="H136" s="1068">
        <v>0.17</v>
      </c>
      <c r="I136" s="1057"/>
      <c r="J136" s="1057"/>
      <c r="K136" s="1058"/>
    </row>
    <row r="137" spans="1:16" ht="27.95" hidden="1" customHeight="1" thickBot="1">
      <c r="A137" s="1458"/>
      <c r="B137" s="1459"/>
      <c r="C137" s="1459"/>
      <c r="D137" s="1459"/>
      <c r="E137" s="1459"/>
      <c r="F137" s="1080"/>
      <c r="G137" s="1071" t="e">
        <v>#REF!</v>
      </c>
      <c r="H137" s="1056">
        <v>0.81</v>
      </c>
      <c r="I137" s="1057"/>
      <c r="J137" s="1057"/>
      <c r="K137" s="1058"/>
    </row>
    <row r="138" spans="1:16" s="435" customFormat="1" ht="27.95" customHeight="1" thickBot="1">
      <c r="A138" s="1150"/>
      <c r="B138" s="1151"/>
      <c r="C138" s="1151"/>
      <c r="D138" s="1151"/>
      <c r="E138" s="1151"/>
      <c r="F138" s="1151"/>
      <c r="G138" s="1152"/>
      <c r="H138" s="1153"/>
      <c r="I138" s="1146"/>
      <c r="J138" s="1146"/>
      <c r="K138" s="1154"/>
    </row>
    <row r="139" spans="1:16" ht="27.6" customHeight="1">
      <c r="A139" s="1133">
        <v>5</v>
      </c>
      <c r="B139" s="1131" t="s">
        <v>619</v>
      </c>
      <c r="C139" s="1131" t="s">
        <v>2618</v>
      </c>
      <c r="D139" s="1134">
        <v>1</v>
      </c>
      <c r="E139" s="1132">
        <f>'[62]QCI '!$E$139</f>
        <v>5534652.0700000003</v>
      </c>
      <c r="F139" s="1054">
        <f>G139-E139</f>
        <v>2367555.44</v>
      </c>
      <c r="G139" s="1136">
        <f>'ORÇAMENTO (F)'!K820</f>
        <v>7902207.5099999998</v>
      </c>
      <c r="H139" s="1129">
        <f>G139/$G$174</f>
        <v>0.29310000000000003</v>
      </c>
      <c r="I139" s="1057"/>
      <c r="J139" s="1057"/>
      <c r="K139" s="1058"/>
      <c r="O139" s="1455"/>
      <c r="P139" s="1455"/>
    </row>
    <row r="140" spans="1:16" ht="45" hidden="1" customHeight="1">
      <c r="A140" s="1104" t="s">
        <v>180</v>
      </c>
      <c r="B140" s="1105" t="s">
        <v>560</v>
      </c>
      <c r="C140" s="1073"/>
      <c r="D140" s="1063"/>
      <c r="E140" s="1101"/>
      <c r="F140" s="1066"/>
      <c r="G140" s="1067"/>
      <c r="H140" s="1068">
        <v>0</v>
      </c>
      <c r="I140" s="1057"/>
      <c r="J140" s="1057"/>
      <c r="K140" s="1058"/>
      <c r="O140" s="1453"/>
      <c r="P140" s="1453"/>
    </row>
    <row r="141" spans="1:16" ht="45" hidden="1" customHeight="1" thickBot="1">
      <c r="A141" s="1098" t="s">
        <v>2640</v>
      </c>
      <c r="B141" s="1091" t="s">
        <v>2641</v>
      </c>
      <c r="C141" s="1073">
        <v>28.03</v>
      </c>
      <c r="D141" s="1063"/>
      <c r="E141" s="1101">
        <v>56.35</v>
      </c>
      <c r="F141" s="1066"/>
      <c r="G141" s="1067">
        <v>2013.11</v>
      </c>
      <c r="H141" s="1068">
        <v>0</v>
      </c>
      <c r="I141" s="1057"/>
      <c r="J141" s="1057"/>
      <c r="K141" s="1058"/>
    </row>
    <row r="142" spans="1:16" ht="45" hidden="1" customHeight="1" thickBot="1">
      <c r="A142" s="1098" t="s">
        <v>2642</v>
      </c>
      <c r="B142" s="1091" t="s">
        <v>2643</v>
      </c>
      <c r="C142" s="1073">
        <v>17.600000000000001</v>
      </c>
      <c r="D142" s="1063"/>
      <c r="E142" s="1101">
        <v>56.35</v>
      </c>
      <c r="F142" s="1066"/>
      <c r="G142" s="1067">
        <v>1264.03</v>
      </c>
      <c r="H142" s="1068">
        <v>0</v>
      </c>
      <c r="I142" s="1057"/>
      <c r="J142" s="1057"/>
      <c r="K142" s="1058"/>
    </row>
    <row r="143" spans="1:16" ht="45" hidden="1" customHeight="1" thickBot="1">
      <c r="A143" s="1098" t="s">
        <v>2644</v>
      </c>
      <c r="B143" s="1091" t="s">
        <v>2645</v>
      </c>
      <c r="C143" s="1073">
        <v>8.76</v>
      </c>
      <c r="D143" s="1063"/>
      <c r="E143" s="1101">
        <v>56.35</v>
      </c>
      <c r="F143" s="1066"/>
      <c r="G143" s="1067">
        <v>629.14</v>
      </c>
      <c r="H143" s="1068">
        <v>0</v>
      </c>
      <c r="I143" s="1057"/>
      <c r="J143" s="1057"/>
      <c r="K143" s="1058"/>
    </row>
    <row r="144" spans="1:16" ht="45" hidden="1" customHeight="1" thickBot="1">
      <c r="A144" s="1098" t="s">
        <v>2646</v>
      </c>
      <c r="B144" s="1091" t="s">
        <v>2647</v>
      </c>
      <c r="C144" s="1073">
        <v>74.900000000000006</v>
      </c>
      <c r="D144" s="1063"/>
      <c r="E144" s="1101">
        <v>56.35</v>
      </c>
      <c r="F144" s="1066"/>
      <c r="G144" s="1067">
        <v>5379.32</v>
      </c>
      <c r="H144" s="1068">
        <v>0</v>
      </c>
      <c r="I144" s="1057"/>
      <c r="J144" s="1057"/>
      <c r="K144" s="1058"/>
    </row>
    <row r="145" spans="1:16" ht="45" hidden="1" customHeight="1" thickBot="1">
      <c r="A145" s="1098" t="s">
        <v>2648</v>
      </c>
      <c r="B145" s="1091" t="s">
        <v>2649</v>
      </c>
      <c r="C145" s="1073">
        <v>38.4</v>
      </c>
      <c r="D145" s="1063"/>
      <c r="E145" s="1101">
        <v>43.78</v>
      </c>
      <c r="F145" s="1066"/>
      <c r="G145" s="1067">
        <v>2142.7199999999998</v>
      </c>
      <c r="H145" s="1068">
        <v>0</v>
      </c>
      <c r="I145" s="1057"/>
      <c r="J145" s="1057"/>
      <c r="K145" s="1058"/>
    </row>
    <row r="146" spans="1:16" ht="45" hidden="1" customHeight="1" thickBot="1">
      <c r="A146" s="1098" t="s">
        <v>2650</v>
      </c>
      <c r="B146" s="1091" t="s">
        <v>2651</v>
      </c>
      <c r="C146" s="1073">
        <v>28.48</v>
      </c>
      <c r="D146" s="1063"/>
      <c r="E146" s="1101">
        <v>43.78</v>
      </c>
      <c r="F146" s="1066"/>
      <c r="G146" s="1067">
        <v>1589.18</v>
      </c>
      <c r="H146" s="1068">
        <v>0</v>
      </c>
      <c r="I146" s="1057"/>
      <c r="J146" s="1057"/>
      <c r="K146" s="1058"/>
    </row>
    <row r="147" spans="1:16" ht="45" hidden="1" customHeight="1" thickBot="1">
      <c r="A147" s="1098" t="s">
        <v>2652</v>
      </c>
      <c r="B147" s="1091" t="s">
        <v>2653</v>
      </c>
      <c r="C147" s="1073">
        <v>206.36</v>
      </c>
      <c r="D147" s="1063"/>
      <c r="E147" s="1101">
        <v>43.78</v>
      </c>
      <c r="F147" s="1066"/>
      <c r="G147" s="1067">
        <v>11514.89</v>
      </c>
      <c r="H147" s="1068">
        <v>0</v>
      </c>
      <c r="I147" s="1057"/>
      <c r="J147" s="1057"/>
      <c r="K147" s="1058"/>
    </row>
    <row r="148" spans="1:16" ht="45" hidden="1" customHeight="1" thickBot="1">
      <c r="A148" s="1098" t="s">
        <v>2654</v>
      </c>
      <c r="B148" s="1091" t="s">
        <v>2655</v>
      </c>
      <c r="C148" s="1073">
        <v>13</v>
      </c>
      <c r="D148" s="1063"/>
      <c r="E148" s="1101">
        <v>56.35</v>
      </c>
      <c r="F148" s="1066"/>
      <c r="G148" s="1067">
        <v>933.66</v>
      </c>
      <c r="H148" s="1068">
        <v>0</v>
      </c>
      <c r="I148" s="1057"/>
      <c r="J148" s="1057"/>
      <c r="K148" s="1058"/>
    </row>
    <row r="149" spans="1:16" ht="45" hidden="1" customHeight="1" thickBot="1">
      <c r="A149" s="1098" t="s">
        <v>2656</v>
      </c>
      <c r="B149" s="1091" t="s">
        <v>2657</v>
      </c>
      <c r="C149" s="1073">
        <v>3</v>
      </c>
      <c r="D149" s="1063"/>
      <c r="E149" s="1101">
        <v>56.35</v>
      </c>
      <c r="F149" s="1066"/>
      <c r="G149" s="1067">
        <v>215.46</v>
      </c>
      <c r="H149" s="1068">
        <v>0</v>
      </c>
      <c r="I149" s="1057"/>
      <c r="J149" s="1057"/>
      <c r="K149" s="1058"/>
    </row>
    <row r="150" spans="1:16" s="1106" customFormat="1" ht="45" hidden="1" customHeight="1" thickBot="1">
      <c r="A150" s="1107" t="s">
        <v>412</v>
      </c>
      <c r="B150" s="1108" t="s">
        <v>566</v>
      </c>
      <c r="C150" s="1073"/>
      <c r="D150" s="1063"/>
      <c r="E150" s="1101"/>
      <c r="F150" s="1066"/>
      <c r="G150" s="1067">
        <v>0</v>
      </c>
      <c r="H150" s="1068">
        <v>0</v>
      </c>
      <c r="I150" s="1057"/>
      <c r="J150" s="1057"/>
      <c r="K150" s="1058"/>
    </row>
    <row r="151" spans="1:16" s="1106" customFormat="1" ht="45" hidden="1" customHeight="1" thickBot="1">
      <c r="A151" s="1109" t="s">
        <v>2658</v>
      </c>
      <c r="B151" s="1072" t="s">
        <v>2659</v>
      </c>
      <c r="C151" s="1073">
        <v>2</v>
      </c>
      <c r="D151" s="1063"/>
      <c r="E151" s="1101">
        <v>56.35</v>
      </c>
      <c r="F151" s="1066"/>
      <c r="G151" s="1067">
        <v>143.63999999999999</v>
      </c>
      <c r="H151" s="1068">
        <v>0</v>
      </c>
      <c r="I151" s="1057"/>
      <c r="J151" s="1057"/>
      <c r="K151" s="1058"/>
    </row>
    <row r="152" spans="1:16" s="1106" customFormat="1" ht="45" hidden="1" customHeight="1" thickBot="1">
      <c r="A152" s="1109" t="s">
        <v>2660</v>
      </c>
      <c r="B152" s="1072" t="s">
        <v>2661</v>
      </c>
      <c r="C152" s="1073">
        <v>13</v>
      </c>
      <c r="D152" s="1063"/>
      <c r="E152" s="1101">
        <v>252.77</v>
      </c>
      <c r="F152" s="1066"/>
      <c r="G152" s="1067">
        <v>4188.34</v>
      </c>
      <c r="H152" s="1068">
        <v>0</v>
      </c>
      <c r="I152" s="1057"/>
      <c r="J152" s="1057"/>
      <c r="K152" s="1058"/>
    </row>
    <row r="153" spans="1:16" s="1106" customFormat="1" ht="45" hidden="1" customHeight="1" thickBot="1">
      <c r="A153" s="1109" t="s">
        <v>2662</v>
      </c>
      <c r="B153" s="1072" t="s">
        <v>2663</v>
      </c>
      <c r="C153" s="1073">
        <v>3</v>
      </c>
      <c r="D153" s="1063"/>
      <c r="E153" s="1101">
        <v>275.23</v>
      </c>
      <c r="F153" s="1066"/>
      <c r="G153" s="1067">
        <v>1052.43</v>
      </c>
      <c r="H153" s="1068">
        <v>0</v>
      </c>
      <c r="I153" s="1057"/>
      <c r="J153" s="1057"/>
      <c r="K153" s="1058"/>
    </row>
    <row r="154" spans="1:16" s="1106" customFormat="1" ht="45" hidden="1" customHeight="1" thickBot="1">
      <c r="A154" s="1109" t="s">
        <v>2664</v>
      </c>
      <c r="B154" s="1072" t="s">
        <v>2665</v>
      </c>
      <c r="C154" s="1073">
        <v>3</v>
      </c>
      <c r="D154" s="1063"/>
      <c r="E154" s="1101">
        <v>414.23</v>
      </c>
      <c r="F154" s="1066"/>
      <c r="G154" s="1067">
        <v>1583.94</v>
      </c>
      <c r="H154" s="1068">
        <v>0</v>
      </c>
      <c r="I154" s="1057"/>
      <c r="J154" s="1057"/>
      <c r="K154" s="1058"/>
    </row>
    <row r="155" spans="1:16" s="1106" customFormat="1" ht="45" hidden="1" customHeight="1" thickBot="1">
      <c r="A155" s="1109" t="s">
        <v>2666</v>
      </c>
      <c r="B155" s="1072" t="s">
        <v>2667</v>
      </c>
      <c r="C155" s="1073">
        <v>40</v>
      </c>
      <c r="D155" s="1063"/>
      <c r="E155" s="1101">
        <v>252.72</v>
      </c>
      <c r="F155" s="1066"/>
      <c r="G155" s="1067">
        <v>12884.8</v>
      </c>
      <c r="H155" s="1068">
        <v>0</v>
      </c>
      <c r="I155" s="1057"/>
      <c r="J155" s="1057"/>
      <c r="K155" s="1058"/>
    </row>
    <row r="156" spans="1:16" s="1106" customFormat="1" ht="45" hidden="1" customHeight="1" thickBot="1">
      <c r="A156" s="1109" t="s">
        <v>2668</v>
      </c>
      <c r="B156" s="1072" t="s">
        <v>2669</v>
      </c>
      <c r="C156" s="1073">
        <v>19</v>
      </c>
      <c r="D156" s="1063"/>
      <c r="E156" s="1101">
        <v>112.04</v>
      </c>
      <c r="F156" s="1066"/>
      <c r="G156" s="1067">
        <v>2713.39</v>
      </c>
      <c r="H156" s="1068">
        <v>0</v>
      </c>
      <c r="I156" s="1057"/>
      <c r="J156" s="1057"/>
      <c r="K156" s="1058"/>
    </row>
    <row r="157" spans="1:16" s="1106" customFormat="1" ht="45" hidden="1" customHeight="1" thickBot="1">
      <c r="A157" s="1109" t="s">
        <v>2670</v>
      </c>
      <c r="B157" s="1072" t="s">
        <v>2671</v>
      </c>
      <c r="C157" s="1073">
        <v>20</v>
      </c>
      <c r="D157" s="1063"/>
      <c r="E157" s="1101">
        <v>408.31</v>
      </c>
      <c r="F157" s="1066"/>
      <c r="G157" s="1067">
        <v>10408.6</v>
      </c>
      <c r="H157" s="1068">
        <v>0</v>
      </c>
      <c r="I157" s="1057"/>
      <c r="J157" s="1057"/>
      <c r="K157" s="1058"/>
    </row>
    <row r="158" spans="1:16" ht="27.95" hidden="1" customHeight="1" thickBot="1">
      <c r="A158" s="1458"/>
      <c r="B158" s="1459"/>
      <c r="C158" s="1459"/>
      <c r="D158" s="1459"/>
      <c r="E158" s="1459"/>
      <c r="F158" s="1080"/>
      <c r="G158" s="1071">
        <v>58656.65</v>
      </c>
      <c r="H158" s="1056">
        <v>0.02</v>
      </c>
      <c r="I158" s="1057"/>
      <c r="J158" s="1057"/>
      <c r="K158" s="1058"/>
    </row>
    <row r="159" spans="1:16" s="435" customFormat="1" ht="27.95" customHeight="1" thickBot="1">
      <c r="A159" s="1150"/>
      <c r="B159" s="1151"/>
      <c r="C159" s="1151"/>
      <c r="D159" s="1151"/>
      <c r="E159" s="1151"/>
      <c r="F159" s="1151"/>
      <c r="G159" s="1152"/>
      <c r="H159" s="1153"/>
      <c r="I159" s="1146"/>
      <c r="J159" s="1146"/>
      <c r="K159" s="1147"/>
    </row>
    <row r="160" spans="1:16" ht="33" customHeight="1">
      <c r="A160" s="1133">
        <v>6</v>
      </c>
      <c r="B160" s="1131" t="s">
        <v>28</v>
      </c>
      <c r="C160" s="1131" t="s">
        <v>2618</v>
      </c>
      <c r="D160" s="1134">
        <v>1</v>
      </c>
      <c r="E160" s="1132">
        <f>'[62]QCI '!$E$160</f>
        <v>2573046.19</v>
      </c>
      <c r="F160" s="1054">
        <f>G160-E160</f>
        <v>1100670.73</v>
      </c>
      <c r="G160" s="1135">
        <f>'ORÇAMENTO (F)'!K830</f>
        <v>3673716.92</v>
      </c>
      <c r="H160" s="1129">
        <f>G160/$G$174</f>
        <v>0.13619999999999999</v>
      </c>
      <c r="I160" s="1057"/>
      <c r="J160" s="1057"/>
      <c r="K160" s="1058"/>
      <c r="O160" s="1455"/>
      <c r="P160" s="1455"/>
    </row>
    <row r="161" spans="1:16" s="435" customFormat="1" ht="27.95" customHeight="1" thickBot="1">
      <c r="A161" s="1150"/>
      <c r="B161" s="1151"/>
      <c r="C161" s="1151"/>
      <c r="D161" s="1151"/>
      <c r="E161" s="1151"/>
      <c r="F161" s="1151"/>
      <c r="G161" s="1152"/>
      <c r="H161" s="1153"/>
      <c r="I161" s="1146"/>
      <c r="J161" s="1146"/>
      <c r="K161" s="1147"/>
      <c r="O161" s="1453"/>
      <c r="P161" s="1453"/>
    </row>
    <row r="162" spans="1:16" ht="27.95" customHeight="1">
      <c r="A162" s="1130">
        <v>7</v>
      </c>
      <c r="B162" s="1131" t="s">
        <v>1072</v>
      </c>
      <c r="C162" s="1131" t="s">
        <v>2618</v>
      </c>
      <c r="D162" s="1131">
        <v>1</v>
      </c>
      <c r="E162" s="1132">
        <f>'[62]QCI '!$E$162</f>
        <v>3268381.1</v>
      </c>
      <c r="F162" s="1054">
        <f>G162-E162</f>
        <v>1398113.8</v>
      </c>
      <c r="G162" s="1128">
        <f>'ORÇAMENTO (F)'!K837</f>
        <v>4666494.9000000004</v>
      </c>
      <c r="H162" s="1129">
        <f>G162/$G$174</f>
        <v>0.1731</v>
      </c>
      <c r="I162" s="1057"/>
      <c r="J162" s="1057"/>
      <c r="K162" s="1058"/>
      <c r="O162" s="261"/>
      <c r="P162" s="261"/>
    </row>
    <row r="163" spans="1:16" s="435" customFormat="1" ht="27.95" customHeight="1" thickBot="1">
      <c r="A163" s="1110"/>
      <c r="B163" s="1111"/>
      <c r="C163" s="1111"/>
      <c r="D163" s="1111"/>
      <c r="E163" s="1111"/>
      <c r="F163" s="1111"/>
      <c r="G163" s="1112"/>
      <c r="H163" s="1278"/>
      <c r="I163" s="1146"/>
      <c r="J163" s="1146"/>
      <c r="K163" s="1147"/>
      <c r="O163" s="1148"/>
      <c r="P163" s="1148"/>
    </row>
    <row r="164" spans="1:16" ht="27.95" customHeight="1">
      <c r="A164" s="1130">
        <v>8</v>
      </c>
      <c r="B164" s="1131" t="s">
        <v>559</v>
      </c>
      <c r="C164" s="1131" t="s">
        <v>2618</v>
      </c>
      <c r="D164" s="1131">
        <v>1</v>
      </c>
      <c r="E164" s="1132">
        <f>'[62]QCI '!$E$164</f>
        <v>189050.75</v>
      </c>
      <c r="F164" s="1054">
        <f>G164-E164</f>
        <v>80870.149999999994</v>
      </c>
      <c r="G164" s="1128">
        <f>'ORÇAMENTO (F)'!K847</f>
        <v>269920.90000000002</v>
      </c>
      <c r="H164" s="1129">
        <f>G164/$G$174</f>
        <v>0.01</v>
      </c>
      <c r="I164" s="1057"/>
      <c r="J164" s="1057"/>
      <c r="K164" s="1058"/>
      <c r="O164" s="261"/>
      <c r="P164" s="261"/>
    </row>
    <row r="165" spans="1:16" s="435" customFormat="1" ht="27.95" customHeight="1" thickBot="1">
      <c r="A165" s="1139"/>
      <c r="B165" s="1140"/>
      <c r="C165" s="1141"/>
      <c r="D165" s="1142"/>
      <c r="E165" s="1143"/>
      <c r="F165" s="1144"/>
      <c r="G165" s="1149"/>
      <c r="H165" s="1279"/>
      <c r="I165" s="1146"/>
      <c r="J165" s="1146"/>
      <c r="K165" s="1147"/>
      <c r="O165" s="1148"/>
      <c r="P165" s="1148"/>
    </row>
    <row r="166" spans="1:16" ht="27.95" customHeight="1">
      <c r="A166" s="1130">
        <v>9</v>
      </c>
      <c r="B166" s="1131" t="s">
        <v>10</v>
      </c>
      <c r="C166" s="1131" t="s">
        <v>2618</v>
      </c>
      <c r="D166" s="1131">
        <v>1</v>
      </c>
      <c r="E166" s="1132">
        <f>'[62]QCI '!$E$166</f>
        <v>7600.11</v>
      </c>
      <c r="F166" s="1054">
        <f>G166-E166</f>
        <v>3251.09</v>
      </c>
      <c r="G166" s="1128">
        <f>'ORÇAMENTO (F)'!K850</f>
        <v>10851.2</v>
      </c>
      <c r="H166" s="1129">
        <f>G166/$G$174</f>
        <v>4.0000000000000002E-4</v>
      </c>
      <c r="I166" s="1057"/>
      <c r="J166" s="1057"/>
      <c r="K166" s="1058"/>
      <c r="O166" s="261"/>
      <c r="P166" s="261"/>
    </row>
    <row r="167" spans="1:16" s="435" customFormat="1" ht="27.95" customHeight="1" thickBot="1">
      <c r="A167" s="1139"/>
      <c r="B167" s="1140"/>
      <c r="C167" s="1141"/>
      <c r="D167" s="1142"/>
      <c r="E167" s="1143"/>
      <c r="F167" s="1144"/>
      <c r="G167" s="1145"/>
      <c r="H167" s="1279"/>
      <c r="I167" s="1146"/>
      <c r="J167" s="1146"/>
      <c r="K167" s="1147"/>
      <c r="O167" s="1148"/>
      <c r="P167" s="1148"/>
    </row>
    <row r="168" spans="1:16" ht="29.45" hidden="1" customHeight="1">
      <c r="A168" s="306" t="s">
        <v>415</v>
      </c>
      <c r="B168" s="274" t="s">
        <v>145</v>
      </c>
      <c r="C168" s="275" t="e">
        <v>#REF!</v>
      </c>
      <c r="D168" s="267" t="s">
        <v>2</v>
      </c>
      <c r="E168" s="276"/>
      <c r="F168" s="1114"/>
      <c r="G168" s="270" t="e">
        <v>#REF!</v>
      </c>
      <c r="H168" s="1280"/>
      <c r="I168" s="1057"/>
      <c r="J168" s="1057"/>
      <c r="K168" s="1058"/>
      <c r="O168" s="261"/>
      <c r="P168" s="261"/>
    </row>
    <row r="169" spans="1:16" ht="30" hidden="1" customHeight="1" thickBot="1">
      <c r="A169" s="1483"/>
      <c r="B169" s="1484"/>
      <c r="C169" s="1484"/>
      <c r="D169" s="1484"/>
      <c r="E169" s="1484"/>
      <c r="F169" s="1044"/>
      <c r="G169" s="1115" t="e">
        <v>#REF!</v>
      </c>
      <c r="H169" s="1281"/>
      <c r="I169" s="1057"/>
      <c r="J169" s="1057"/>
      <c r="K169" s="1058"/>
    </row>
    <row r="170" spans="1:16" ht="52.9" customHeight="1">
      <c r="A170" s="1081">
        <v>11</v>
      </c>
      <c r="B170" s="1076" t="s">
        <v>2611</v>
      </c>
      <c r="C170" s="1076" t="s">
        <v>2618</v>
      </c>
      <c r="D170" s="1076">
        <v>1</v>
      </c>
      <c r="E170" s="1132">
        <f>'[62]QCI '!$E$172</f>
        <v>37575.599999999999</v>
      </c>
      <c r="F170" s="1054">
        <f>G170-E170</f>
        <v>16073.7</v>
      </c>
      <c r="G170" s="1128">
        <f>'ORÇAMENTO (F)'!K853</f>
        <v>53649.3</v>
      </c>
      <c r="H170" s="1129">
        <f>G170/$G$174</f>
        <v>2E-3</v>
      </c>
      <c r="I170" s="1057"/>
      <c r="J170" s="1057"/>
      <c r="K170" s="1058"/>
    </row>
    <row r="171" spans="1:16" ht="30.75">
      <c r="A171" s="1380"/>
      <c r="B171" s="1050"/>
      <c r="C171" s="1050"/>
      <c r="D171" s="1050"/>
      <c r="E171" s="1381"/>
      <c r="F171" s="1381"/>
      <c r="G171" s="1382"/>
      <c r="H171" s="1417"/>
      <c r="I171" s="1057"/>
      <c r="J171" s="1057"/>
      <c r="K171" s="1058"/>
    </row>
    <row r="172" spans="1:16" ht="52.9" customHeight="1">
      <c r="A172" s="1076">
        <v>12</v>
      </c>
      <c r="B172" s="1076" t="str">
        <f>'ORÇAMENTO (F)'!E854</f>
        <v xml:space="preserve">URBANIZAÇÃO </v>
      </c>
      <c r="C172" s="1076" t="s">
        <v>2618</v>
      </c>
      <c r="D172" s="1076">
        <v>1</v>
      </c>
      <c r="E172" s="1054">
        <v>0</v>
      </c>
      <c r="F172" s="1054">
        <f>G172-E172</f>
        <v>222157.07</v>
      </c>
      <c r="G172" s="1384">
        <f>'ORÇAMENTO (F)'!K873</f>
        <v>222157.07</v>
      </c>
      <c r="H172" s="1129">
        <f>G172/$G$174</f>
        <v>8.2000000000000007E-3</v>
      </c>
      <c r="I172" s="1057"/>
      <c r="J172" s="1057"/>
      <c r="K172" s="1058"/>
    </row>
    <row r="173" spans="1:16" ht="27.95" customHeight="1" thickBot="1">
      <c r="A173" s="1110"/>
      <c r="B173" s="1111"/>
      <c r="C173" s="1111"/>
      <c r="D173" s="1111"/>
      <c r="E173" s="1111"/>
      <c r="F173" s="1111"/>
      <c r="G173" s="1383"/>
      <c r="H173" s="1113"/>
      <c r="I173" s="1057"/>
      <c r="J173" s="1057"/>
      <c r="K173" s="1075"/>
    </row>
    <row r="174" spans="1:16" ht="31.5" thickBot="1">
      <c r="A174" s="1485" t="s">
        <v>2672</v>
      </c>
      <c r="B174" s="1486"/>
      <c r="C174" s="1116"/>
      <c r="D174" s="1116"/>
      <c r="E174" s="1117">
        <f>E13+E20+E103+E127+E139+E160+E162+E164+E170+E166+E172</f>
        <v>18730146.109999999</v>
      </c>
      <c r="F174" s="1117">
        <f>F13+F20+F103+F127+F139+F160+F162+F164+F170+F166+F172</f>
        <v>8234342.6299999999</v>
      </c>
      <c r="G174" s="1117">
        <f>G13+G20+G103+G127+G139+G160+G162+G164+G170+G166+G172</f>
        <v>26964488.739999998</v>
      </c>
      <c r="H174" s="1416">
        <f>H13+H20+H103+H127+H139+H160+H162+H164+H170+H166+H172</f>
        <v>1</v>
      </c>
      <c r="I174" s="1057"/>
      <c r="J174" s="1057"/>
      <c r="K174" s="291"/>
    </row>
    <row r="175" spans="1:16" ht="30.75">
      <c r="A175" s="1118"/>
      <c r="B175" s="1118"/>
      <c r="C175" s="1118"/>
      <c r="D175" s="1118"/>
      <c r="E175" s="1118"/>
      <c r="F175" s="1118"/>
      <c r="G175" s="1119"/>
      <c r="H175" s="1119"/>
      <c r="I175" s="1058"/>
      <c r="J175" s="1058"/>
    </row>
    <row r="176" spans="1:16" ht="37.5">
      <c r="E176" s="854"/>
      <c r="F176" s="1418"/>
      <c r="G176" s="291"/>
      <c r="O176" s="1120"/>
      <c r="P176" s="1120"/>
    </row>
    <row r="177" spans="3:11" ht="37.5">
      <c r="C177" s="1487"/>
      <c r="D177" s="1488"/>
      <c r="E177" s="1488"/>
      <c r="G177" s="307"/>
      <c r="H177" s="853"/>
      <c r="I177" s="1120"/>
      <c r="J177" s="1120"/>
    </row>
    <row r="178" spans="3:11" ht="37.5">
      <c r="F178" s="1121"/>
      <c r="G178" s="307"/>
      <c r="H178" s="307"/>
      <c r="I178" s="1122"/>
      <c r="J178" s="1123"/>
    </row>
    <row r="179" spans="3:11" ht="37.5">
      <c r="G179" s="1041"/>
      <c r="H179" s="1121"/>
      <c r="I179" s="1122"/>
      <c r="J179" s="1124"/>
      <c r="K179" s="1124"/>
    </row>
    <row r="180" spans="3:11">
      <c r="G180" s="1125"/>
      <c r="I180" s="1127"/>
    </row>
    <row r="181" spans="3:11" ht="33">
      <c r="I181" s="1126"/>
      <c r="J181" s="1126"/>
      <c r="K181" s="1126"/>
    </row>
    <row r="183" spans="3:11" ht="37.5">
      <c r="G183" s="1282"/>
    </row>
    <row r="184" spans="3:11" ht="38.25">
      <c r="G184" s="1283"/>
    </row>
  </sheetData>
  <mergeCells count="50">
    <mergeCell ref="A169:E169"/>
    <mergeCell ref="A174:B174"/>
    <mergeCell ref="C177:E177"/>
    <mergeCell ref="A158:E158"/>
    <mergeCell ref="A23:E23"/>
    <mergeCell ref="C116:G116"/>
    <mergeCell ref="A125:E125"/>
    <mergeCell ref="D10:D11"/>
    <mergeCell ref="A10:A11"/>
    <mergeCell ref="B10:B11"/>
    <mergeCell ref="C10:C11"/>
    <mergeCell ref="E10:E11"/>
    <mergeCell ref="F10:F11"/>
    <mergeCell ref="G10:G11"/>
    <mergeCell ref="P160:P161"/>
    <mergeCell ref="O160:O161"/>
    <mergeCell ref="P139:P140"/>
    <mergeCell ref="O139:O140"/>
    <mergeCell ref="H10:H11"/>
    <mergeCell ref="L20:L21"/>
    <mergeCell ref="L22:L23"/>
    <mergeCell ref="N17:N18"/>
    <mergeCell ref="O17:O18"/>
    <mergeCell ref="P17:P18"/>
    <mergeCell ref="P127:P128"/>
    <mergeCell ref="O127:O128"/>
    <mergeCell ref="P103:P104"/>
    <mergeCell ref="O103:O104"/>
    <mergeCell ref="A1:G4"/>
    <mergeCell ref="A5:H5"/>
    <mergeCell ref="A6:H6"/>
    <mergeCell ref="A7:G7"/>
    <mergeCell ref="B8:H8"/>
    <mergeCell ref="A18:E18"/>
    <mergeCell ref="A137:E137"/>
    <mergeCell ref="A30:E30"/>
    <mergeCell ref="C31:G31"/>
    <mergeCell ref="A101:E101"/>
    <mergeCell ref="A115:E115"/>
    <mergeCell ref="N20:N21"/>
    <mergeCell ref="O20:O21"/>
    <mergeCell ref="P20:P21"/>
    <mergeCell ref="P22:P23"/>
    <mergeCell ref="O22:O23"/>
    <mergeCell ref="N22:N23"/>
    <mergeCell ref="O13:O14"/>
    <mergeCell ref="P13:P14"/>
    <mergeCell ref="N13:N14"/>
    <mergeCell ref="L13:L14"/>
    <mergeCell ref="L17:L18"/>
  </mergeCells>
  <pageMargins left="0.511811024" right="0.511811024" top="0.78740157499999996" bottom="0.78740157499999996" header="0.31496062000000002" footer="0.31496062000000002"/>
  <pageSetup paperSize="9" scale="22" orientation="portrait" r:id="rId1"/>
  <colBreaks count="1" manualBreakCount="1">
    <brk id="8" max="174" man="1"/>
  </colBreaks>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Planilha23">
    <tabColor theme="7" tint="0.39997558519241921"/>
    <pageSetUpPr fitToPage="1"/>
  </sheetPr>
  <dimension ref="A1:K52"/>
  <sheetViews>
    <sheetView view="pageBreakPreview" topLeftCell="A6" zoomScale="60" zoomScaleNormal="100" workbookViewId="0">
      <selection activeCell="A2" sqref="A2:H52"/>
    </sheetView>
  </sheetViews>
  <sheetFormatPr defaultColWidth="9.140625" defaultRowHeight="14.25"/>
  <cols>
    <col min="1" max="8" width="20.7109375" style="79" customWidth="1"/>
    <col min="9" max="9" width="9.140625" style="79"/>
    <col min="10" max="10" width="16.7109375" style="79" customWidth="1"/>
    <col min="11" max="11" width="18.140625" style="79" customWidth="1"/>
    <col min="12" max="16384" width="9.140625" style="79"/>
  </cols>
  <sheetData>
    <row r="1" spans="1:9" ht="13.5" customHeight="1">
      <c r="A1" s="2208"/>
      <c r="B1" s="2209"/>
      <c r="C1" s="2209"/>
      <c r="D1" s="2209"/>
      <c r="E1" s="2209"/>
      <c r="F1" s="2209"/>
      <c r="G1" s="2209"/>
      <c r="H1" s="2210"/>
      <c r="I1" s="78"/>
    </row>
    <row r="2" spans="1:9" ht="69" customHeight="1">
      <c r="A2" s="80"/>
      <c r="B2" s="420"/>
      <c r="C2" s="420"/>
      <c r="D2" s="420"/>
      <c r="E2" s="420"/>
      <c r="F2" s="420"/>
      <c r="G2" s="420"/>
      <c r="H2" s="81"/>
      <c r="I2" s="82"/>
    </row>
    <row r="3" spans="1:9" ht="20.100000000000001" customHeight="1">
      <c r="A3" s="2211" t="s">
        <v>17</v>
      </c>
      <c r="B3" s="2212"/>
      <c r="C3" s="2212"/>
      <c r="D3" s="2212"/>
      <c r="E3" s="2212"/>
      <c r="F3" s="2212"/>
      <c r="G3" s="2212"/>
      <c r="H3" s="2213"/>
      <c r="I3" s="83"/>
    </row>
    <row r="4" spans="1:9" ht="20.100000000000001" customHeight="1">
      <c r="A4" s="2214" t="s">
        <v>250</v>
      </c>
      <c r="B4" s="2215"/>
      <c r="C4" s="2215"/>
      <c r="D4" s="2215"/>
      <c r="E4" s="2215"/>
      <c r="F4" s="2215"/>
      <c r="G4" s="2215"/>
      <c r="H4" s="2216"/>
      <c r="I4" s="84"/>
    </row>
    <row r="5" spans="1:9" ht="19.5" customHeight="1">
      <c r="A5" s="2214" t="s">
        <v>16</v>
      </c>
      <c r="B5" s="2215"/>
      <c r="C5" s="2215"/>
      <c r="D5" s="2215"/>
      <c r="E5" s="2215"/>
      <c r="F5" s="2215"/>
      <c r="G5" s="2215"/>
      <c r="H5" s="2216"/>
      <c r="I5" s="85"/>
    </row>
    <row r="6" spans="1:9" ht="21" customHeight="1">
      <c r="A6" s="2220"/>
      <c r="B6" s="2221"/>
      <c r="C6" s="2221"/>
      <c r="D6" s="2221"/>
      <c r="E6" s="2221"/>
      <c r="F6" s="2221"/>
      <c r="G6" s="2221"/>
      <c r="H6" s="2222"/>
    </row>
    <row r="7" spans="1:9" ht="54.75" customHeight="1">
      <c r="A7" s="421" t="s">
        <v>654</v>
      </c>
      <c r="B7" s="2223" t="str">
        <f>ORÇAMENTO!D9</f>
        <v>SISTEMA DE SANEAMENTO INTEGRADO NO BAIRRO DO ICUÍ: ABASTECIMENTO DE ÁGUA, DRENAGEM URBANA E MANEJO DE ÁGUAS PLUVIAIS E PAVIMENTAÇÃO NO MUNICÍPIO DE ANANINDEUA/ PA</v>
      </c>
      <c r="C7" s="2224"/>
      <c r="D7" s="2224"/>
      <c r="E7" s="2224"/>
      <c r="F7" s="2224"/>
      <c r="G7" s="2224"/>
      <c r="H7" s="2225"/>
    </row>
    <row r="8" spans="1:9" s="88" customFormat="1" ht="13.5" customHeight="1" thickBot="1">
      <c r="A8" s="86"/>
      <c r="B8" s="2217"/>
      <c r="C8" s="2217"/>
      <c r="D8" s="2217"/>
      <c r="E8" s="2218"/>
      <c r="F8" s="2218"/>
      <c r="G8" s="2218"/>
      <c r="H8" s="2219"/>
      <c r="I8" s="87"/>
    </row>
    <row r="9" spans="1:9" ht="34.5" customHeight="1" thickTop="1" thickBot="1">
      <c r="A9" s="2196" t="s">
        <v>510</v>
      </c>
      <c r="B9" s="2197"/>
      <c r="C9" s="2197"/>
      <c r="D9" s="2197"/>
      <c r="E9" s="2197"/>
      <c r="F9" s="2197"/>
      <c r="G9" s="2197"/>
      <c r="H9" s="2198"/>
    </row>
    <row r="10" spans="1:9" ht="13.5" customHeight="1" thickTop="1">
      <c r="A10" s="2199"/>
      <c r="B10" s="2200"/>
      <c r="C10" s="2200"/>
      <c r="D10" s="2200"/>
      <c r="E10" s="2200"/>
      <c r="F10" s="2200"/>
      <c r="G10" s="2200"/>
      <c r="H10" s="2201"/>
    </row>
    <row r="11" spans="1:9" ht="69.75" customHeight="1">
      <c r="A11" s="2202"/>
      <c r="B11" s="2203"/>
      <c r="C11" s="2203"/>
      <c r="D11" s="2203"/>
      <c r="E11" s="2203"/>
      <c r="F11" s="2203"/>
      <c r="G11" s="2204"/>
      <c r="H11" s="574" t="s">
        <v>230</v>
      </c>
    </row>
    <row r="12" spans="1:9" s="89" customFormat="1" ht="30" customHeight="1">
      <c r="A12" s="422">
        <v>1</v>
      </c>
      <c r="B12" s="2193" t="s">
        <v>511</v>
      </c>
      <c r="C12" s="2194"/>
      <c r="D12" s="2194"/>
      <c r="E12" s="2194"/>
      <c r="F12" s="2194"/>
      <c r="G12" s="2195"/>
      <c r="H12" s="423">
        <v>4.01</v>
      </c>
    </row>
    <row r="13" spans="1:9" s="89" customFormat="1" ht="30" customHeight="1">
      <c r="A13" s="422">
        <v>2</v>
      </c>
      <c r="B13" s="2193" t="s">
        <v>513</v>
      </c>
      <c r="C13" s="2194"/>
      <c r="D13" s="2194"/>
      <c r="E13" s="2194"/>
      <c r="F13" s="2194"/>
      <c r="G13" s="2195"/>
      <c r="H13" s="423">
        <v>1.1100000000000001</v>
      </c>
    </row>
    <row r="14" spans="1:9" s="89" customFormat="1" ht="30" customHeight="1">
      <c r="A14" s="2176" t="s">
        <v>514</v>
      </c>
      <c r="B14" s="2177"/>
      <c r="C14" s="2177"/>
      <c r="D14" s="2177"/>
      <c r="E14" s="2177"/>
      <c r="F14" s="2177"/>
      <c r="G14" s="2178"/>
      <c r="H14" s="424">
        <f>H12+H13</f>
        <v>5.12</v>
      </c>
    </row>
    <row r="15" spans="1:9" s="89" customFormat="1" ht="30" customHeight="1">
      <c r="A15" s="2205" t="s">
        <v>133</v>
      </c>
      <c r="B15" s="2206"/>
      <c r="C15" s="2206"/>
      <c r="D15" s="2206"/>
      <c r="E15" s="2206"/>
      <c r="F15" s="2206"/>
      <c r="G15" s="2206"/>
      <c r="H15" s="2207"/>
    </row>
    <row r="16" spans="1:9" s="89" customFormat="1" ht="30" customHeight="1">
      <c r="A16" s="425">
        <v>3</v>
      </c>
      <c r="B16" s="2193" t="s">
        <v>512</v>
      </c>
      <c r="C16" s="2194"/>
      <c r="D16" s="2194"/>
      <c r="E16" s="2194"/>
      <c r="F16" s="2194"/>
      <c r="G16" s="2195"/>
      <c r="H16" s="423">
        <v>0.56000000000000005</v>
      </c>
    </row>
    <row r="17" spans="1:8" s="89" customFormat="1" ht="30" customHeight="1">
      <c r="A17" s="425">
        <v>4</v>
      </c>
      <c r="B17" s="2193" t="s">
        <v>515</v>
      </c>
      <c r="C17" s="2194"/>
      <c r="D17" s="2194"/>
      <c r="E17" s="2194"/>
      <c r="F17" s="2194"/>
      <c r="G17" s="2195"/>
      <c r="H17" s="423">
        <v>0.4</v>
      </c>
    </row>
    <row r="18" spans="1:8" s="89" customFormat="1" ht="30" customHeight="1">
      <c r="A18" s="2176" t="s">
        <v>514</v>
      </c>
      <c r="B18" s="2177"/>
      <c r="C18" s="2177"/>
      <c r="D18" s="2177"/>
      <c r="E18" s="2177"/>
      <c r="F18" s="2177"/>
      <c r="G18" s="2178"/>
      <c r="H18" s="424">
        <f>H16+H17</f>
        <v>0.96</v>
      </c>
    </row>
    <row r="19" spans="1:8" s="89" customFormat="1" ht="30" customHeight="1">
      <c r="A19" s="2179" t="s">
        <v>131</v>
      </c>
      <c r="B19" s="2180"/>
      <c r="C19" s="2180"/>
      <c r="D19" s="2180"/>
      <c r="E19" s="2180"/>
      <c r="F19" s="2180"/>
      <c r="G19" s="2181"/>
      <c r="H19" s="587" t="s">
        <v>132</v>
      </c>
    </row>
    <row r="20" spans="1:8" s="89" customFormat="1" ht="30" customHeight="1">
      <c r="A20" s="422">
        <v>5</v>
      </c>
      <c r="B20" s="2193" t="s">
        <v>134</v>
      </c>
      <c r="C20" s="2194"/>
      <c r="D20" s="2194"/>
      <c r="E20" s="2194"/>
      <c r="F20" s="2194"/>
      <c r="G20" s="2195"/>
      <c r="H20" s="426"/>
    </row>
    <row r="21" spans="1:8" s="89" customFormat="1" ht="30" customHeight="1">
      <c r="A21" s="422" t="s">
        <v>13</v>
      </c>
      <c r="B21" s="2193" t="s">
        <v>518</v>
      </c>
      <c r="C21" s="2194"/>
      <c r="D21" s="2194"/>
      <c r="E21" s="2194"/>
      <c r="F21" s="2194"/>
      <c r="G21" s="2195"/>
      <c r="H21" s="423">
        <f>H27</f>
        <v>8.15</v>
      </c>
    </row>
    <row r="22" spans="1:8" s="89" customFormat="1" ht="30" customHeight="1">
      <c r="A22" s="422" t="s">
        <v>142</v>
      </c>
      <c r="B22" s="2193" t="s">
        <v>520</v>
      </c>
      <c r="C22" s="2194"/>
      <c r="D22" s="2194"/>
      <c r="E22" s="2194"/>
      <c r="F22" s="2194"/>
      <c r="G22" s="2195"/>
      <c r="H22" s="423">
        <v>2.5</v>
      </c>
    </row>
    <row r="23" spans="1:8" s="89" customFormat="1" ht="30" customHeight="1">
      <c r="A23" s="2176" t="s">
        <v>514</v>
      </c>
      <c r="B23" s="2177"/>
      <c r="C23" s="2177"/>
      <c r="D23" s="2177"/>
      <c r="E23" s="2177"/>
      <c r="F23" s="2177"/>
      <c r="G23" s="2178"/>
      <c r="H23" s="424">
        <f>H21+H22</f>
        <v>10.65</v>
      </c>
    </row>
    <row r="24" spans="1:8" s="89" customFormat="1" ht="30" customHeight="1" thickBot="1">
      <c r="A24" s="427">
        <v>6</v>
      </c>
      <c r="B24" s="2185" t="s">
        <v>516</v>
      </c>
      <c r="C24" s="2186"/>
      <c r="D24" s="2186"/>
      <c r="E24" s="2186"/>
      <c r="F24" s="2186"/>
      <c r="G24" s="2187"/>
      <c r="H24" s="428">
        <v>7.3</v>
      </c>
    </row>
    <row r="25" spans="1:8" s="89" customFormat="1" ht="24.95" customHeight="1">
      <c r="A25" s="90"/>
      <c r="B25" s="102"/>
      <c r="C25" s="102"/>
      <c r="D25" s="102"/>
      <c r="E25" s="102"/>
      <c r="F25" s="102"/>
      <c r="G25" s="102"/>
      <c r="H25" s="575"/>
    </row>
    <row r="26" spans="1:8" s="89" customFormat="1" ht="24.95" customHeight="1">
      <c r="A26" s="2188" t="s">
        <v>517</v>
      </c>
      <c r="B26" s="2189"/>
      <c r="C26" s="2189"/>
      <c r="D26" s="2189"/>
      <c r="E26" s="2189"/>
      <c r="F26" s="2189"/>
      <c r="G26" s="2189"/>
      <c r="H26" s="2190"/>
    </row>
    <row r="27" spans="1:8" s="89" customFormat="1" ht="24.95" customHeight="1">
      <c r="A27" s="576" t="s">
        <v>519</v>
      </c>
      <c r="B27" s="2191" t="s">
        <v>135</v>
      </c>
      <c r="C27" s="2191"/>
      <c r="D27" s="2191"/>
      <c r="E27" s="2191"/>
      <c r="F27" s="2191"/>
      <c r="G27" s="2191"/>
      <c r="H27" s="577">
        <f>H28+H29+H30</f>
        <v>8.15</v>
      </c>
    </row>
    <row r="28" spans="1:8" s="89" customFormat="1" ht="24.95" customHeight="1">
      <c r="A28" s="578" t="s">
        <v>136</v>
      </c>
      <c r="B28" s="2192" t="s">
        <v>137</v>
      </c>
      <c r="C28" s="2192"/>
      <c r="D28" s="2192"/>
      <c r="E28" s="2192"/>
      <c r="F28" s="2192"/>
      <c r="G28" s="2192"/>
      <c r="H28" s="579">
        <v>0.65</v>
      </c>
    </row>
    <row r="29" spans="1:8" s="89" customFormat="1" ht="24.95" customHeight="1">
      <c r="A29" s="578" t="s">
        <v>138</v>
      </c>
      <c r="B29" s="2192" t="s">
        <v>139</v>
      </c>
      <c r="C29" s="2192"/>
      <c r="D29" s="2192"/>
      <c r="E29" s="2192"/>
      <c r="F29" s="2192"/>
      <c r="G29" s="2192"/>
      <c r="H29" s="579">
        <v>3</v>
      </c>
    </row>
    <row r="30" spans="1:8" s="89" customFormat="1" ht="24.95" customHeight="1">
      <c r="A30" s="578" t="s">
        <v>231</v>
      </c>
      <c r="B30" s="2192" t="s">
        <v>232</v>
      </c>
      <c r="C30" s="2192"/>
      <c r="D30" s="2192"/>
      <c r="E30" s="2192"/>
      <c r="F30" s="2192"/>
      <c r="G30" s="2192"/>
      <c r="H30" s="579">
        <v>4.5</v>
      </c>
    </row>
    <row r="31" spans="1:8" s="89" customFormat="1" ht="24.95" customHeight="1">
      <c r="A31" s="2188" t="s">
        <v>233</v>
      </c>
      <c r="B31" s="2189"/>
      <c r="C31" s="2189"/>
      <c r="D31" s="2189"/>
      <c r="E31" s="2189"/>
      <c r="F31" s="2189"/>
      <c r="G31" s="2189"/>
      <c r="H31" s="2190"/>
    </row>
    <row r="32" spans="1:8" s="89" customFormat="1" ht="24.95" customHeight="1">
      <c r="A32" s="576" t="s">
        <v>521</v>
      </c>
      <c r="B32" s="2191" t="s">
        <v>140</v>
      </c>
      <c r="C32" s="2191"/>
      <c r="D32" s="2191"/>
      <c r="E32" s="2191"/>
      <c r="F32" s="2191"/>
      <c r="G32" s="2191"/>
      <c r="H32" s="577">
        <f>H33</f>
        <v>2.5</v>
      </c>
    </row>
    <row r="33" spans="1:11" s="89" customFormat="1" ht="24.95" customHeight="1">
      <c r="A33" s="578" t="s">
        <v>141</v>
      </c>
      <c r="B33" s="2192" t="s">
        <v>137</v>
      </c>
      <c r="C33" s="2192"/>
      <c r="D33" s="2192"/>
      <c r="E33" s="2192"/>
      <c r="F33" s="2192"/>
      <c r="G33" s="2192"/>
      <c r="H33" s="580">
        <v>2.5</v>
      </c>
    </row>
    <row r="34" spans="1:11" ht="24.95" customHeight="1">
      <c r="A34" s="91"/>
      <c r="B34" s="568"/>
      <c r="C34" s="568"/>
      <c r="D34" s="568"/>
      <c r="E34" s="568"/>
      <c r="F34" s="568"/>
      <c r="G34" s="568"/>
      <c r="H34" s="92"/>
    </row>
    <row r="35" spans="1:11" ht="24.95" customHeight="1">
      <c r="A35" s="2182" t="s">
        <v>506</v>
      </c>
      <c r="B35" s="2183"/>
      <c r="C35" s="2183"/>
      <c r="D35" s="2183"/>
      <c r="E35" s="2183"/>
      <c r="F35" s="2183"/>
      <c r="G35" s="2183"/>
      <c r="H35" s="2184"/>
    </row>
    <row r="36" spans="1:11" s="89" customFormat="1" ht="24.95" customHeight="1">
      <c r="A36" s="90" t="s">
        <v>234</v>
      </c>
      <c r="B36" s="102"/>
      <c r="C36" s="558">
        <f>H12/100</f>
        <v>4.0099999999999997E-2</v>
      </c>
      <c r="D36" s="569"/>
      <c r="E36" s="102"/>
      <c r="F36" s="102"/>
      <c r="G36" s="102"/>
      <c r="H36" s="559"/>
    </row>
    <row r="37" spans="1:11" s="89" customFormat="1" ht="24.95" customHeight="1">
      <c r="A37" s="90" t="s">
        <v>235</v>
      </c>
      <c r="B37" s="102"/>
      <c r="C37" s="558">
        <f>H17/100</f>
        <v>4.0000000000000001E-3</v>
      </c>
      <c r="D37" s="569"/>
      <c r="E37" s="561" t="s">
        <v>522</v>
      </c>
      <c r="F37" s="2166" t="s">
        <v>237</v>
      </c>
      <c r="G37" s="2166"/>
      <c r="H37" s="560">
        <f>C39</f>
        <v>1.0497000000000001</v>
      </c>
      <c r="J37" s="562"/>
    </row>
    <row r="38" spans="1:11" s="89" customFormat="1" ht="24.95" customHeight="1">
      <c r="A38" s="90" t="s">
        <v>236</v>
      </c>
      <c r="B38" s="102"/>
      <c r="C38" s="558">
        <f>H16/100</f>
        <v>5.5999999999999999E-3</v>
      </c>
      <c r="D38" s="569"/>
      <c r="E38" s="561" t="s">
        <v>523</v>
      </c>
      <c r="F38" s="2166" t="s">
        <v>239</v>
      </c>
      <c r="G38" s="2166"/>
      <c r="H38" s="560">
        <f>C41</f>
        <v>1.0111000000000001</v>
      </c>
      <c r="J38" s="562"/>
    </row>
    <row r="39" spans="1:11" s="89" customFormat="1" ht="24.95" customHeight="1">
      <c r="A39" s="2174" t="s">
        <v>237</v>
      </c>
      <c r="B39" s="2175"/>
      <c r="C39" s="582">
        <f>1+C36+C37+C38</f>
        <v>1.0497000000000001</v>
      </c>
      <c r="D39" s="570"/>
      <c r="E39" s="567" t="s">
        <v>524</v>
      </c>
      <c r="F39" s="2166" t="s">
        <v>240</v>
      </c>
      <c r="G39" s="2166"/>
      <c r="H39" s="560">
        <f>C43</f>
        <v>1.073</v>
      </c>
      <c r="J39" s="562"/>
    </row>
    <row r="40" spans="1:11" s="89" customFormat="1" ht="24.95" customHeight="1">
      <c r="A40" s="566" t="s">
        <v>238</v>
      </c>
      <c r="B40" s="581"/>
      <c r="C40" s="558">
        <f>H13/100</f>
        <v>1.11E-2</v>
      </c>
      <c r="D40" s="570"/>
      <c r="E40" s="561"/>
      <c r="F40" s="102"/>
      <c r="G40" s="102"/>
      <c r="H40" s="559"/>
    </row>
    <row r="41" spans="1:11" s="89" customFormat="1" ht="24.95" customHeight="1">
      <c r="A41" s="2174" t="s">
        <v>239</v>
      </c>
      <c r="B41" s="2175"/>
      <c r="C41" s="582">
        <f>1+C40</f>
        <v>1.0111000000000001</v>
      </c>
      <c r="D41" s="570"/>
      <c r="F41" s="2169" t="s">
        <v>686</v>
      </c>
      <c r="G41" s="2169"/>
      <c r="H41" s="559">
        <f>C44-(H30/100)</f>
        <v>6.1499999999999999E-2</v>
      </c>
    </row>
    <row r="42" spans="1:11" s="89" customFormat="1" ht="24.95" customHeight="1">
      <c r="A42" s="566" t="s">
        <v>216</v>
      </c>
      <c r="B42" s="581"/>
      <c r="C42" s="558">
        <f>H24/100</f>
        <v>7.2999999999999995E-2</v>
      </c>
      <c r="D42" s="570"/>
      <c r="E42" s="561"/>
      <c r="F42" s="102"/>
      <c r="G42" s="102"/>
      <c r="H42" s="559"/>
    </row>
    <row r="43" spans="1:11" s="89" customFormat="1" ht="24.95" customHeight="1">
      <c r="A43" s="2174" t="s">
        <v>240</v>
      </c>
      <c r="B43" s="2175"/>
      <c r="C43" s="582">
        <f>1+C42</f>
        <v>1.073</v>
      </c>
      <c r="D43" s="571"/>
      <c r="E43" s="561" t="s">
        <v>525</v>
      </c>
      <c r="F43" s="2169" t="s">
        <v>687</v>
      </c>
      <c r="G43" s="2169"/>
      <c r="H43" s="560">
        <f>1-H41</f>
        <v>0.9385</v>
      </c>
    </row>
    <row r="44" spans="1:11" s="89" customFormat="1" ht="24.95" customHeight="1">
      <c r="A44" s="566" t="s">
        <v>241</v>
      </c>
      <c r="B44" s="581"/>
      <c r="C44" s="558">
        <f>H23/100</f>
        <v>0.1065</v>
      </c>
      <c r="D44" s="570"/>
      <c r="E44" s="561"/>
      <c r="G44" s="102"/>
      <c r="H44" s="583"/>
    </row>
    <row r="45" spans="1:11" s="89" customFormat="1" ht="24.95" customHeight="1">
      <c r="A45" s="2174" t="s">
        <v>242</v>
      </c>
      <c r="B45" s="2175"/>
      <c r="C45" s="582">
        <f>1-C44</f>
        <v>0.89349999999999996</v>
      </c>
      <c r="D45" s="570"/>
      <c r="H45" s="583"/>
      <c r="J45" s="565"/>
      <c r="K45" s="562"/>
    </row>
    <row r="46" spans="1:11" ht="24.95" customHeight="1">
      <c r="A46" s="91"/>
      <c r="B46" s="568"/>
      <c r="C46" s="568"/>
      <c r="D46" s="572"/>
      <c r="E46" s="568"/>
      <c r="H46" s="584"/>
      <c r="J46" s="564"/>
      <c r="K46" s="563"/>
    </row>
    <row r="47" spans="1:11" ht="24.95" customHeight="1">
      <c r="A47" s="2167"/>
      <c r="B47" s="2168"/>
      <c r="C47" s="2168"/>
      <c r="D47" s="572"/>
      <c r="E47" s="568"/>
      <c r="H47" s="584"/>
    </row>
    <row r="48" spans="1:11" ht="24.95" customHeight="1">
      <c r="A48" s="91"/>
      <c r="B48" s="568"/>
      <c r="C48" s="568"/>
      <c r="D48" s="572"/>
      <c r="E48" s="568"/>
      <c r="F48" s="96"/>
      <c r="G48" s="97"/>
      <c r="H48" s="98">
        <f>(H37*H38*H39)/H43-1</f>
        <v>0.2135</v>
      </c>
    </row>
    <row r="49" spans="1:8" s="89" customFormat="1" ht="24.95" customHeight="1">
      <c r="A49" s="93" t="s">
        <v>243</v>
      </c>
      <c r="B49" s="94"/>
      <c r="C49" s="95">
        <f>(C39*C41*C43)/C45-1</f>
        <v>0.27460000000000001</v>
      </c>
      <c r="D49" s="569"/>
      <c r="E49" s="102"/>
      <c r="F49" s="102"/>
      <c r="G49" s="102"/>
      <c r="H49" s="99" t="s">
        <v>244</v>
      </c>
    </row>
    <row r="50" spans="1:8" s="89" customFormat="1" ht="24.95" customHeight="1">
      <c r="A50" s="90"/>
      <c r="B50" s="102"/>
      <c r="C50" s="102"/>
      <c r="D50" s="569"/>
      <c r="E50" s="102"/>
      <c r="F50" s="2170" t="s">
        <v>245</v>
      </c>
      <c r="G50" s="2170"/>
      <c r="H50" s="2171"/>
    </row>
    <row r="51" spans="1:8" ht="24.95" customHeight="1" thickBot="1">
      <c r="A51" s="91"/>
      <c r="B51" s="568"/>
      <c r="C51" s="568"/>
      <c r="D51" s="572"/>
      <c r="E51" s="568"/>
      <c r="F51" s="2172"/>
      <c r="G51" s="2172"/>
      <c r="H51" s="2173"/>
    </row>
    <row r="52" spans="1:8" ht="24.95" customHeight="1" thickBot="1">
      <c r="A52" s="100"/>
      <c r="B52" s="101"/>
      <c r="C52" s="101"/>
      <c r="D52" s="573"/>
      <c r="E52" s="101"/>
      <c r="F52" s="585"/>
      <c r="G52" s="585"/>
      <c r="H52" s="586"/>
    </row>
  </sheetData>
  <mergeCells count="44">
    <mergeCell ref="A1:H1"/>
    <mergeCell ref="A3:H3"/>
    <mergeCell ref="A4:H4"/>
    <mergeCell ref="A5:H5"/>
    <mergeCell ref="B8:D8"/>
    <mergeCell ref="E8:H8"/>
    <mergeCell ref="A6:H6"/>
    <mergeCell ref="B7:H7"/>
    <mergeCell ref="B13:G13"/>
    <mergeCell ref="A9:H9"/>
    <mergeCell ref="A10:H10"/>
    <mergeCell ref="B21:G21"/>
    <mergeCell ref="A11:G11"/>
    <mergeCell ref="A14:G14"/>
    <mergeCell ref="A15:H15"/>
    <mergeCell ref="B16:G16"/>
    <mergeCell ref="B17:G17"/>
    <mergeCell ref="A18:G18"/>
    <mergeCell ref="B12:G12"/>
    <mergeCell ref="B20:G20"/>
    <mergeCell ref="A23:G23"/>
    <mergeCell ref="A19:G19"/>
    <mergeCell ref="A35:H35"/>
    <mergeCell ref="B24:G24"/>
    <mergeCell ref="A26:H26"/>
    <mergeCell ref="B27:G27"/>
    <mergeCell ref="B33:G33"/>
    <mergeCell ref="B28:G28"/>
    <mergeCell ref="B22:G22"/>
    <mergeCell ref="B29:G29"/>
    <mergeCell ref="B30:G30"/>
    <mergeCell ref="A31:H31"/>
    <mergeCell ref="B32:G32"/>
    <mergeCell ref="F50:H51"/>
    <mergeCell ref="A39:B39"/>
    <mergeCell ref="A41:B41"/>
    <mergeCell ref="A43:B43"/>
    <mergeCell ref="A45:B45"/>
    <mergeCell ref="F43:G43"/>
    <mergeCell ref="F37:G37"/>
    <mergeCell ref="F38:G38"/>
    <mergeCell ref="F39:G39"/>
    <mergeCell ref="A47:C47"/>
    <mergeCell ref="F41:G41"/>
  </mergeCells>
  <printOptions horizontalCentered="1"/>
  <pageMargins left="0.51181102362204722" right="0.51181102362204722" top="0.78740157480314965" bottom="0.78740157480314965" header="0.31496062992125984" footer="0.31496062992125984"/>
  <pageSetup paperSize="9" scale="52" orientation="portrait" horizontalDpi="300"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67A3F-7245-48E3-A2D2-F8E9739BD0A6}">
  <sheetPr>
    <tabColor theme="7" tint="0.39997558519241921"/>
  </sheetPr>
  <dimension ref="A1:H52"/>
  <sheetViews>
    <sheetView tabSelected="1" topLeftCell="A12" zoomScale="70" zoomScaleNormal="70" workbookViewId="0">
      <selection sqref="A1:H52"/>
    </sheetView>
  </sheetViews>
  <sheetFormatPr defaultRowHeight="12.75"/>
  <cols>
    <col min="2" max="2" width="14.5703125" customWidth="1"/>
    <col min="3" max="3" width="11.28515625" bestFit="1" customWidth="1"/>
    <col min="8" max="8" width="17.85546875" bestFit="1" customWidth="1"/>
  </cols>
  <sheetData>
    <row r="1" spans="1:8" ht="26.25">
      <c r="A1" s="2208"/>
      <c r="B1" s="2209"/>
      <c r="C1" s="2209"/>
      <c r="D1" s="2209"/>
      <c r="E1" s="2209"/>
      <c r="F1" s="2209"/>
      <c r="G1" s="2209"/>
      <c r="H1" s="2210"/>
    </row>
    <row r="2" spans="1:8" ht="26.25">
      <c r="A2" s="80"/>
      <c r="B2" s="420"/>
      <c r="C2" s="420"/>
      <c r="D2" s="420"/>
      <c r="E2" s="420"/>
      <c r="F2" s="420"/>
      <c r="G2" s="420"/>
      <c r="H2" s="81"/>
    </row>
    <row r="3" spans="1:8" ht="25.5">
      <c r="A3" s="2211" t="s">
        <v>17</v>
      </c>
      <c r="B3" s="2212"/>
      <c r="C3" s="2212"/>
      <c r="D3" s="2212"/>
      <c r="E3" s="2212"/>
      <c r="F3" s="2212"/>
      <c r="G3" s="2212"/>
      <c r="H3" s="2213"/>
    </row>
    <row r="4" spans="1:8" ht="20.25">
      <c r="A4" s="2214" t="s">
        <v>250</v>
      </c>
      <c r="B4" s="2215"/>
      <c r="C4" s="2215"/>
      <c r="D4" s="2215"/>
      <c r="E4" s="2215"/>
      <c r="F4" s="2215"/>
      <c r="G4" s="2215"/>
      <c r="H4" s="2216"/>
    </row>
    <row r="5" spans="1:8" ht="20.25">
      <c r="A5" s="2214" t="s">
        <v>16</v>
      </c>
      <c r="B5" s="2215"/>
      <c r="C5" s="2215"/>
      <c r="D5" s="2215"/>
      <c r="E5" s="2215"/>
      <c r="F5" s="2215"/>
      <c r="G5" s="2215"/>
      <c r="H5" s="2216"/>
    </row>
    <row r="6" spans="1:8" ht="20.25">
      <c r="A6" s="2220"/>
      <c r="B6" s="2221"/>
      <c r="C6" s="2221"/>
      <c r="D6" s="2221"/>
      <c r="E6" s="2221"/>
      <c r="F6" s="2221"/>
      <c r="G6" s="2221"/>
      <c r="H6" s="2222"/>
    </row>
    <row r="7" spans="1:8" ht="20.25" customHeight="1">
      <c r="A7" s="2291" t="s">
        <v>654</v>
      </c>
      <c r="B7" s="2287" t="str">
        <f>ORÇAMENTO!D9</f>
        <v>SISTEMA DE SANEAMENTO INTEGRADO NO BAIRRO DO ICUÍ: ABASTECIMENTO DE ÁGUA, DRENAGEM URBANA E MANEJO DE ÁGUAS PLUVIAIS E PAVIMENTAÇÃO NO MUNICÍPIO DE ANANINDEUA/ PA</v>
      </c>
      <c r="C7" s="2287"/>
      <c r="D7" s="2287"/>
      <c r="E7" s="2287"/>
      <c r="F7" s="2287"/>
      <c r="G7" s="2287"/>
      <c r="H7" s="2288"/>
    </row>
    <row r="8" spans="1:8" ht="17.25" thickBot="1">
      <c r="A8" s="86"/>
      <c r="B8" s="2289"/>
      <c r="C8" s="2289"/>
      <c r="D8" s="2289"/>
      <c r="E8" s="2289"/>
      <c r="F8" s="2289"/>
      <c r="G8" s="2289"/>
      <c r="H8" s="2290"/>
    </row>
    <row r="9" spans="1:8" ht="21.75" thickTop="1" thickBot="1">
      <c r="A9" s="2196" t="s">
        <v>510</v>
      </c>
      <c r="B9" s="2197"/>
      <c r="C9" s="2197"/>
      <c r="D9" s="2197"/>
      <c r="E9" s="2197"/>
      <c r="F9" s="2197"/>
      <c r="G9" s="2197"/>
      <c r="H9" s="2198"/>
    </row>
    <row r="10" spans="1:8" ht="21" thickTop="1">
      <c r="A10" s="2199"/>
      <c r="B10" s="2200"/>
      <c r="C10" s="2200"/>
      <c r="D10" s="2200"/>
      <c r="E10" s="2200"/>
      <c r="F10" s="2200"/>
      <c r="G10" s="2200"/>
      <c r="H10" s="2201"/>
    </row>
    <row r="11" spans="1:8" ht="57">
      <c r="A11" s="2202"/>
      <c r="B11" s="2203"/>
      <c r="C11" s="2203"/>
      <c r="D11" s="2203"/>
      <c r="E11" s="2203"/>
      <c r="F11" s="2203"/>
      <c r="G11" s="2204"/>
      <c r="H11" s="574" t="s">
        <v>230</v>
      </c>
    </row>
    <row r="12" spans="1:8" ht="20.25">
      <c r="A12" s="422">
        <v>1</v>
      </c>
      <c r="B12" s="2193" t="s">
        <v>511</v>
      </c>
      <c r="C12" s="2194"/>
      <c r="D12" s="2194"/>
      <c r="E12" s="2194"/>
      <c r="F12" s="2194"/>
      <c r="G12" s="2195"/>
      <c r="H12" s="423">
        <v>1.5</v>
      </c>
    </row>
    <row r="13" spans="1:8" ht="20.25">
      <c r="A13" s="422">
        <v>2</v>
      </c>
      <c r="B13" s="2193" t="s">
        <v>513</v>
      </c>
      <c r="C13" s="2194"/>
      <c r="D13" s="2194"/>
      <c r="E13" s="2194"/>
      <c r="F13" s="2194"/>
      <c r="G13" s="2195"/>
      <c r="H13" s="423">
        <v>0.85</v>
      </c>
    </row>
    <row r="14" spans="1:8" ht="20.25">
      <c r="A14" s="2176" t="s">
        <v>514</v>
      </c>
      <c r="B14" s="2177"/>
      <c r="C14" s="2177"/>
      <c r="D14" s="2177"/>
      <c r="E14" s="2177"/>
      <c r="F14" s="2177"/>
      <c r="G14" s="2178"/>
      <c r="H14" s="424">
        <f>H12+H13</f>
        <v>2.35</v>
      </c>
    </row>
    <row r="15" spans="1:8" ht="20.25">
      <c r="A15" s="2205" t="s">
        <v>133</v>
      </c>
      <c r="B15" s="2206"/>
      <c r="C15" s="2206"/>
      <c r="D15" s="2206"/>
      <c r="E15" s="2206"/>
      <c r="F15" s="2206"/>
      <c r="G15" s="2206"/>
      <c r="H15" s="2207"/>
    </row>
    <row r="16" spans="1:8" ht="20.25">
      <c r="A16" s="425">
        <v>3</v>
      </c>
      <c r="B16" s="2193" t="s">
        <v>512</v>
      </c>
      <c r="C16" s="2194"/>
      <c r="D16" s="2194"/>
      <c r="E16" s="2194"/>
      <c r="F16" s="2194"/>
      <c r="G16" s="2195"/>
      <c r="H16" s="423">
        <v>0.56000000000000005</v>
      </c>
    </row>
    <row r="17" spans="1:8" ht="20.25">
      <c r="A17" s="425">
        <v>4</v>
      </c>
      <c r="B17" s="2193" t="s">
        <v>515</v>
      </c>
      <c r="C17" s="2194"/>
      <c r="D17" s="2194"/>
      <c r="E17" s="2194"/>
      <c r="F17" s="2194"/>
      <c r="G17" s="2195"/>
      <c r="H17" s="423">
        <v>0.3</v>
      </c>
    </row>
    <row r="18" spans="1:8" ht="20.25">
      <c r="A18" s="2176" t="s">
        <v>514</v>
      </c>
      <c r="B18" s="2177"/>
      <c r="C18" s="2177"/>
      <c r="D18" s="2177"/>
      <c r="E18" s="2177"/>
      <c r="F18" s="2177"/>
      <c r="G18" s="2178"/>
      <c r="H18" s="424">
        <f>H16+H17</f>
        <v>0.86</v>
      </c>
    </row>
    <row r="19" spans="1:8" ht="28.5">
      <c r="A19" s="2179" t="s">
        <v>131</v>
      </c>
      <c r="B19" s="2180"/>
      <c r="C19" s="2180"/>
      <c r="D19" s="2180"/>
      <c r="E19" s="2180"/>
      <c r="F19" s="2180"/>
      <c r="G19" s="2181"/>
      <c r="H19" s="587" t="s">
        <v>132</v>
      </c>
    </row>
    <row r="20" spans="1:8" ht="20.25">
      <c r="A20" s="422">
        <v>5</v>
      </c>
      <c r="B20" s="2193" t="s">
        <v>134</v>
      </c>
      <c r="C20" s="2194"/>
      <c r="D20" s="2194"/>
      <c r="E20" s="2194"/>
      <c r="F20" s="2194"/>
      <c r="G20" s="2195"/>
      <c r="H20" s="426"/>
    </row>
    <row r="21" spans="1:8" ht="20.25">
      <c r="A21" s="422" t="s">
        <v>13</v>
      </c>
      <c r="B21" s="2193" t="s">
        <v>518</v>
      </c>
      <c r="C21" s="2194"/>
      <c r="D21" s="2194"/>
      <c r="E21" s="2194"/>
      <c r="F21" s="2194"/>
      <c r="G21" s="2195"/>
      <c r="H21" s="423">
        <f>H27</f>
        <v>8.15</v>
      </c>
    </row>
    <row r="22" spans="1:8" ht="20.25">
      <c r="A22" s="422" t="s">
        <v>142</v>
      </c>
      <c r="B22" s="2193" t="s">
        <v>520</v>
      </c>
      <c r="C22" s="2194"/>
      <c r="D22" s="2194"/>
      <c r="E22" s="2194"/>
      <c r="F22" s="2194"/>
      <c r="G22" s="2195"/>
      <c r="H22" s="423">
        <v>2.5</v>
      </c>
    </row>
    <row r="23" spans="1:8" ht="20.25">
      <c r="A23" s="2176" t="s">
        <v>514</v>
      </c>
      <c r="B23" s="2177"/>
      <c r="C23" s="2177"/>
      <c r="D23" s="2177"/>
      <c r="E23" s="2177"/>
      <c r="F23" s="2177"/>
      <c r="G23" s="2178"/>
      <c r="H23" s="424">
        <f>H21+H22</f>
        <v>10.65</v>
      </c>
    </row>
    <row r="24" spans="1:8" ht="21" thickBot="1">
      <c r="A24" s="427">
        <v>6</v>
      </c>
      <c r="B24" s="2185" t="s">
        <v>516</v>
      </c>
      <c r="C24" s="2186"/>
      <c r="D24" s="2186"/>
      <c r="E24" s="2186"/>
      <c r="F24" s="2186"/>
      <c r="G24" s="2187"/>
      <c r="H24" s="428">
        <v>3.5</v>
      </c>
    </row>
    <row r="25" spans="1:8" ht="20.25">
      <c r="A25" s="90"/>
      <c r="B25" s="102"/>
      <c r="C25" s="102"/>
      <c r="D25" s="102"/>
      <c r="E25" s="102"/>
      <c r="F25" s="102"/>
      <c r="G25" s="102"/>
      <c r="H25" s="575"/>
    </row>
    <row r="26" spans="1:8" ht="20.25">
      <c r="A26" s="2188" t="s">
        <v>517</v>
      </c>
      <c r="B26" s="2189"/>
      <c r="C26" s="2189"/>
      <c r="D26" s="2189"/>
      <c r="E26" s="2189"/>
      <c r="F26" s="2189"/>
      <c r="G26" s="2189"/>
      <c r="H26" s="2190"/>
    </row>
    <row r="27" spans="1:8" ht="20.25">
      <c r="A27" s="576" t="s">
        <v>519</v>
      </c>
      <c r="B27" s="2191" t="s">
        <v>135</v>
      </c>
      <c r="C27" s="2191"/>
      <c r="D27" s="2191"/>
      <c r="E27" s="2191"/>
      <c r="F27" s="2191"/>
      <c r="G27" s="2191"/>
      <c r="H27" s="577">
        <f>H28+H29+H30</f>
        <v>8.15</v>
      </c>
    </row>
    <row r="28" spans="1:8" ht="20.25">
      <c r="A28" s="578" t="s">
        <v>136</v>
      </c>
      <c r="B28" s="2192" t="s">
        <v>137</v>
      </c>
      <c r="C28" s="2192"/>
      <c r="D28" s="2192"/>
      <c r="E28" s="2192"/>
      <c r="F28" s="2192"/>
      <c r="G28" s="2192"/>
      <c r="H28" s="579">
        <v>0.65</v>
      </c>
    </row>
    <row r="29" spans="1:8" ht="20.25">
      <c r="A29" s="578" t="s">
        <v>138</v>
      </c>
      <c r="B29" s="2192" t="s">
        <v>139</v>
      </c>
      <c r="C29" s="2192"/>
      <c r="D29" s="2192"/>
      <c r="E29" s="2192"/>
      <c r="F29" s="2192"/>
      <c r="G29" s="2192"/>
      <c r="H29" s="579">
        <v>3</v>
      </c>
    </row>
    <row r="30" spans="1:8" ht="20.25">
      <c r="A30" s="578" t="s">
        <v>231</v>
      </c>
      <c r="B30" s="2192" t="s">
        <v>232</v>
      </c>
      <c r="C30" s="2192"/>
      <c r="D30" s="2192"/>
      <c r="E30" s="2192"/>
      <c r="F30" s="2192"/>
      <c r="G30" s="2192"/>
      <c r="H30" s="579">
        <v>4.5</v>
      </c>
    </row>
    <row r="31" spans="1:8" ht="20.25">
      <c r="A31" s="2188" t="s">
        <v>233</v>
      </c>
      <c r="B31" s="2189"/>
      <c r="C31" s="2189"/>
      <c r="D31" s="2189"/>
      <c r="E31" s="2189"/>
      <c r="F31" s="2189"/>
      <c r="G31" s="2189"/>
      <c r="H31" s="2190"/>
    </row>
    <row r="32" spans="1:8" ht="20.25">
      <c r="A32" s="576" t="s">
        <v>521</v>
      </c>
      <c r="B32" s="2191" t="s">
        <v>140</v>
      </c>
      <c r="C32" s="2191"/>
      <c r="D32" s="2191"/>
      <c r="E32" s="2191"/>
      <c r="F32" s="2191"/>
      <c r="G32" s="2191"/>
      <c r="H32" s="577">
        <f>H33</f>
        <v>2.5</v>
      </c>
    </row>
    <row r="33" spans="1:8" ht="20.25">
      <c r="A33" s="578" t="s">
        <v>141</v>
      </c>
      <c r="B33" s="2192" t="s">
        <v>137</v>
      </c>
      <c r="C33" s="2192"/>
      <c r="D33" s="2192"/>
      <c r="E33" s="2192"/>
      <c r="F33" s="2192"/>
      <c r="G33" s="2192"/>
      <c r="H33" s="580">
        <v>2.5</v>
      </c>
    </row>
    <row r="34" spans="1:8" ht="20.25">
      <c r="A34" s="91"/>
      <c r="B34" s="568"/>
      <c r="C34" s="568"/>
      <c r="D34" s="568"/>
      <c r="E34" s="568"/>
      <c r="F34" s="568"/>
      <c r="G34" s="568"/>
      <c r="H34" s="92"/>
    </row>
    <row r="35" spans="1:8" ht="20.25">
      <c r="A35" s="2182" t="s">
        <v>506</v>
      </c>
      <c r="B35" s="2183"/>
      <c r="C35" s="2183"/>
      <c r="D35" s="2183"/>
      <c r="E35" s="2183"/>
      <c r="F35" s="2183"/>
      <c r="G35" s="2183"/>
      <c r="H35" s="2184"/>
    </row>
    <row r="36" spans="1:8" ht="20.25">
      <c r="A36" s="90" t="s">
        <v>234</v>
      </c>
      <c r="B36" s="102"/>
      <c r="C36" s="558">
        <f>H12/100</f>
        <v>1.4999999999999999E-2</v>
      </c>
      <c r="D36" s="569"/>
      <c r="E36" s="102"/>
      <c r="F36" s="102"/>
      <c r="G36" s="102"/>
      <c r="H36" s="559"/>
    </row>
    <row r="37" spans="1:8" ht="20.25">
      <c r="A37" s="90" t="s">
        <v>235</v>
      </c>
      <c r="B37" s="102"/>
      <c r="C37" s="558">
        <f>H17/100</f>
        <v>3.0000000000000001E-3</v>
      </c>
      <c r="D37" s="569"/>
      <c r="E37" s="561" t="s">
        <v>522</v>
      </c>
      <c r="F37" s="2166" t="s">
        <v>237</v>
      </c>
      <c r="G37" s="2166"/>
      <c r="H37" s="560">
        <f>C39</f>
        <v>1.0236000000000001</v>
      </c>
    </row>
    <row r="38" spans="1:8" ht="20.25">
      <c r="A38" s="90" t="s">
        <v>236</v>
      </c>
      <c r="B38" s="102"/>
      <c r="C38" s="558">
        <f>H16/100</f>
        <v>5.5999999999999999E-3</v>
      </c>
      <c r="D38" s="569"/>
      <c r="E38" s="561" t="s">
        <v>523</v>
      </c>
      <c r="F38" s="2166" t="s">
        <v>239</v>
      </c>
      <c r="G38" s="2166"/>
      <c r="H38" s="560">
        <f>C41</f>
        <v>1.0085</v>
      </c>
    </row>
    <row r="39" spans="1:8" ht="20.25">
      <c r="A39" s="2174" t="s">
        <v>237</v>
      </c>
      <c r="B39" s="2175"/>
      <c r="C39" s="582">
        <f>1+C36+C37+C38</f>
        <v>1.0236000000000001</v>
      </c>
      <c r="D39" s="570"/>
      <c r="E39" s="567" t="s">
        <v>524</v>
      </c>
      <c r="F39" s="2166" t="s">
        <v>240</v>
      </c>
      <c r="G39" s="2166"/>
      <c r="H39" s="560">
        <f>C43</f>
        <v>1.0349999999999999</v>
      </c>
    </row>
    <row r="40" spans="1:8" ht="20.25">
      <c r="A40" s="566" t="s">
        <v>238</v>
      </c>
      <c r="B40" s="581"/>
      <c r="C40" s="558">
        <f>H13/100</f>
        <v>8.5000000000000006E-3</v>
      </c>
      <c r="D40" s="570"/>
      <c r="E40" s="561"/>
      <c r="F40" s="102"/>
      <c r="G40" s="102"/>
      <c r="H40" s="559"/>
    </row>
    <row r="41" spans="1:8" ht="20.25">
      <c r="A41" s="2174" t="s">
        <v>239</v>
      </c>
      <c r="B41" s="2175"/>
      <c r="C41" s="582">
        <f>1+C40</f>
        <v>1.0085</v>
      </c>
      <c r="D41" s="570"/>
      <c r="E41" s="89"/>
      <c r="F41" s="2169" t="s">
        <v>686</v>
      </c>
      <c r="G41" s="2169"/>
      <c r="H41" s="559">
        <f>C44-(H30/100)</f>
        <v>6.1499999999999999E-2</v>
      </c>
    </row>
    <row r="42" spans="1:8" ht="20.25">
      <c r="A42" s="566" t="s">
        <v>216</v>
      </c>
      <c r="B42" s="581"/>
      <c r="C42" s="558">
        <f>H24/100</f>
        <v>3.5000000000000003E-2</v>
      </c>
      <c r="D42" s="570"/>
      <c r="E42" s="561"/>
      <c r="F42" s="102"/>
      <c r="G42" s="102"/>
      <c r="H42" s="559"/>
    </row>
    <row r="43" spans="1:8" ht="20.25">
      <c r="A43" s="2174" t="s">
        <v>240</v>
      </c>
      <c r="B43" s="2175"/>
      <c r="C43" s="582">
        <f>1+C42</f>
        <v>1.0349999999999999</v>
      </c>
      <c r="D43" s="571"/>
      <c r="E43" s="561" t="s">
        <v>525</v>
      </c>
      <c r="F43" s="2169" t="s">
        <v>687</v>
      </c>
      <c r="G43" s="2169"/>
      <c r="H43" s="560">
        <f>1-H41</f>
        <v>0.9385</v>
      </c>
    </row>
    <row r="44" spans="1:8" ht="20.25">
      <c r="A44" s="566" t="s">
        <v>241</v>
      </c>
      <c r="B44" s="581"/>
      <c r="C44" s="558">
        <f>H23/100</f>
        <v>0.1065</v>
      </c>
      <c r="D44" s="570"/>
      <c r="E44" s="561"/>
      <c r="F44" s="89"/>
      <c r="G44" s="102"/>
      <c r="H44" s="583"/>
    </row>
    <row r="45" spans="1:8" ht="20.25">
      <c r="A45" s="2174" t="s">
        <v>242</v>
      </c>
      <c r="B45" s="2175"/>
      <c r="C45" s="582">
        <f>1-C44</f>
        <v>0.89349999999999996</v>
      </c>
      <c r="D45" s="570"/>
      <c r="E45" s="89"/>
      <c r="F45" s="89"/>
      <c r="G45" s="89"/>
      <c r="H45" s="583"/>
    </row>
    <row r="46" spans="1:8" ht="20.25">
      <c r="A46" s="91"/>
      <c r="B46" s="568"/>
      <c r="C46" s="568"/>
      <c r="D46" s="572"/>
      <c r="E46" s="568"/>
      <c r="F46" s="79"/>
      <c r="G46" s="79"/>
      <c r="H46" s="584"/>
    </row>
    <row r="47" spans="1:8" ht="20.25">
      <c r="A47" s="2167"/>
      <c r="B47" s="2168"/>
      <c r="C47" s="2168"/>
      <c r="D47" s="572"/>
      <c r="E47" s="568"/>
      <c r="F47" s="79"/>
      <c r="G47" s="79"/>
      <c r="H47" s="584"/>
    </row>
    <row r="48" spans="1:8" ht="20.25">
      <c r="A48" s="91"/>
      <c r="B48" s="568"/>
      <c r="C48" s="568"/>
      <c r="D48" s="572"/>
      <c r="E48" s="568"/>
      <c r="F48" s="96"/>
      <c r="G48" s="97"/>
      <c r="H48" s="98">
        <f>(H37*H38*H39)/H43-1</f>
        <v>0.1384</v>
      </c>
    </row>
    <row r="49" spans="1:8" ht="20.25">
      <c r="A49" s="93" t="s">
        <v>243</v>
      </c>
      <c r="B49" s="94"/>
      <c r="C49" s="95">
        <f>(C39*C41*C43)/C45-1</f>
        <v>0.1958</v>
      </c>
      <c r="D49" s="569"/>
      <c r="E49" s="102"/>
      <c r="F49" s="102"/>
      <c r="G49" s="102"/>
      <c r="H49" s="99" t="s">
        <v>244</v>
      </c>
    </row>
    <row r="50" spans="1:8" ht="20.25">
      <c r="A50" s="90"/>
      <c r="B50" s="102"/>
      <c r="C50" s="102"/>
      <c r="D50" s="569"/>
      <c r="E50" s="102"/>
      <c r="F50" s="2170" t="s">
        <v>245</v>
      </c>
      <c r="G50" s="2170"/>
      <c r="H50" s="2171"/>
    </row>
    <row r="51" spans="1:8" ht="21" thickBot="1">
      <c r="A51" s="91"/>
      <c r="B51" s="568"/>
      <c r="C51" s="568"/>
      <c r="D51" s="572"/>
      <c r="E51" s="568"/>
      <c r="F51" s="2172"/>
      <c r="G51" s="2172"/>
      <c r="H51" s="2173"/>
    </row>
    <row r="52" spans="1:8" ht="21" thickBot="1">
      <c r="A52" s="100"/>
      <c r="B52" s="101"/>
      <c r="C52" s="101"/>
      <c r="D52" s="573"/>
      <c r="E52" s="101"/>
      <c r="F52" s="585"/>
      <c r="G52" s="585"/>
      <c r="H52" s="586"/>
    </row>
  </sheetData>
  <mergeCells count="42">
    <mergeCell ref="F50:H51"/>
    <mergeCell ref="A41:B41"/>
    <mergeCell ref="F41:G41"/>
    <mergeCell ref="A43:B43"/>
    <mergeCell ref="F43:G43"/>
    <mergeCell ref="A45:B45"/>
    <mergeCell ref="A47:C47"/>
    <mergeCell ref="A39:B39"/>
    <mergeCell ref="F39:G39"/>
    <mergeCell ref="A26:H26"/>
    <mergeCell ref="B27:G27"/>
    <mergeCell ref="B28:G28"/>
    <mergeCell ref="B29:G29"/>
    <mergeCell ref="B30:G30"/>
    <mergeCell ref="A31:H31"/>
    <mergeCell ref="B32:G32"/>
    <mergeCell ref="B33:G33"/>
    <mergeCell ref="A35:H35"/>
    <mergeCell ref="F37:G37"/>
    <mergeCell ref="F38:G38"/>
    <mergeCell ref="B24:G24"/>
    <mergeCell ref="B13:G13"/>
    <mergeCell ref="A14:G14"/>
    <mergeCell ref="A15:H15"/>
    <mergeCell ref="B16:G16"/>
    <mergeCell ref="B17:G17"/>
    <mergeCell ref="A18:G18"/>
    <mergeCell ref="A19:G19"/>
    <mergeCell ref="B20:G20"/>
    <mergeCell ref="B21:G21"/>
    <mergeCell ref="B22:G22"/>
    <mergeCell ref="A23:G23"/>
    <mergeCell ref="B12:G12"/>
    <mergeCell ref="A1:H1"/>
    <mergeCell ref="A3:H3"/>
    <mergeCell ref="A4:H4"/>
    <mergeCell ref="A5:H5"/>
    <mergeCell ref="A6:H6"/>
    <mergeCell ref="A9:H9"/>
    <mergeCell ref="A10:H10"/>
    <mergeCell ref="A11:G11"/>
    <mergeCell ref="B7:H8"/>
  </mergeCells>
  <pageMargins left="0.511811024" right="0.511811024" top="0.78740157499999996" bottom="0.78740157499999996" header="0.31496062000000002" footer="0.31496062000000002"/>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Planilha24">
    <tabColor theme="7" tint="0.39997558519241921"/>
    <pageSetUpPr fitToPage="1"/>
  </sheetPr>
  <dimension ref="A1:J47"/>
  <sheetViews>
    <sheetView view="pageBreakPreview" topLeftCell="A28" zoomScale="115" zoomScaleNormal="115" zoomScaleSheetLayoutView="115" workbookViewId="0">
      <selection activeCell="A9" sqref="A9:G9"/>
    </sheetView>
  </sheetViews>
  <sheetFormatPr defaultColWidth="9.140625" defaultRowHeight="10.5"/>
  <cols>
    <col min="1" max="1" width="7.7109375" style="166" customWidth="1"/>
    <col min="2" max="2" width="10.7109375" style="166" customWidth="1"/>
    <col min="3" max="3" width="42.7109375" style="166" customWidth="1"/>
    <col min="4" max="7" width="11.7109375" style="166" customWidth="1"/>
    <col min="8" max="8" width="11.7109375" style="165" customWidth="1"/>
    <col min="9" max="9" width="9.140625" style="165"/>
    <col min="10" max="16384" width="9.140625" style="166"/>
  </cols>
  <sheetData>
    <row r="1" spans="1:10">
      <c r="A1" s="161"/>
      <c r="B1" s="162"/>
      <c r="C1" s="162"/>
      <c r="D1" s="162"/>
      <c r="E1" s="162"/>
      <c r="F1" s="162"/>
      <c r="G1" s="163"/>
      <c r="H1" s="164"/>
    </row>
    <row r="2" spans="1:10" ht="45.75" customHeight="1">
      <c r="A2" s="217"/>
      <c r="B2" s="218"/>
      <c r="C2" s="218"/>
      <c r="D2" s="218"/>
      <c r="E2" s="218"/>
      <c r="F2" s="218"/>
      <c r="G2" s="219"/>
      <c r="H2" s="164"/>
    </row>
    <row r="3" spans="1:10" s="171" customFormat="1" ht="13.5" customHeight="1">
      <c r="A3" s="2226" t="s">
        <v>17</v>
      </c>
      <c r="B3" s="2227"/>
      <c r="C3" s="2227"/>
      <c r="D3" s="2227"/>
      <c r="E3" s="2227"/>
      <c r="F3" s="2227"/>
      <c r="G3" s="2228"/>
      <c r="H3" s="167"/>
      <c r="I3" s="165"/>
    </row>
    <row r="4" spans="1:10" s="171" customFormat="1" ht="13.5" customHeight="1">
      <c r="A4" s="2229" t="s">
        <v>185</v>
      </c>
      <c r="B4" s="2230"/>
      <c r="C4" s="2230"/>
      <c r="D4" s="2230"/>
      <c r="E4" s="2230"/>
      <c r="F4" s="2230"/>
      <c r="G4" s="2231"/>
      <c r="H4" s="167"/>
      <c r="I4" s="165"/>
    </row>
    <row r="5" spans="1:10" s="171" customFormat="1" ht="13.5" customHeight="1">
      <c r="A5" s="2229" t="s">
        <v>16</v>
      </c>
      <c r="B5" s="2230"/>
      <c r="C5" s="2230"/>
      <c r="D5" s="2230"/>
      <c r="E5" s="2230"/>
      <c r="F5" s="2230"/>
      <c r="G5" s="2231"/>
      <c r="H5" s="167"/>
      <c r="I5" s="165"/>
    </row>
    <row r="6" spans="1:10" ht="11.25" thickBot="1">
      <c r="A6" s="2232"/>
      <c r="B6" s="2233"/>
      <c r="C6" s="2233"/>
      <c r="D6" s="2233"/>
      <c r="E6" s="2233"/>
      <c r="F6" s="2233"/>
      <c r="G6" s="2234"/>
      <c r="H6" s="167"/>
    </row>
    <row r="7" spans="1:10" ht="11.25" thickTop="1">
      <c r="A7" s="2242" t="s">
        <v>505</v>
      </c>
      <c r="B7" s="310" t="s">
        <v>535</v>
      </c>
      <c r="C7" s="2244" t="s">
        <v>526</v>
      </c>
      <c r="D7" s="2245"/>
      <c r="E7" s="2245"/>
      <c r="F7" s="2245"/>
      <c r="G7" s="311" t="s">
        <v>534</v>
      </c>
      <c r="H7" s="168"/>
    </row>
    <row r="8" spans="1:10" ht="11.25" thickBot="1">
      <c r="A8" s="2243"/>
      <c r="B8" s="309">
        <v>44896</v>
      </c>
      <c r="C8" s="2246"/>
      <c r="D8" s="2247"/>
      <c r="E8" s="2247"/>
      <c r="F8" s="2247"/>
      <c r="G8" s="216" t="s">
        <v>25</v>
      </c>
      <c r="H8" s="168"/>
    </row>
    <row r="9" spans="1:10" ht="27" customHeight="1" thickTop="1">
      <c r="A9" s="2239" t="str">
        <f>ORÇAMENTO!D9</f>
        <v>SISTEMA DE SANEAMENTO INTEGRADO NO BAIRRO DO ICUÍ: ABASTECIMENTO DE ÁGUA, DRENAGEM URBANA E MANEJO DE ÁGUAS PLUVIAIS E PAVIMENTAÇÃO NO MUNICÍPIO DE ANANINDEUA/ PA</v>
      </c>
      <c r="B9" s="2240"/>
      <c r="C9" s="2240"/>
      <c r="D9" s="2240"/>
      <c r="E9" s="2240"/>
      <c r="F9" s="2240"/>
      <c r="G9" s="2241"/>
      <c r="H9" s="168"/>
    </row>
    <row r="10" spans="1:10" s="171" customFormat="1" ht="20.100000000000001" customHeight="1">
      <c r="A10" s="225" t="s">
        <v>33</v>
      </c>
      <c r="B10" s="226" t="s">
        <v>252</v>
      </c>
      <c r="C10" s="227" t="s">
        <v>34</v>
      </c>
      <c r="D10" s="226" t="s">
        <v>35</v>
      </c>
      <c r="E10" s="227" t="s">
        <v>149</v>
      </c>
      <c r="F10" s="228" t="s">
        <v>36</v>
      </c>
      <c r="G10" s="229" t="s">
        <v>37</v>
      </c>
      <c r="H10" s="175"/>
      <c r="I10" s="165"/>
    </row>
    <row r="11" spans="1:10" s="171" customFormat="1" ht="15.95" customHeight="1">
      <c r="A11" s="2236" t="s">
        <v>32</v>
      </c>
      <c r="B11" s="2237"/>
      <c r="C11" s="2237"/>
      <c r="D11" s="2237"/>
      <c r="E11" s="2237"/>
      <c r="F11" s="2237"/>
      <c r="G11" s="2238"/>
      <c r="H11" s="169"/>
      <c r="I11" s="165">
        <v>1.28</v>
      </c>
      <c r="J11" s="170">
        <f>G44</f>
        <v>865.82</v>
      </c>
    </row>
    <row r="12" spans="1:10" s="171" customFormat="1" ht="20.100000000000001" customHeight="1">
      <c r="A12" s="176">
        <v>1</v>
      </c>
      <c r="B12" s="177" t="s">
        <v>177</v>
      </c>
      <c r="C12" s="178" t="s">
        <v>159</v>
      </c>
      <c r="D12" s="173" t="s">
        <v>40</v>
      </c>
      <c r="E12" s="179">
        <v>1.34E-2</v>
      </c>
      <c r="F12" s="180">
        <v>21.09</v>
      </c>
      <c r="G12" s="181">
        <f>ROUND(E12*F12,2)</f>
        <v>0.28000000000000003</v>
      </c>
      <c r="H12" s="182">
        <v>1.34E-2</v>
      </c>
      <c r="I12" s="165">
        <f>$I$11</f>
        <v>1.28</v>
      </c>
    </row>
    <row r="13" spans="1:10" s="171" customFormat="1" ht="20.100000000000001" customHeight="1">
      <c r="A13" s="176">
        <v>2</v>
      </c>
      <c r="B13" s="177" t="s">
        <v>176</v>
      </c>
      <c r="C13" s="178" t="s">
        <v>160</v>
      </c>
      <c r="D13" s="173" t="s">
        <v>40</v>
      </c>
      <c r="E13" s="179">
        <v>3.5000000000000003E-2</v>
      </c>
      <c r="F13" s="180">
        <v>21.76</v>
      </c>
      <c r="G13" s="181">
        <f>ROUND(E13*F13,2)</f>
        <v>0.76</v>
      </c>
      <c r="H13" s="182">
        <v>3.5000000000000003E-2</v>
      </c>
      <c r="I13" s="165">
        <f t="shared" ref="I13:I37" si="0">$I$11</f>
        <v>1.28</v>
      </c>
    </row>
    <row r="14" spans="1:10" s="171" customFormat="1" ht="20.100000000000001" customHeight="1">
      <c r="A14" s="176">
        <v>3</v>
      </c>
      <c r="B14" s="177" t="s">
        <v>41</v>
      </c>
      <c r="C14" s="178" t="s">
        <v>161</v>
      </c>
      <c r="D14" s="173" t="s">
        <v>40</v>
      </c>
      <c r="E14" s="179">
        <v>0.1067</v>
      </c>
      <c r="F14" s="180">
        <v>19.21</v>
      </c>
      <c r="G14" s="181">
        <f>ROUND(E14*F14,2)</f>
        <v>2.0499999999999998</v>
      </c>
      <c r="H14" s="182">
        <v>0.1067</v>
      </c>
      <c r="I14" s="165">
        <f t="shared" si="0"/>
        <v>1.28</v>
      </c>
    </row>
    <row r="15" spans="1:10" s="171" customFormat="1" ht="20.100000000000001" customHeight="1">
      <c r="A15" s="183">
        <v>4</v>
      </c>
      <c r="B15" s="184">
        <v>88314</v>
      </c>
      <c r="C15" s="185" t="s">
        <v>164</v>
      </c>
      <c r="D15" s="186" t="s">
        <v>40</v>
      </c>
      <c r="E15" s="187">
        <v>1.1301000000000001</v>
      </c>
      <c r="F15" s="188">
        <v>17.91</v>
      </c>
      <c r="G15" s="181">
        <f>ROUND(E15*F15,2)</f>
        <v>20.239999999999998</v>
      </c>
      <c r="H15" s="182">
        <v>1.1301000000000001</v>
      </c>
      <c r="I15" s="165">
        <f t="shared" si="0"/>
        <v>1.28</v>
      </c>
    </row>
    <row r="16" spans="1:10" s="171" customFormat="1" ht="15.95" customHeight="1">
      <c r="A16" s="2248" t="s">
        <v>42</v>
      </c>
      <c r="B16" s="2248"/>
      <c r="C16" s="2248"/>
      <c r="D16" s="2248"/>
      <c r="E16" s="2248"/>
      <c r="F16" s="2248"/>
      <c r="G16" s="230">
        <f>SUM(G12:G15)</f>
        <v>23.33</v>
      </c>
      <c r="H16" s="189"/>
      <c r="I16" s="165"/>
    </row>
    <row r="17" spans="1:9" s="171" customFormat="1" ht="15.95" customHeight="1">
      <c r="A17" s="2236" t="s">
        <v>43</v>
      </c>
      <c r="B17" s="2237"/>
      <c r="C17" s="2237"/>
      <c r="D17" s="2237"/>
      <c r="E17" s="2237"/>
      <c r="F17" s="2237"/>
      <c r="G17" s="2238"/>
      <c r="H17" s="169"/>
      <c r="I17" s="165"/>
    </row>
    <row r="18" spans="1:9" s="171" customFormat="1" ht="20.100000000000001" customHeight="1">
      <c r="A18" s="176">
        <v>1</v>
      </c>
      <c r="B18" s="190">
        <v>5944</v>
      </c>
      <c r="C18" s="191" t="s">
        <v>152</v>
      </c>
      <c r="D18" s="173" t="s">
        <v>172</v>
      </c>
      <c r="E18" s="179">
        <v>3.5000000000000003E-2</v>
      </c>
      <c r="F18" s="180">
        <v>254.53</v>
      </c>
      <c r="G18" s="181">
        <f>ROUND(E18*F18,2)</f>
        <v>8.91</v>
      </c>
      <c r="H18" s="182">
        <v>3.5000000000000003E-2</v>
      </c>
      <c r="I18" s="165">
        <f t="shared" si="0"/>
        <v>1.28</v>
      </c>
    </row>
    <row r="19" spans="1:9" s="171" customFormat="1" ht="20.100000000000001" customHeight="1">
      <c r="A19" s="176">
        <v>2</v>
      </c>
      <c r="B19" s="190">
        <v>7030</v>
      </c>
      <c r="C19" s="191" t="s">
        <v>153</v>
      </c>
      <c r="D19" s="173" t="s">
        <v>172</v>
      </c>
      <c r="E19" s="179">
        <v>1.34E-2</v>
      </c>
      <c r="F19" s="180">
        <v>299.08999999999997</v>
      </c>
      <c r="G19" s="181">
        <f t="shared" ref="G19:G30" si="1">ROUND(E19*F19,2)</f>
        <v>4.01</v>
      </c>
      <c r="H19" s="182">
        <v>1.34E-2</v>
      </c>
      <c r="I19" s="165">
        <f t="shared" si="0"/>
        <v>1.28</v>
      </c>
    </row>
    <row r="20" spans="1:9" s="171" customFormat="1" ht="20.100000000000001" customHeight="1">
      <c r="A20" s="176">
        <v>3</v>
      </c>
      <c r="B20" s="190">
        <v>93433</v>
      </c>
      <c r="C20" s="191" t="s">
        <v>155</v>
      </c>
      <c r="D20" s="173" t="s">
        <v>172</v>
      </c>
      <c r="E20" s="179">
        <v>1.34E-2</v>
      </c>
      <c r="F20" s="180">
        <v>2820.43</v>
      </c>
      <c r="G20" s="181">
        <f t="shared" si="1"/>
        <v>37.79</v>
      </c>
      <c r="H20" s="182">
        <v>1.34E-2</v>
      </c>
      <c r="I20" s="165">
        <f t="shared" si="0"/>
        <v>1.28</v>
      </c>
    </row>
    <row r="21" spans="1:9" s="171" customFormat="1" ht="20.100000000000001" customHeight="1">
      <c r="A21" s="176">
        <v>4</v>
      </c>
      <c r="B21" s="190">
        <v>95872</v>
      </c>
      <c r="C21" s="191" t="s">
        <v>156</v>
      </c>
      <c r="D21" s="173" t="s">
        <v>172</v>
      </c>
      <c r="E21" s="179">
        <v>1.34E-2</v>
      </c>
      <c r="F21" s="180">
        <v>327.23</v>
      </c>
      <c r="G21" s="181">
        <f t="shared" si="1"/>
        <v>4.38</v>
      </c>
      <c r="H21" s="182">
        <v>1.34E-2</v>
      </c>
      <c r="I21" s="165">
        <f t="shared" si="0"/>
        <v>1.28</v>
      </c>
    </row>
    <row r="22" spans="1:9" s="171" customFormat="1" ht="20.100000000000001" customHeight="1">
      <c r="A22" s="176">
        <v>5</v>
      </c>
      <c r="B22" s="190">
        <v>5835</v>
      </c>
      <c r="C22" s="191" t="s">
        <v>162</v>
      </c>
      <c r="D22" s="173" t="s">
        <v>172</v>
      </c>
      <c r="E22" s="179">
        <v>4.6399999999999997E-2</v>
      </c>
      <c r="F22" s="180">
        <v>393.41</v>
      </c>
      <c r="G22" s="181">
        <f t="shared" si="1"/>
        <v>18.25</v>
      </c>
      <c r="H22" s="182">
        <v>4.6399999999999997E-2</v>
      </c>
      <c r="I22" s="165">
        <f t="shared" si="0"/>
        <v>1.28</v>
      </c>
    </row>
    <row r="23" spans="1:9" s="171" customFormat="1" ht="20.100000000000001" customHeight="1">
      <c r="A23" s="176">
        <v>6</v>
      </c>
      <c r="B23" s="190">
        <v>5837</v>
      </c>
      <c r="C23" s="191" t="s">
        <v>163</v>
      </c>
      <c r="D23" s="173" t="s">
        <v>174</v>
      </c>
      <c r="E23" s="179">
        <v>9.4899999999999998E-2</v>
      </c>
      <c r="F23" s="180">
        <v>137.78</v>
      </c>
      <c r="G23" s="181">
        <f t="shared" si="1"/>
        <v>13.08</v>
      </c>
      <c r="H23" s="182">
        <v>9.4899999999999998E-2</v>
      </c>
      <c r="I23" s="165">
        <f t="shared" si="0"/>
        <v>1.28</v>
      </c>
    </row>
    <row r="24" spans="1:9" s="171" customFormat="1" ht="20.100000000000001" customHeight="1">
      <c r="A24" s="176">
        <v>7</v>
      </c>
      <c r="B24" s="190">
        <v>91386</v>
      </c>
      <c r="C24" s="191" t="s">
        <v>165</v>
      </c>
      <c r="D24" s="173" t="s">
        <v>172</v>
      </c>
      <c r="E24" s="179">
        <v>4.6399999999999997E-2</v>
      </c>
      <c r="F24" s="180">
        <v>258.64999999999998</v>
      </c>
      <c r="G24" s="181">
        <f t="shared" si="1"/>
        <v>12</v>
      </c>
      <c r="H24" s="182">
        <v>4.6399999999999997E-2</v>
      </c>
      <c r="I24" s="165">
        <f t="shared" si="0"/>
        <v>1.28</v>
      </c>
    </row>
    <row r="25" spans="1:9" s="171" customFormat="1" ht="20.100000000000001" customHeight="1">
      <c r="A25" s="176">
        <v>8</v>
      </c>
      <c r="B25" s="190">
        <v>95631</v>
      </c>
      <c r="C25" s="191" t="s">
        <v>166</v>
      </c>
      <c r="D25" s="173" t="s">
        <v>172</v>
      </c>
      <c r="E25" s="179">
        <v>8.0500000000000002E-2</v>
      </c>
      <c r="F25" s="180">
        <v>238.14</v>
      </c>
      <c r="G25" s="181">
        <f t="shared" si="1"/>
        <v>19.170000000000002</v>
      </c>
      <c r="H25" s="182">
        <v>8.0500000000000002E-2</v>
      </c>
      <c r="I25" s="165">
        <f t="shared" si="0"/>
        <v>1.28</v>
      </c>
    </row>
    <row r="26" spans="1:9" s="171" customFormat="1" ht="20.100000000000001" customHeight="1">
      <c r="A26" s="176">
        <v>9</v>
      </c>
      <c r="B26" s="190">
        <v>95632</v>
      </c>
      <c r="C26" s="191" t="s">
        <v>167</v>
      </c>
      <c r="D26" s="173" t="s">
        <v>174</v>
      </c>
      <c r="E26" s="179">
        <v>6.0699999999999997E-2</v>
      </c>
      <c r="F26" s="180">
        <v>76.92</v>
      </c>
      <c r="G26" s="181">
        <f t="shared" si="1"/>
        <v>4.67</v>
      </c>
      <c r="H26" s="182">
        <v>6.0699999999999997E-2</v>
      </c>
      <c r="I26" s="165">
        <f t="shared" si="0"/>
        <v>1.28</v>
      </c>
    </row>
    <row r="27" spans="1:9" s="171" customFormat="1" ht="20.100000000000001" customHeight="1">
      <c r="A27" s="176">
        <v>10</v>
      </c>
      <c r="B27" s="190">
        <v>96155</v>
      </c>
      <c r="C27" s="191" t="s">
        <v>168</v>
      </c>
      <c r="D27" s="173" t="s">
        <v>174</v>
      </c>
      <c r="E27" s="179">
        <v>0.1071</v>
      </c>
      <c r="F27" s="180">
        <v>43.15</v>
      </c>
      <c r="G27" s="181">
        <f t="shared" si="1"/>
        <v>4.62</v>
      </c>
      <c r="H27" s="182">
        <v>0.1071</v>
      </c>
      <c r="I27" s="165">
        <f t="shared" si="0"/>
        <v>1.28</v>
      </c>
    </row>
    <row r="28" spans="1:9" s="171" customFormat="1" ht="20.100000000000001" customHeight="1">
      <c r="A28" s="176">
        <v>11</v>
      </c>
      <c r="B28" s="190">
        <v>96157</v>
      </c>
      <c r="C28" s="191" t="s">
        <v>169</v>
      </c>
      <c r="D28" s="173" t="s">
        <v>172</v>
      </c>
      <c r="E28" s="179">
        <v>3.4099999999999998E-2</v>
      </c>
      <c r="F28" s="180">
        <v>139.63</v>
      </c>
      <c r="G28" s="181">
        <f t="shared" si="1"/>
        <v>4.76</v>
      </c>
      <c r="H28" s="182">
        <v>3.4099999999999998E-2</v>
      </c>
      <c r="I28" s="165">
        <f t="shared" si="0"/>
        <v>1.28</v>
      </c>
    </row>
    <row r="29" spans="1:9" s="171" customFormat="1" ht="20.100000000000001" customHeight="1">
      <c r="A29" s="176">
        <v>12</v>
      </c>
      <c r="B29" s="190">
        <v>96463</v>
      </c>
      <c r="C29" s="191" t="s">
        <v>170</v>
      </c>
      <c r="D29" s="173" t="s">
        <v>172</v>
      </c>
      <c r="E29" s="179">
        <v>4.19E-2</v>
      </c>
      <c r="F29" s="180">
        <v>222.28</v>
      </c>
      <c r="G29" s="181">
        <f t="shared" si="1"/>
        <v>9.31</v>
      </c>
      <c r="H29" s="182">
        <v>4.19E-2</v>
      </c>
      <c r="I29" s="165">
        <f t="shared" si="0"/>
        <v>1.28</v>
      </c>
    </row>
    <row r="30" spans="1:9" s="171" customFormat="1" ht="20.100000000000001" customHeight="1">
      <c r="A30" s="183">
        <v>13</v>
      </c>
      <c r="B30" s="184">
        <v>96464</v>
      </c>
      <c r="C30" s="192" t="s">
        <v>171</v>
      </c>
      <c r="D30" s="186" t="s">
        <v>174</v>
      </c>
      <c r="E30" s="187">
        <v>9.9000000000000005E-2</v>
      </c>
      <c r="F30" s="188">
        <v>82.97</v>
      </c>
      <c r="G30" s="181">
        <f t="shared" si="1"/>
        <v>8.2100000000000009</v>
      </c>
      <c r="H30" s="182">
        <v>9.9000000000000005E-2</v>
      </c>
      <c r="I30" s="165">
        <f t="shared" si="0"/>
        <v>1.28</v>
      </c>
    </row>
    <row r="31" spans="1:9" s="171" customFormat="1" ht="15.95" customHeight="1">
      <c r="A31" s="2248" t="s">
        <v>44</v>
      </c>
      <c r="B31" s="2248"/>
      <c r="C31" s="2248"/>
      <c r="D31" s="2248"/>
      <c r="E31" s="2248"/>
      <c r="F31" s="2248"/>
      <c r="G31" s="230">
        <f>SUM(G18:G30)</f>
        <v>149.16</v>
      </c>
      <c r="H31" s="189"/>
      <c r="I31" s="165"/>
    </row>
    <row r="32" spans="1:9" s="171" customFormat="1" ht="15.95" customHeight="1">
      <c r="A32" s="2249" t="s">
        <v>45</v>
      </c>
      <c r="B32" s="2249"/>
      <c r="C32" s="2249"/>
      <c r="D32" s="2249"/>
      <c r="E32" s="2249"/>
      <c r="F32" s="2249"/>
      <c r="G32" s="2249"/>
      <c r="H32" s="169"/>
      <c r="I32" s="165"/>
    </row>
    <row r="33" spans="1:9" s="171" customFormat="1" ht="20.100000000000001" customHeight="1">
      <c r="A33" s="176">
        <v>1</v>
      </c>
      <c r="B33" s="193">
        <v>370</v>
      </c>
      <c r="C33" s="178" t="s">
        <v>150</v>
      </c>
      <c r="D33" s="173" t="s">
        <v>0</v>
      </c>
      <c r="E33" s="179">
        <v>0.1875</v>
      </c>
      <c r="F33" s="194">
        <v>90</v>
      </c>
      <c r="G33" s="181">
        <f>ROUND(E33*F33,2)</f>
        <v>16.88</v>
      </c>
      <c r="H33" s="182">
        <v>0.1875</v>
      </c>
      <c r="I33" s="165">
        <f t="shared" si="0"/>
        <v>1.28</v>
      </c>
    </row>
    <row r="34" spans="1:9" s="171" customFormat="1" ht="20.100000000000001" customHeight="1">
      <c r="A34" s="176">
        <v>2</v>
      </c>
      <c r="B34" s="193">
        <v>4734</v>
      </c>
      <c r="C34" s="178" t="s">
        <v>151</v>
      </c>
      <c r="D34" s="173" t="s">
        <v>0</v>
      </c>
      <c r="E34" s="179">
        <v>0.252</v>
      </c>
      <c r="F34" s="194">
        <v>621.30999999999995</v>
      </c>
      <c r="G34" s="181">
        <f>ROUND(E34*F34,2)</f>
        <v>156.57</v>
      </c>
      <c r="H34" s="182">
        <v>0.252</v>
      </c>
      <c r="I34" s="165">
        <f t="shared" si="0"/>
        <v>1.28</v>
      </c>
    </row>
    <row r="35" spans="1:9" s="171" customFormat="1" ht="20.100000000000001" customHeight="1">
      <c r="A35" s="176">
        <v>3</v>
      </c>
      <c r="B35" s="193">
        <v>41899</v>
      </c>
      <c r="C35" s="195" t="s">
        <v>154</v>
      </c>
      <c r="D35" s="173" t="s">
        <v>25</v>
      </c>
      <c r="E35" s="179">
        <v>0.06</v>
      </c>
      <c r="F35" s="194">
        <v>6664.59</v>
      </c>
      <c r="G35" s="181">
        <f>ROUND(E35*F35,2)</f>
        <v>399.88</v>
      </c>
      <c r="H35" s="182">
        <v>0.06</v>
      </c>
      <c r="I35" s="165">
        <f t="shared" si="0"/>
        <v>1.28</v>
      </c>
    </row>
    <row r="36" spans="1:9" s="171" customFormat="1" ht="20.100000000000001" customHeight="1">
      <c r="A36" s="176">
        <v>4</v>
      </c>
      <c r="B36" s="193">
        <v>4221</v>
      </c>
      <c r="C36" s="178" t="s">
        <v>157</v>
      </c>
      <c r="D36" s="173" t="s">
        <v>173</v>
      </c>
      <c r="E36" s="179">
        <v>5</v>
      </c>
      <c r="F36" s="194">
        <v>6.72</v>
      </c>
      <c r="G36" s="181">
        <f>ROUND(E36*F36,2)</f>
        <v>33.6</v>
      </c>
      <c r="H36" s="182">
        <v>5</v>
      </c>
      <c r="I36" s="165">
        <f t="shared" si="0"/>
        <v>1.28</v>
      </c>
    </row>
    <row r="37" spans="1:9" s="171" customFormat="1" ht="20.100000000000001" customHeight="1">
      <c r="A37" s="183">
        <v>5</v>
      </c>
      <c r="B37" s="196">
        <v>11138</v>
      </c>
      <c r="C37" s="197" t="s">
        <v>158</v>
      </c>
      <c r="D37" s="186" t="s">
        <v>173</v>
      </c>
      <c r="E37" s="187">
        <v>20</v>
      </c>
      <c r="F37" s="198">
        <v>4.32</v>
      </c>
      <c r="G37" s="181">
        <f>ROUND(E37*F37,2)</f>
        <v>86.4</v>
      </c>
      <c r="H37" s="182">
        <v>20</v>
      </c>
      <c r="I37" s="165">
        <f t="shared" si="0"/>
        <v>1.28</v>
      </c>
    </row>
    <row r="38" spans="1:9" s="171" customFormat="1" ht="15.95" customHeight="1">
      <c r="A38" s="2248" t="s">
        <v>46</v>
      </c>
      <c r="B38" s="2248"/>
      <c r="C38" s="2248"/>
      <c r="D38" s="2248"/>
      <c r="E38" s="2248"/>
      <c r="F38" s="2248"/>
      <c r="G38" s="230">
        <f>SUM(G33:G37)</f>
        <v>693.33</v>
      </c>
      <c r="H38" s="189"/>
      <c r="I38" s="165"/>
    </row>
    <row r="39" spans="1:9" s="171" customFormat="1" ht="15.95" customHeight="1">
      <c r="A39" s="2251" t="s">
        <v>47</v>
      </c>
      <c r="B39" s="2252"/>
      <c r="C39" s="2252"/>
      <c r="D39" s="2252"/>
      <c r="E39" s="2252"/>
      <c r="F39" s="2252"/>
      <c r="G39" s="2253"/>
      <c r="H39" s="199"/>
      <c r="I39" s="165"/>
    </row>
    <row r="40" spans="1:9" s="171" customFormat="1" ht="15.95" customHeight="1">
      <c r="A40" s="172" t="s">
        <v>33</v>
      </c>
      <c r="B40" s="173"/>
      <c r="C40" s="173" t="s">
        <v>48</v>
      </c>
      <c r="D40" s="173" t="s">
        <v>37</v>
      </c>
      <c r="E40" s="173"/>
      <c r="F40" s="200"/>
      <c r="G40" s="174"/>
      <c r="H40" s="175"/>
      <c r="I40" s="165"/>
    </row>
    <row r="41" spans="1:9" s="171" customFormat="1" ht="15.95" customHeight="1">
      <c r="A41" s="172" t="s">
        <v>49</v>
      </c>
      <c r="B41" s="173"/>
      <c r="C41" s="173" t="s">
        <v>50</v>
      </c>
      <c r="D41" s="2254" t="s">
        <v>51</v>
      </c>
      <c r="E41" s="2254"/>
      <c r="F41" s="2254"/>
      <c r="G41" s="174">
        <f>G16</f>
        <v>23.33</v>
      </c>
      <c r="H41" s="175"/>
      <c r="I41" s="165"/>
    </row>
    <row r="42" spans="1:9" s="171" customFormat="1" ht="15.95" customHeight="1">
      <c r="A42" s="172" t="s">
        <v>52</v>
      </c>
      <c r="B42" s="173"/>
      <c r="C42" s="173" t="s">
        <v>53</v>
      </c>
      <c r="D42" s="2254" t="s">
        <v>54</v>
      </c>
      <c r="E42" s="2254"/>
      <c r="F42" s="2254"/>
      <c r="G42" s="174">
        <f>G31</f>
        <v>149.16</v>
      </c>
      <c r="H42" s="175"/>
      <c r="I42" s="165"/>
    </row>
    <row r="43" spans="1:9" s="171" customFormat="1" ht="15.95" customHeight="1">
      <c r="A43" s="172" t="s">
        <v>14</v>
      </c>
      <c r="B43" s="173"/>
      <c r="C43" s="173" t="s">
        <v>55</v>
      </c>
      <c r="D43" s="2254" t="s">
        <v>56</v>
      </c>
      <c r="E43" s="2254"/>
      <c r="F43" s="2254"/>
      <c r="G43" s="174">
        <f>G38</f>
        <v>693.33</v>
      </c>
      <c r="H43" s="175"/>
      <c r="I43" s="165"/>
    </row>
    <row r="44" spans="1:9" s="171" customFormat="1" ht="15.95" customHeight="1">
      <c r="A44" s="172" t="s">
        <v>7</v>
      </c>
      <c r="B44" s="173"/>
      <c r="C44" s="201" t="s">
        <v>57</v>
      </c>
      <c r="D44" s="2235" t="s">
        <v>58</v>
      </c>
      <c r="E44" s="2235"/>
      <c r="F44" s="2235"/>
      <c r="G44" s="202">
        <f>G41+G42+G43</f>
        <v>865.82</v>
      </c>
      <c r="H44" s="203">
        <v>596</v>
      </c>
      <c r="I44" s="165"/>
    </row>
    <row r="45" spans="1:9" s="171" customFormat="1" ht="15.95" customHeight="1">
      <c r="A45" s="172"/>
      <c r="B45" s="173"/>
      <c r="C45" s="201"/>
      <c r="D45" s="204" t="s">
        <v>196</v>
      </c>
      <c r="E45" s="205"/>
      <c r="F45" s="206">
        <v>0.27460000000000001</v>
      </c>
      <c r="G45" s="207">
        <f>G44*F45</f>
        <v>237.75</v>
      </c>
      <c r="H45" s="208"/>
      <c r="I45" s="165"/>
    </row>
    <row r="46" spans="1:9" s="171" customFormat="1" ht="15.95" customHeight="1" thickBot="1">
      <c r="A46" s="209"/>
      <c r="B46" s="210"/>
      <c r="C46" s="210"/>
      <c r="D46" s="2250" t="s">
        <v>60</v>
      </c>
      <c r="E46" s="2250"/>
      <c r="F46" s="2250"/>
      <c r="G46" s="211">
        <f>G44+G45</f>
        <v>1103.57</v>
      </c>
      <c r="H46" s="212"/>
      <c r="I46" s="165"/>
    </row>
    <row r="47" spans="1:9">
      <c r="A47" s="213"/>
      <c r="B47" s="213"/>
      <c r="C47" s="213"/>
      <c r="D47" s="214"/>
      <c r="E47" s="214"/>
      <c r="F47" s="214"/>
      <c r="G47" s="215"/>
      <c r="H47" s="215"/>
    </row>
  </sheetData>
  <mergeCells count="19">
    <mergeCell ref="D46:F46"/>
    <mergeCell ref="A39:G39"/>
    <mergeCell ref="D41:F41"/>
    <mergeCell ref="D42:F42"/>
    <mergeCell ref="D43:F43"/>
    <mergeCell ref="A3:G3"/>
    <mergeCell ref="A4:G4"/>
    <mergeCell ref="A5:G5"/>
    <mergeCell ref="A6:G6"/>
    <mergeCell ref="D44:F44"/>
    <mergeCell ref="A11:G11"/>
    <mergeCell ref="A9:G9"/>
    <mergeCell ref="A7:A8"/>
    <mergeCell ref="C7:F8"/>
    <mergeCell ref="A38:F38"/>
    <mergeCell ref="A17:G17"/>
    <mergeCell ref="A32:G32"/>
    <mergeCell ref="A16:F16"/>
    <mergeCell ref="A31:F31"/>
  </mergeCells>
  <printOptions horizontalCentered="1"/>
  <pageMargins left="0.51181102362204722" right="0.51181102362204722" top="0.78740157480314965" bottom="0.78740157480314965" header="0.31496062992125984" footer="0.31496062992125984"/>
  <pageSetup paperSize="9" scale="87" orientation="portrait" r:id="rId1"/>
  <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Planilha25">
    <pageSetUpPr fitToPage="1"/>
  </sheetPr>
  <dimension ref="A1:H28"/>
  <sheetViews>
    <sheetView view="pageBreakPreview" zoomScale="85" zoomScaleNormal="100" zoomScaleSheetLayoutView="85" workbookViewId="0">
      <selection activeCell="L18" sqref="L18"/>
    </sheetView>
  </sheetViews>
  <sheetFormatPr defaultColWidth="9.140625" defaultRowHeight="12.75"/>
  <cols>
    <col min="1" max="1" width="9.140625" style="1"/>
    <col min="2" max="2" width="9.28515625" style="1" bestFit="1" customWidth="1"/>
    <col min="3" max="3" width="51.85546875" style="1" customWidth="1"/>
    <col min="4" max="4" width="9.140625" style="1"/>
    <col min="5" max="5" width="16.28515625" style="1" customWidth="1"/>
    <col min="6" max="6" width="11.42578125" style="1" bestFit="1" customWidth="1"/>
    <col min="7" max="7" width="9.140625" style="1"/>
    <col min="8" max="8" width="11.5703125" style="1" bestFit="1" customWidth="1"/>
    <col min="9" max="16384" width="9.140625" style="1"/>
  </cols>
  <sheetData>
    <row r="1" spans="1:8" s="2" customFormat="1" ht="15" customHeight="1">
      <c r="A1" s="37"/>
      <c r="B1" s="2255"/>
      <c r="C1" s="2255"/>
      <c r="D1" s="2255"/>
      <c r="E1" s="2255"/>
      <c r="F1" s="2255"/>
      <c r="G1" s="2255"/>
      <c r="H1" s="2256"/>
    </row>
    <row r="2" spans="1:8" s="2" customFormat="1" ht="15" customHeight="1">
      <c r="A2" s="2257" t="s">
        <v>17</v>
      </c>
      <c r="B2" s="2258"/>
      <c r="C2" s="2258"/>
      <c r="D2" s="2258"/>
      <c r="E2" s="2258"/>
      <c r="F2" s="2258"/>
      <c r="G2" s="2258"/>
      <c r="H2" s="2259"/>
    </row>
    <row r="3" spans="1:8" s="2" customFormat="1" ht="15" customHeight="1">
      <c r="A3" s="2260" t="s">
        <v>185</v>
      </c>
      <c r="B3" s="2261"/>
      <c r="C3" s="2261"/>
      <c r="D3" s="2261"/>
      <c r="E3" s="2261"/>
      <c r="F3" s="2261"/>
      <c r="G3" s="2261"/>
      <c r="H3" s="2262"/>
    </row>
    <row r="4" spans="1:8" s="2" customFormat="1" ht="15" customHeight="1">
      <c r="A4" s="2260" t="s">
        <v>16</v>
      </c>
      <c r="B4" s="2261"/>
      <c r="C4" s="2261"/>
      <c r="D4" s="2261"/>
      <c r="E4" s="2261"/>
      <c r="F4" s="2261"/>
      <c r="G4" s="2261"/>
      <c r="H4" s="2262"/>
    </row>
    <row r="5" spans="1:8" s="2" customFormat="1" ht="15" customHeight="1" thickBot="1">
      <c r="A5" s="38"/>
      <c r="B5" s="2263"/>
      <c r="C5" s="2263"/>
      <c r="D5" s="2263"/>
      <c r="E5" s="2263"/>
      <c r="F5" s="2263"/>
      <c r="G5" s="2263"/>
      <c r="H5" s="2264"/>
    </row>
    <row r="6" spans="1:8" s="3" customFormat="1" ht="24.95" customHeight="1" thickTop="1" thickBot="1">
      <c r="A6" s="42" t="s">
        <v>253</v>
      </c>
      <c r="B6" s="43" t="s">
        <v>340</v>
      </c>
      <c r="C6" s="2265" t="str">
        <f>PROPER(" POçO DE VISITA PARA DRENAGEM PLUVIAL, EM CONCRETO ESTRUTURAL, DIMENSOES INTERNAS DE 90X150X80CM (LARGXCOMPXALT), PARA REDE DE 600 MM, EXCLUSOS TAMPAO E CHAMINE")</f>
        <v xml:space="preserve"> Poço De Visita Para Drenagem Pluvial, Em Concreto Estrutural, Dimensoes Internas De 90X150X80Cm (Largxcompxalt), Para Rede De 600 Mm, Exclusos Tampao E Chamine</v>
      </c>
      <c r="D6" s="2265"/>
      <c r="E6" s="2265"/>
      <c r="F6" s="2265"/>
      <c r="G6" s="2266" t="s">
        <v>274</v>
      </c>
      <c r="H6" s="2267"/>
    </row>
    <row r="7" spans="1:8" s="3" customFormat="1" ht="40.5" customHeight="1" thickTop="1">
      <c r="A7" s="2273" t="e">
        <f>ORÇAMENTO!#REF!</f>
        <v>#REF!</v>
      </c>
      <c r="B7" s="2274"/>
      <c r="C7" s="2274"/>
      <c r="D7" s="2274"/>
      <c r="E7" s="2274"/>
      <c r="F7" s="2274"/>
      <c r="G7" s="2274"/>
      <c r="H7" s="2275"/>
    </row>
    <row r="8" spans="1:8" s="3" customFormat="1" ht="20.100000000000001" customHeight="1">
      <c r="A8" s="2276" t="s">
        <v>186</v>
      </c>
      <c r="B8" s="2277"/>
      <c r="C8" s="2277"/>
      <c r="D8" s="2277"/>
      <c r="E8" s="2277"/>
      <c r="F8" s="2277"/>
      <c r="G8" s="2277"/>
      <c r="H8" s="2278"/>
    </row>
    <row r="9" spans="1:8" s="3" customFormat="1" ht="20.100000000000001" customHeight="1">
      <c r="A9" s="25" t="s">
        <v>33</v>
      </c>
      <c r="B9" s="26" t="s">
        <v>252</v>
      </c>
      <c r="C9" s="27" t="s">
        <v>34</v>
      </c>
      <c r="D9" s="26" t="s">
        <v>35</v>
      </c>
      <c r="E9" s="27" t="s">
        <v>149</v>
      </c>
      <c r="F9" s="28" t="s">
        <v>36</v>
      </c>
      <c r="G9" s="2279" t="s">
        <v>37</v>
      </c>
      <c r="H9" s="2280"/>
    </row>
    <row r="10" spans="1:8" s="3" customFormat="1" ht="20.100000000000001" customHeight="1">
      <c r="A10" s="39">
        <v>1</v>
      </c>
      <c r="B10" s="29">
        <v>88309</v>
      </c>
      <c r="C10" s="18" t="s">
        <v>264</v>
      </c>
      <c r="D10" s="4" t="s">
        <v>222</v>
      </c>
      <c r="E10" s="22">
        <v>0.21279999999999999</v>
      </c>
      <c r="F10" s="5">
        <v>21.31</v>
      </c>
      <c r="G10" s="6"/>
      <c r="H10" s="7">
        <f>ROUND(E10*F10,2)</f>
        <v>4.53</v>
      </c>
    </row>
    <row r="11" spans="1:8" s="3" customFormat="1" ht="20.100000000000001" customHeight="1" thickBot="1">
      <c r="A11" s="39">
        <v>2</v>
      </c>
      <c r="B11" s="29">
        <v>88316</v>
      </c>
      <c r="C11" s="18" t="s">
        <v>187</v>
      </c>
      <c r="D11" s="4" t="s">
        <v>222</v>
      </c>
      <c r="E11" s="22">
        <v>0.42549999999999999</v>
      </c>
      <c r="F11" s="5">
        <v>17.09</v>
      </c>
      <c r="G11" s="6"/>
      <c r="H11" s="7">
        <f>ROUND(E11*F11,2)</f>
        <v>7.27</v>
      </c>
    </row>
    <row r="12" spans="1:8" s="3" customFormat="1" ht="20.100000000000001" customHeight="1" thickBot="1">
      <c r="A12" s="40"/>
      <c r="B12" s="8"/>
      <c r="C12" s="6"/>
      <c r="D12" s="8"/>
      <c r="E12" s="9" t="s">
        <v>188</v>
      </c>
      <c r="F12" s="10"/>
      <c r="G12" s="11"/>
      <c r="H12" s="12">
        <f>SUM(H10:H11)</f>
        <v>11.8</v>
      </c>
    </row>
    <row r="13" spans="1:8" s="3" customFormat="1" ht="20.100000000000001" customHeight="1">
      <c r="A13" s="2281" t="s">
        <v>189</v>
      </c>
      <c r="B13" s="2282"/>
      <c r="C13" s="2282"/>
      <c r="D13" s="2282"/>
      <c r="E13" s="2282"/>
      <c r="F13" s="2282"/>
      <c r="G13" s="2282"/>
      <c r="H13" s="2283"/>
    </row>
    <row r="14" spans="1:8" s="3" customFormat="1" ht="20.100000000000001" customHeight="1">
      <c r="A14" s="25" t="s">
        <v>33</v>
      </c>
      <c r="B14" s="26" t="s">
        <v>252</v>
      </c>
      <c r="C14" s="27" t="s">
        <v>34</v>
      </c>
      <c r="D14" s="26" t="s">
        <v>35</v>
      </c>
      <c r="E14" s="27" t="s">
        <v>149</v>
      </c>
      <c r="F14" s="28" t="s">
        <v>36</v>
      </c>
      <c r="G14" s="2268" t="s">
        <v>37</v>
      </c>
      <c r="H14" s="2269"/>
    </row>
    <row r="15" spans="1:8" s="3" customFormat="1" ht="20.100000000000001" customHeight="1">
      <c r="A15" s="39">
        <v>1</v>
      </c>
      <c r="B15" s="30">
        <v>87313</v>
      </c>
      <c r="C15" s="23" t="s">
        <v>267</v>
      </c>
      <c r="D15" s="14" t="s">
        <v>193</v>
      </c>
      <c r="E15" s="19">
        <v>0.02</v>
      </c>
      <c r="F15" s="20">
        <v>527.24</v>
      </c>
      <c r="G15" s="13"/>
      <c r="H15" s="7">
        <f>ROUND(E15*F15,2)</f>
        <v>10.54</v>
      </c>
    </row>
    <row r="16" spans="1:8" s="3" customFormat="1" ht="20.100000000000001" customHeight="1">
      <c r="A16" s="39">
        <v>2</v>
      </c>
      <c r="B16" s="30">
        <v>94969</v>
      </c>
      <c r="C16" s="23" t="s">
        <v>272</v>
      </c>
      <c r="D16" s="14" t="s">
        <v>193</v>
      </c>
      <c r="E16" s="19">
        <v>1.62</v>
      </c>
      <c r="F16" s="20">
        <v>424.22</v>
      </c>
      <c r="G16" s="13"/>
      <c r="H16" s="7">
        <f>ROUND(E16*F16,2)</f>
        <v>687.24</v>
      </c>
    </row>
    <row r="17" spans="1:8" s="3" customFormat="1" ht="20.100000000000001" customHeight="1" thickBot="1">
      <c r="A17" s="39">
        <v>3</v>
      </c>
      <c r="B17" s="30">
        <v>101616</v>
      </c>
      <c r="C17" s="23" t="s">
        <v>273</v>
      </c>
      <c r="D17" s="14" t="s">
        <v>269</v>
      </c>
      <c r="E17" s="19">
        <v>2.2799999999999998</v>
      </c>
      <c r="F17" s="20">
        <v>4.95</v>
      </c>
      <c r="G17" s="13"/>
      <c r="H17" s="7">
        <f>ROUND(E17*F17,2)</f>
        <v>11.29</v>
      </c>
    </row>
    <row r="18" spans="1:8" s="3" customFormat="1" ht="20.100000000000001" customHeight="1" thickBot="1">
      <c r="A18" s="40"/>
      <c r="B18" s="8" t="s">
        <v>190</v>
      </c>
      <c r="C18" s="6"/>
      <c r="D18" s="8"/>
      <c r="E18" s="9" t="s">
        <v>191</v>
      </c>
      <c r="F18" s="15"/>
      <c r="G18" s="16"/>
      <c r="H18" s="12">
        <f>SUM(H15:H17)</f>
        <v>709.07</v>
      </c>
    </row>
    <row r="19" spans="1:8" s="3" customFormat="1" ht="20.100000000000001" customHeight="1">
      <c r="A19" s="2284" t="s">
        <v>192</v>
      </c>
      <c r="B19" s="2285"/>
      <c r="C19" s="2285"/>
      <c r="D19" s="2285"/>
      <c r="E19" s="2285"/>
      <c r="F19" s="2285"/>
      <c r="G19" s="2285"/>
      <c r="H19" s="2286"/>
    </row>
    <row r="20" spans="1:8" s="3" customFormat="1" ht="20.100000000000001" customHeight="1">
      <c r="A20" s="25" t="s">
        <v>33</v>
      </c>
      <c r="B20" s="26" t="s">
        <v>252</v>
      </c>
      <c r="C20" s="27" t="s">
        <v>34</v>
      </c>
      <c r="D20" s="26" t="s">
        <v>35</v>
      </c>
      <c r="E20" s="27" t="s">
        <v>149</v>
      </c>
      <c r="F20" s="28" t="s">
        <v>36</v>
      </c>
      <c r="G20" s="2268" t="s">
        <v>37</v>
      </c>
      <c r="H20" s="2269"/>
    </row>
    <row r="21" spans="1:8" s="3" customFormat="1" ht="20.100000000000001" customHeight="1">
      <c r="A21" s="39">
        <v>1</v>
      </c>
      <c r="B21" s="30">
        <v>5875</v>
      </c>
      <c r="C21" s="21" t="s">
        <v>265</v>
      </c>
      <c r="D21" s="14" t="s">
        <v>172</v>
      </c>
      <c r="E21" s="24">
        <v>0.17019999999999999</v>
      </c>
      <c r="F21" s="20">
        <v>106.6</v>
      </c>
      <c r="G21" s="13"/>
      <c r="H21" s="7">
        <f>ROUND(E21*F21,2)</f>
        <v>18.14</v>
      </c>
    </row>
    <row r="22" spans="1:8" s="3" customFormat="1" ht="20.100000000000001" customHeight="1">
      <c r="A22" s="39">
        <v>2</v>
      </c>
      <c r="B22" s="30">
        <v>5877</v>
      </c>
      <c r="C22" s="21" t="s">
        <v>266</v>
      </c>
      <c r="D22" s="14" t="s">
        <v>174</v>
      </c>
      <c r="E22" s="24">
        <v>4.2599999999999999E-2</v>
      </c>
      <c r="F22" s="20">
        <v>42.95</v>
      </c>
      <c r="G22" s="13"/>
      <c r="H22" s="7">
        <f>ROUND(E22*F22,2)</f>
        <v>1.83</v>
      </c>
    </row>
    <row r="23" spans="1:8" s="3" customFormat="1" ht="20.100000000000001" customHeight="1">
      <c r="A23" s="39">
        <v>3</v>
      </c>
      <c r="B23" s="30">
        <v>92419</v>
      </c>
      <c r="C23" s="21" t="s">
        <v>268</v>
      </c>
      <c r="D23" s="14" t="s">
        <v>269</v>
      </c>
      <c r="E23" s="24">
        <v>12.68</v>
      </c>
      <c r="F23" s="20">
        <v>72.41</v>
      </c>
      <c r="G23" s="13"/>
      <c r="H23" s="7">
        <f>ROUND(E23*F23,2)</f>
        <v>918.16</v>
      </c>
    </row>
    <row r="24" spans="1:8" s="3" customFormat="1" ht="20.100000000000001" customHeight="1" thickBot="1">
      <c r="A24" s="39">
        <v>4</v>
      </c>
      <c r="B24" s="30">
        <v>92915</v>
      </c>
      <c r="C24" s="21" t="s">
        <v>270</v>
      </c>
      <c r="D24" s="14" t="s">
        <v>271</v>
      </c>
      <c r="E24" s="24">
        <v>16.399999999999999</v>
      </c>
      <c r="F24" s="20">
        <v>16.48</v>
      </c>
      <c r="G24" s="13"/>
      <c r="H24" s="7">
        <f>ROUND(E24*F24,2)</f>
        <v>270.27</v>
      </c>
    </row>
    <row r="25" spans="1:8" s="3" customFormat="1" ht="20.100000000000001" customHeight="1" thickBot="1">
      <c r="A25" s="40"/>
      <c r="B25" s="6" t="s">
        <v>190</v>
      </c>
      <c r="C25" s="6"/>
      <c r="D25" s="8"/>
      <c r="E25" s="9" t="s">
        <v>194</v>
      </c>
      <c r="F25" s="15"/>
      <c r="G25" s="16"/>
      <c r="H25" s="12">
        <f>SUM(H21:H24)</f>
        <v>1208.4000000000001</v>
      </c>
    </row>
    <row r="26" spans="1:8" s="3" customFormat="1" ht="20.100000000000001" customHeight="1">
      <c r="A26" s="40"/>
      <c r="B26" s="2270" t="s">
        <v>195</v>
      </c>
      <c r="C26" s="2270"/>
      <c r="D26" s="2270"/>
      <c r="E26" s="2270"/>
      <c r="F26" s="2270"/>
      <c r="G26" s="2271"/>
      <c r="H26" s="17">
        <f>SUM(H12+H18+H25)</f>
        <v>1929.27</v>
      </c>
    </row>
    <row r="27" spans="1:8" s="3" customFormat="1" ht="20.100000000000001" customHeight="1" thickBot="1">
      <c r="A27" s="41"/>
      <c r="B27" s="2272" t="s">
        <v>196</v>
      </c>
      <c r="C27" s="2272"/>
      <c r="D27" s="2272"/>
      <c r="E27" s="2272"/>
      <c r="F27" s="2272"/>
      <c r="G27" s="31">
        <v>0.27460000000000001</v>
      </c>
      <c r="H27" s="32">
        <f>H26*G27</f>
        <v>529.78</v>
      </c>
    </row>
    <row r="28" spans="1:8" s="3" customFormat="1" ht="20.100000000000001" customHeight="1" thickBot="1">
      <c r="A28" s="44"/>
      <c r="B28" s="33" t="s">
        <v>197</v>
      </c>
      <c r="C28" s="33"/>
      <c r="D28" s="34"/>
      <c r="E28" s="33"/>
      <c r="F28" s="33"/>
      <c r="G28" s="35"/>
      <c r="H28" s="36">
        <f>SUM(H26:H27)</f>
        <v>2459.0500000000002</v>
      </c>
    </row>
  </sheetData>
  <mergeCells count="16">
    <mergeCell ref="C6:F6"/>
    <mergeCell ref="G6:H6"/>
    <mergeCell ref="G20:H20"/>
    <mergeCell ref="B26:G26"/>
    <mergeCell ref="B27:F27"/>
    <mergeCell ref="A7:H7"/>
    <mergeCell ref="A8:H8"/>
    <mergeCell ref="G9:H9"/>
    <mergeCell ref="A13:H13"/>
    <mergeCell ref="G14:H14"/>
    <mergeCell ref="A19:H19"/>
    <mergeCell ref="B1:H1"/>
    <mergeCell ref="A2:H2"/>
    <mergeCell ref="A3:H3"/>
    <mergeCell ref="A4:H4"/>
    <mergeCell ref="B5:H5"/>
  </mergeCells>
  <printOptions horizontalCentered="1"/>
  <pageMargins left="0.51181102362204722" right="0.51181102362204722" top="0.78740157480314965" bottom="0.78740157480314965" header="0.31496062992125984" footer="0.31496062992125984"/>
  <pageSetup paperSize="9" scale="73" orientation="portrait" horizontalDpi="300" verticalDpi="30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1">
    <tabColor theme="7" tint="0.39997558519241921"/>
    <pageSetUpPr fitToPage="1"/>
  </sheetPr>
  <dimension ref="A1:J33"/>
  <sheetViews>
    <sheetView showGridLines="0" topLeftCell="C8" zoomScale="49" zoomScaleNormal="49" workbookViewId="0">
      <selection activeCell="F40" sqref="F40"/>
    </sheetView>
  </sheetViews>
  <sheetFormatPr defaultColWidth="9.140625" defaultRowHeight="25.5"/>
  <cols>
    <col min="1" max="2" width="4.42578125" style="259" customWidth="1"/>
    <col min="3" max="4" width="16.7109375" style="259" customWidth="1"/>
    <col min="5" max="5" width="22.7109375" style="259" customWidth="1"/>
    <col min="6" max="6" width="110.28515625" style="259" customWidth="1"/>
    <col min="7" max="7" width="22.5703125" style="259" hidden="1" customWidth="1"/>
    <col min="8" max="8" width="30.7109375" style="259" customWidth="1"/>
    <col min="9" max="9" width="15.85546875" style="259" customWidth="1"/>
    <col min="10" max="10" width="21.28515625" style="259" bestFit="1" customWidth="1"/>
    <col min="11" max="16384" width="9.140625" style="259"/>
  </cols>
  <sheetData>
    <row r="1" spans="1:10" ht="24.95" customHeight="1">
      <c r="B1" s="956"/>
      <c r="C1" s="1494"/>
      <c r="D1" s="1495"/>
      <c r="E1" s="1495"/>
      <c r="F1" s="1495"/>
      <c r="G1" s="1495"/>
      <c r="H1" s="1496"/>
    </row>
    <row r="2" spans="1:10" ht="24.95" customHeight="1">
      <c r="B2" s="956"/>
      <c r="C2" s="1497"/>
      <c r="D2" s="1464"/>
      <c r="E2" s="1464"/>
      <c r="F2" s="1464"/>
      <c r="G2" s="1464"/>
      <c r="H2" s="1498"/>
    </row>
    <row r="3" spans="1:10" ht="24.95" customHeight="1">
      <c r="B3" s="956"/>
      <c r="C3" s="1497"/>
      <c r="D3" s="1464"/>
      <c r="E3" s="1464"/>
      <c r="F3" s="1464"/>
      <c r="G3" s="1464"/>
      <c r="H3" s="1498"/>
    </row>
    <row r="4" spans="1:10" ht="24.95" customHeight="1">
      <c r="B4" s="956"/>
      <c r="C4" s="1497"/>
      <c r="D4" s="1464"/>
      <c r="E4" s="1464"/>
      <c r="F4" s="1464"/>
      <c r="G4" s="1464"/>
      <c r="H4" s="1498"/>
    </row>
    <row r="5" spans="1:10" ht="27.95" customHeight="1">
      <c r="B5" s="956"/>
      <c r="C5" s="1499" t="s">
        <v>17</v>
      </c>
      <c r="D5" s="1500"/>
      <c r="E5" s="1500"/>
      <c r="F5" s="1500"/>
      <c r="G5" s="1500"/>
      <c r="H5" s="1501"/>
    </row>
    <row r="6" spans="1:10" ht="27.95" customHeight="1">
      <c r="B6" s="956"/>
      <c r="C6" s="1502" t="s">
        <v>185</v>
      </c>
      <c r="D6" s="1503"/>
      <c r="E6" s="1503"/>
      <c r="F6" s="1503"/>
      <c r="G6" s="1503"/>
      <c r="H6" s="1504"/>
    </row>
    <row r="7" spans="1:10" ht="27.95" customHeight="1">
      <c r="B7" s="956"/>
      <c r="C7" s="1502" t="s">
        <v>16</v>
      </c>
      <c r="D7" s="1503"/>
      <c r="E7" s="1503"/>
      <c r="F7" s="1503"/>
      <c r="G7" s="1503"/>
      <c r="H7" s="1504"/>
    </row>
    <row r="8" spans="1:10" ht="24.95" customHeight="1">
      <c r="B8" s="956"/>
      <c r="C8" s="949"/>
      <c r="D8" s="384"/>
      <c r="E8" s="384"/>
      <c r="F8" s="384"/>
      <c r="G8" s="384"/>
      <c r="H8" s="950"/>
    </row>
    <row r="9" spans="1:10" ht="54" customHeight="1">
      <c r="B9" s="956"/>
      <c r="C9" s="951" t="s">
        <v>532</v>
      </c>
      <c r="D9" s="1490" t="str">
        <f>ORÇAMENTO!D9</f>
        <v>SISTEMA DE SANEAMENTO INTEGRADO NO BAIRRO DO ICUÍ: ABASTECIMENTO DE ÁGUA, DRENAGEM URBANA E MANEJO DE ÁGUAS PLUVIAIS E PAVIMENTAÇÃO NO MUNICÍPIO DE ANANINDEUA/ PA</v>
      </c>
      <c r="E9" s="1490"/>
      <c r="F9" s="1490"/>
      <c r="G9" s="1490"/>
      <c r="H9" s="1505"/>
    </row>
    <row r="10" spans="1:10" ht="30" customHeight="1">
      <c r="B10" s="956"/>
      <c r="C10" s="1489" t="s">
        <v>533</v>
      </c>
      <c r="D10" s="1490"/>
      <c r="E10" s="1491">
        <f>H29</f>
        <v>26964488.739999998</v>
      </c>
      <c r="F10" s="1492"/>
      <c r="G10" s="1492"/>
      <c r="H10" s="1493"/>
    </row>
    <row r="11" spans="1:10" ht="30" customHeight="1">
      <c r="B11" s="956"/>
      <c r="C11" s="1510" t="s">
        <v>1074</v>
      </c>
      <c r="D11" s="1492"/>
      <c r="E11" s="1492"/>
      <c r="F11" s="1492"/>
      <c r="G11" s="1492"/>
      <c r="H11" s="1493"/>
    </row>
    <row r="12" spans="1:10" ht="24.95" customHeight="1" thickBot="1">
      <c r="B12" s="956"/>
      <c r="C12" s="1511"/>
      <c r="D12" s="1512"/>
      <c r="E12" s="1512"/>
      <c r="F12" s="1512"/>
      <c r="G12" s="1512"/>
      <c r="H12" s="1513"/>
    </row>
    <row r="13" spans="1:10" ht="36.75" customHeight="1" thickTop="1" thickBot="1">
      <c r="A13" s="432"/>
      <c r="C13" s="1514" t="s">
        <v>928</v>
      </c>
      <c r="D13" s="1515"/>
      <c r="E13" s="1515"/>
      <c r="F13" s="1515"/>
      <c r="G13" s="1515"/>
      <c r="H13" s="1516"/>
    </row>
    <row r="14" spans="1:10" ht="8.1" customHeight="1" thickTop="1">
      <c r="A14" s="432"/>
      <c r="C14" s="1517"/>
      <c r="D14" s="1518"/>
      <c r="E14" s="1518"/>
      <c r="F14" s="1518"/>
      <c r="G14" s="1518"/>
      <c r="H14" s="1519"/>
    </row>
    <row r="15" spans="1:10">
      <c r="A15" s="432"/>
      <c r="C15" s="1520" t="s">
        <v>6</v>
      </c>
      <c r="D15" s="1520" t="s">
        <v>181</v>
      </c>
      <c r="E15" s="1520" t="s">
        <v>473</v>
      </c>
      <c r="F15" s="1520" t="s">
        <v>5</v>
      </c>
      <c r="G15" s="1520" t="s">
        <v>929</v>
      </c>
      <c r="H15" s="1509" t="s">
        <v>354</v>
      </c>
      <c r="I15" s="261"/>
      <c r="J15" s="261"/>
    </row>
    <row r="16" spans="1:10">
      <c r="A16" s="432"/>
      <c r="C16" s="1521"/>
      <c r="D16" s="1521"/>
      <c r="E16" s="1521"/>
      <c r="F16" s="1521"/>
      <c r="G16" s="1521"/>
      <c r="H16" s="1509"/>
      <c r="I16" s="261"/>
      <c r="J16" s="261"/>
    </row>
    <row r="17" spans="1:10">
      <c r="A17" s="432"/>
      <c r="C17" s="952">
        <v>1</v>
      </c>
      <c r="D17" s="273"/>
      <c r="E17" s="273"/>
      <c r="F17" s="274" t="str">
        <f>'QCI '!B13</f>
        <v>SERVIÇOS PRELIMINARES</v>
      </c>
      <c r="G17" s="852"/>
      <c r="H17" s="268">
        <f>'ORÇAMENTO (F)'!K22</f>
        <v>872234.54</v>
      </c>
    </row>
    <row r="18" spans="1:10">
      <c r="A18" s="432"/>
      <c r="C18" s="952">
        <v>2</v>
      </c>
      <c r="D18" s="273"/>
      <c r="E18" s="264"/>
      <c r="F18" s="274" t="str">
        <f>'QCI '!B20</f>
        <v xml:space="preserve">SISTEMA DE ABASTECIMENTO DE AGUA </v>
      </c>
      <c r="G18" s="852"/>
      <c r="H18" s="268">
        <f>'QCI '!G20</f>
        <v>6497760.4699999997</v>
      </c>
    </row>
    <row r="19" spans="1:10" ht="51">
      <c r="A19" s="432"/>
      <c r="C19" s="952">
        <v>3</v>
      </c>
      <c r="D19" s="273"/>
      <c r="E19" s="273"/>
      <c r="F19" s="274" t="str">
        <f>'QCI '!B103</f>
        <v>DEMOLIÇÃO MANUAL DE CONCRETO SIMPLES (PARA EXECUÇÃO DE CALÇADA)</v>
      </c>
      <c r="G19" s="852"/>
      <c r="H19" s="268">
        <f>'QCI '!G103</f>
        <v>87094.48</v>
      </c>
    </row>
    <row r="20" spans="1:10">
      <c r="A20" s="432"/>
      <c r="C20" s="952">
        <v>4</v>
      </c>
      <c r="D20" s="273"/>
      <c r="E20" s="273"/>
      <c r="F20" s="274" t="str">
        <f>'QCI '!B127</f>
        <v>SERVIÇOS DE DRENAGEM SUPERFICIAL</v>
      </c>
      <c r="G20" s="852"/>
      <c r="H20" s="268">
        <f>'QCI '!G127</f>
        <v>2708401.45</v>
      </c>
      <c r="J20" s="291"/>
    </row>
    <row r="21" spans="1:10" hidden="1">
      <c r="A21" s="432"/>
      <c r="C21" s="952">
        <v>5</v>
      </c>
      <c r="D21" s="273"/>
      <c r="E21" s="273"/>
      <c r="F21" s="274"/>
      <c r="G21" s="852"/>
      <c r="H21" s="268"/>
    </row>
    <row r="22" spans="1:10">
      <c r="A22" s="432"/>
      <c r="C22" s="952">
        <v>5</v>
      </c>
      <c r="D22" s="273"/>
      <c r="E22" s="264"/>
      <c r="F22" s="274" t="str">
        <f>'QCI '!B139</f>
        <v>SERVIÇOS DE DRENAGEM PROFUNDA</v>
      </c>
      <c r="G22" s="852"/>
      <c r="H22" s="268">
        <f>'QCI '!G139</f>
        <v>7902207.5099999998</v>
      </c>
    </row>
    <row r="23" spans="1:10">
      <c r="A23" s="432"/>
      <c r="C23" s="952">
        <v>6</v>
      </c>
      <c r="D23" s="273"/>
      <c r="E23" s="273"/>
      <c r="F23" s="274" t="str">
        <f>'QCI '!B160</f>
        <v>SERVIÇOS DE CAIXA PRIMÁRIA</v>
      </c>
      <c r="G23" s="852"/>
      <c r="H23" s="268">
        <f>'QCI '!G160</f>
        <v>3673716.92</v>
      </c>
    </row>
    <row r="24" spans="1:10">
      <c r="A24" s="432"/>
      <c r="C24" s="952">
        <v>7</v>
      </c>
      <c r="D24" s="273"/>
      <c r="E24" s="273"/>
      <c r="F24" s="274" t="str">
        <f>'QCI '!B162</f>
        <v>SERVIÇOS DE REVESTIMENTO (PAVIMENTAÇÃO)</v>
      </c>
      <c r="G24" s="852"/>
      <c r="H24" s="268">
        <f>'QCI '!G162</f>
        <v>4666494.9000000004</v>
      </c>
      <c r="J24" s="291"/>
    </row>
    <row r="25" spans="1:10">
      <c r="C25" s="952">
        <v>8</v>
      </c>
      <c r="D25" s="273"/>
      <c r="E25" s="273"/>
      <c r="F25" s="274" t="str">
        <f>'QCI '!B164</f>
        <v>SINALIZAÇÃO VIÁRIA</v>
      </c>
      <c r="G25" s="852"/>
      <c r="H25" s="268">
        <f>'QCI '!G164</f>
        <v>269920.90000000002</v>
      </c>
      <c r="J25" s="291"/>
    </row>
    <row r="26" spans="1:10">
      <c r="C26" s="952">
        <v>9</v>
      </c>
      <c r="D26" s="273"/>
      <c r="E26" s="273"/>
      <c r="F26" s="274" t="str">
        <f>'QCI '!B166</f>
        <v>LIMPEZA FINAL</v>
      </c>
      <c r="G26" s="852"/>
      <c r="H26" s="268">
        <f>'QCI '!G166</f>
        <v>10851.2</v>
      </c>
      <c r="J26" s="291"/>
    </row>
    <row r="27" spans="1:10" ht="51">
      <c r="C27" s="952">
        <v>11</v>
      </c>
      <c r="D27" s="273"/>
      <c r="E27" s="273"/>
      <c r="F27" s="274" t="str">
        <f>'QCI '!B170</f>
        <v xml:space="preserve">CADASTRO TÉCNICO DO EMPREENDIMENTO CONSTANDO DESCRITIVO, ESPECIFICAÇÕES, MANUAIS OPERACIONAIS </v>
      </c>
      <c r="G27" s="852"/>
      <c r="H27" s="268">
        <f>'QCI '!G170</f>
        <v>53649.3</v>
      </c>
      <c r="J27" s="291"/>
    </row>
    <row r="28" spans="1:10">
      <c r="C28" s="952">
        <v>12</v>
      </c>
      <c r="D28" s="273"/>
      <c r="E28" s="273"/>
      <c r="F28" s="274" t="str">
        <f>'ORÇAMENTO (F)'!E854</f>
        <v xml:space="preserve">URBANIZAÇÃO </v>
      </c>
      <c r="G28" s="852"/>
      <c r="H28" s="268">
        <f>'ORÇAMENTO (F)'!K873</f>
        <v>222157.07</v>
      </c>
      <c r="J28" s="291"/>
    </row>
    <row r="29" spans="1:10" ht="41.25" customHeight="1">
      <c r="C29" s="1506" t="s">
        <v>24</v>
      </c>
      <c r="D29" s="1507"/>
      <c r="E29" s="1507"/>
      <c r="F29" s="1508"/>
      <c r="G29" s="953">
        <f>SUM(G17:G24)</f>
        <v>0</v>
      </c>
      <c r="H29" s="954">
        <f>SUM(H17:H28)</f>
        <v>26964488.739999998</v>
      </c>
    </row>
    <row r="32" spans="1:10">
      <c r="H32" s="291"/>
    </row>
    <row r="33" spans="8:8">
      <c r="H33" s="853"/>
    </row>
  </sheetData>
  <mergeCells count="18">
    <mergeCell ref="C29:F29"/>
    <mergeCell ref="H15:H16"/>
    <mergeCell ref="C11:H11"/>
    <mergeCell ref="C12:H12"/>
    <mergeCell ref="C13:H13"/>
    <mergeCell ref="C14:H14"/>
    <mergeCell ref="C15:C16"/>
    <mergeCell ref="D15:D16"/>
    <mergeCell ref="E15:E16"/>
    <mergeCell ref="F15:F16"/>
    <mergeCell ref="G15:G16"/>
    <mergeCell ref="C10:D10"/>
    <mergeCell ref="E10:H10"/>
    <mergeCell ref="C1:H4"/>
    <mergeCell ref="C5:H5"/>
    <mergeCell ref="C6:H6"/>
    <mergeCell ref="C7:H7"/>
    <mergeCell ref="D9:H9"/>
  </mergeCells>
  <pageMargins left="0.35" right="0.23" top="0.78740157499999996" bottom="0.78740157499999996" header="0.31496062000000002" footer="0.31496062000000002"/>
  <pageSetup paperSize="9" scale="4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pageSetUpPr fitToPage="1"/>
  </sheetPr>
  <dimension ref="B1:M887"/>
  <sheetViews>
    <sheetView view="pageBreakPreview" zoomScale="55" zoomScaleNormal="60" zoomScaleSheetLayoutView="55" workbookViewId="0">
      <selection activeCell="B838" sqref="B838:K874"/>
    </sheetView>
  </sheetViews>
  <sheetFormatPr defaultColWidth="9.140625" defaultRowHeight="25.5"/>
  <cols>
    <col min="1" max="1" width="9.140625" style="259"/>
    <col min="2" max="2" width="16.7109375" style="259" customWidth="1"/>
    <col min="3" max="3" width="20.28515625" style="259" bestFit="1" customWidth="1"/>
    <col min="4" max="4" width="22.7109375" style="259" customWidth="1"/>
    <col min="5" max="5" width="101.42578125" style="259" customWidth="1"/>
    <col min="6" max="6" width="20.7109375" style="259" customWidth="1"/>
    <col min="7" max="7" width="24.28515625" style="259" customWidth="1"/>
    <col min="8" max="8" width="21.85546875" style="259" customWidth="1"/>
    <col min="9" max="9" width="22.7109375" style="259" customWidth="1"/>
    <col min="10" max="10" width="26.7109375" style="259" customWidth="1"/>
    <col min="11" max="11" width="42.28515625" style="259" bestFit="1" customWidth="1"/>
    <col min="12" max="12" width="25.85546875" style="259" bestFit="1" customWidth="1"/>
    <col min="13" max="13" width="16.28515625" style="259" customWidth="1"/>
    <col min="14" max="16384" width="9.140625" style="259"/>
  </cols>
  <sheetData>
    <row r="1" spans="2:13" ht="24.95" customHeight="1">
      <c r="B1" s="1461"/>
      <c r="C1" s="1462"/>
      <c r="D1" s="1462"/>
      <c r="E1" s="1462"/>
      <c r="F1" s="1462"/>
      <c r="G1" s="1462"/>
      <c r="H1" s="1462"/>
      <c r="I1" s="1462"/>
      <c r="J1" s="1462"/>
      <c r="K1" s="1540"/>
    </row>
    <row r="2" spans="2:13" ht="24.95" customHeight="1">
      <c r="B2" s="1463"/>
      <c r="C2" s="1464"/>
      <c r="D2" s="1464"/>
      <c r="E2" s="1464"/>
      <c r="F2" s="1464"/>
      <c r="G2" s="1464"/>
      <c r="H2" s="1464"/>
      <c r="I2" s="1464"/>
      <c r="J2" s="1464"/>
      <c r="K2" s="1541"/>
    </row>
    <row r="3" spans="2:13" ht="24.95" customHeight="1">
      <c r="B3" s="1463"/>
      <c r="C3" s="1464"/>
      <c r="D3" s="1464"/>
      <c r="E3" s="1464"/>
      <c r="F3" s="1464"/>
      <c r="G3" s="1464"/>
      <c r="H3" s="1464"/>
      <c r="I3" s="1464"/>
      <c r="J3" s="1464"/>
      <c r="K3" s="1541"/>
    </row>
    <row r="4" spans="2:13" ht="24.95" customHeight="1">
      <c r="B4" s="1463"/>
      <c r="C4" s="1464"/>
      <c r="D4" s="1464"/>
      <c r="E4" s="1464"/>
      <c r="F4" s="1464"/>
      <c r="G4" s="1464"/>
      <c r="H4" s="1464"/>
      <c r="I4" s="1464"/>
      <c r="J4" s="1464"/>
      <c r="K4" s="1541"/>
    </row>
    <row r="5" spans="2:13" ht="27.95" customHeight="1">
      <c r="B5" s="1542" t="s">
        <v>17</v>
      </c>
      <c r="C5" s="1500"/>
      <c r="D5" s="1500"/>
      <c r="E5" s="1500"/>
      <c r="F5" s="1500"/>
      <c r="G5" s="1500"/>
      <c r="H5" s="1500"/>
      <c r="I5" s="1500"/>
      <c r="J5" s="1500"/>
      <c r="K5" s="1543"/>
    </row>
    <row r="6" spans="2:13" ht="27.95" customHeight="1">
      <c r="B6" s="1544" t="s">
        <v>185</v>
      </c>
      <c r="C6" s="1503"/>
      <c r="D6" s="1503"/>
      <c r="E6" s="1503"/>
      <c r="F6" s="1503"/>
      <c r="G6" s="1503"/>
      <c r="H6" s="1503"/>
      <c r="I6" s="1503"/>
      <c r="J6" s="1503"/>
      <c r="K6" s="1545"/>
    </row>
    <row r="7" spans="2:13" ht="27.95" customHeight="1">
      <c r="B7" s="1544" t="s">
        <v>16</v>
      </c>
      <c r="C7" s="1503"/>
      <c r="D7" s="1503"/>
      <c r="E7" s="1503"/>
      <c r="F7" s="1503"/>
      <c r="G7" s="1503"/>
      <c r="H7" s="1503"/>
      <c r="I7" s="1503"/>
      <c r="J7" s="1503"/>
      <c r="K7" s="1545"/>
    </row>
    <row r="8" spans="2:13" ht="24.95" customHeight="1">
      <c r="B8" s="383"/>
      <c r="C8" s="995"/>
      <c r="D8" s="384"/>
      <c r="E8" s="384"/>
      <c r="F8" s="384"/>
      <c r="G8" s="384"/>
      <c r="H8" s="384"/>
      <c r="I8" s="384"/>
      <c r="J8" s="384"/>
      <c r="K8" s="385"/>
    </row>
    <row r="9" spans="2:13" ht="50.45" customHeight="1">
      <c r="B9" s="1033" t="s">
        <v>532</v>
      </c>
      <c r="C9" s="1490" t="s">
        <v>1069</v>
      </c>
      <c r="D9" s="1490"/>
      <c r="E9" s="1490"/>
      <c r="F9" s="1490"/>
      <c r="G9" s="1490"/>
      <c r="H9" s="1490"/>
      <c r="I9" s="1490"/>
      <c r="J9" s="1490"/>
      <c r="K9" s="1546"/>
    </row>
    <row r="10" spans="2:13" ht="30" customHeight="1">
      <c r="B10" s="1547" t="s">
        <v>533</v>
      </c>
      <c r="C10" s="1490"/>
      <c r="D10" s="1491">
        <f>K874</f>
        <v>26964488.739999998</v>
      </c>
      <c r="E10" s="1491"/>
      <c r="F10" s="1548" t="s">
        <v>1071</v>
      </c>
      <c r="G10" s="1548"/>
      <c r="H10" s="947" t="s">
        <v>1070</v>
      </c>
      <c r="I10" s="947"/>
      <c r="J10" s="947"/>
      <c r="K10" s="948"/>
    </row>
    <row r="11" spans="2:13" ht="30" customHeight="1">
      <c r="B11" s="1549"/>
      <c r="C11" s="1492"/>
      <c r="D11" s="1492"/>
      <c r="E11" s="1492"/>
      <c r="F11" s="1492"/>
      <c r="G11" s="1492"/>
      <c r="H11" s="1492"/>
      <c r="I11" s="1492"/>
      <c r="J11" s="1492"/>
      <c r="K11" s="1550"/>
    </row>
    <row r="12" spans="2:13" ht="24.95" customHeight="1" thickBot="1">
      <c r="B12" s="1551"/>
      <c r="C12" s="1512"/>
      <c r="D12" s="1512"/>
      <c r="E12" s="1512"/>
      <c r="F12" s="1512"/>
      <c r="G12" s="1512"/>
      <c r="H12" s="1512"/>
      <c r="I12" s="1512"/>
      <c r="J12" s="1512"/>
      <c r="K12" s="1552"/>
    </row>
    <row r="13" spans="2:13" ht="36.75" customHeight="1" thickTop="1" thickBot="1">
      <c r="B13" s="1553" t="s">
        <v>22</v>
      </c>
      <c r="C13" s="1515"/>
      <c r="D13" s="1515"/>
      <c r="E13" s="1515"/>
      <c r="F13" s="1515"/>
      <c r="G13" s="1515"/>
      <c r="H13" s="1515"/>
      <c r="I13" s="1515"/>
      <c r="J13" s="1515"/>
      <c r="K13" s="1554"/>
    </row>
    <row r="14" spans="2:13" ht="8.1" customHeight="1" thickTop="1">
      <c r="B14" s="1555"/>
      <c r="C14" s="1518"/>
      <c r="D14" s="1518"/>
      <c r="E14" s="1518"/>
      <c r="F14" s="1518"/>
      <c r="G14" s="1518"/>
      <c r="H14" s="1518"/>
      <c r="I14" s="1518"/>
      <c r="J14" s="1518"/>
      <c r="K14" s="1556"/>
    </row>
    <row r="15" spans="2:13" ht="72">
      <c r="B15" s="1557" t="s">
        <v>6</v>
      </c>
      <c r="C15" s="1520" t="s">
        <v>181</v>
      </c>
      <c r="D15" s="1520" t="s">
        <v>473</v>
      </c>
      <c r="E15" s="1520" t="s">
        <v>5</v>
      </c>
      <c r="F15" s="1509" t="s">
        <v>146</v>
      </c>
      <c r="G15" s="1509" t="s">
        <v>20</v>
      </c>
      <c r="H15" s="1509" t="s">
        <v>23</v>
      </c>
      <c r="I15" s="475" t="s">
        <v>229</v>
      </c>
      <c r="J15" s="475" t="s">
        <v>3749</v>
      </c>
      <c r="K15" s="1559" t="s">
        <v>354</v>
      </c>
      <c r="L15" s="261"/>
      <c r="M15" s="261"/>
    </row>
    <row r="16" spans="2:13">
      <c r="B16" s="1558"/>
      <c r="C16" s="1521"/>
      <c r="D16" s="1521"/>
      <c r="E16" s="1521"/>
      <c r="F16" s="1509"/>
      <c r="G16" s="1509"/>
      <c r="H16" s="1509"/>
      <c r="I16" s="474">
        <v>0.27460000000000001</v>
      </c>
      <c r="J16" s="1414">
        <v>0.1958</v>
      </c>
      <c r="K16" s="1559"/>
      <c r="L16" s="261"/>
      <c r="M16" s="261"/>
    </row>
    <row r="17" spans="2:13" ht="27.95" customHeight="1">
      <c r="B17" s="1034">
        <v>1</v>
      </c>
      <c r="C17" s="477"/>
      <c r="D17" s="477"/>
      <c r="E17" s="479" t="s">
        <v>1</v>
      </c>
      <c r="F17" s="1560"/>
      <c r="G17" s="1560"/>
      <c r="H17" s="1560"/>
      <c r="I17" s="1560"/>
      <c r="J17" s="1560"/>
      <c r="K17" s="1561"/>
      <c r="L17" s="261"/>
      <c r="M17" s="1453"/>
    </row>
    <row r="18" spans="2:13" ht="45" customHeight="1">
      <c r="B18" s="262" t="s">
        <v>18</v>
      </c>
      <c r="C18" s="263" t="s">
        <v>184</v>
      </c>
      <c r="D18" s="264">
        <v>103689</v>
      </c>
      <c r="E18" s="265" t="s">
        <v>246</v>
      </c>
      <c r="F18" s="266">
        <v>18</v>
      </c>
      <c r="G18" s="267" t="s">
        <v>2</v>
      </c>
      <c r="H18" s="268">
        <v>309.54000000000002</v>
      </c>
      <c r="I18" s="269">
        <f>H18*(1+$I$16)</f>
        <v>394.54</v>
      </c>
      <c r="J18" s="1114"/>
      <c r="K18" s="270">
        <f>F18*I18</f>
        <v>7101.72</v>
      </c>
      <c r="L18" s="261"/>
      <c r="M18" s="1453"/>
    </row>
    <row r="19" spans="2:13" ht="45" customHeight="1">
      <c r="B19" s="262" t="s">
        <v>341</v>
      </c>
      <c r="C19" s="263" t="s">
        <v>183</v>
      </c>
      <c r="D19" s="271" t="s">
        <v>200</v>
      </c>
      <c r="E19" s="272" t="s">
        <v>353</v>
      </c>
      <c r="F19" s="266">
        <v>1</v>
      </c>
      <c r="G19" s="264" t="s">
        <v>275</v>
      </c>
      <c r="H19" s="268">
        <v>25782</v>
      </c>
      <c r="I19" s="269">
        <f>H19*(1+$I$16)</f>
        <v>32861.74</v>
      </c>
      <c r="J19" s="1114"/>
      <c r="K19" s="270">
        <f>(F19*I19)</f>
        <v>32861.74</v>
      </c>
      <c r="L19" s="261"/>
      <c r="M19" s="1453"/>
    </row>
    <row r="20" spans="2:13" ht="45" customHeight="1">
      <c r="B20" s="262" t="s">
        <v>423</v>
      </c>
      <c r="C20" s="263" t="s">
        <v>183</v>
      </c>
      <c r="D20" s="271" t="s">
        <v>342</v>
      </c>
      <c r="E20" s="272" t="str">
        <f>'CPU I'!C10</f>
        <v>Administração da obra</v>
      </c>
      <c r="F20" s="266">
        <v>12</v>
      </c>
      <c r="G20" s="264" t="s">
        <v>1030</v>
      </c>
      <c r="H20" s="268">
        <f>'CPU I'!G37</f>
        <v>49687.83</v>
      </c>
      <c r="I20" s="269">
        <f>H20*(1+$I$16)</f>
        <v>63332.11</v>
      </c>
      <c r="J20" s="1114"/>
      <c r="K20" s="270">
        <f>I20*F20</f>
        <v>759985.32</v>
      </c>
      <c r="L20" s="261"/>
      <c r="M20" s="1453"/>
    </row>
    <row r="21" spans="2:13" ht="45" customHeight="1">
      <c r="B21" s="262" t="s">
        <v>1011</v>
      </c>
      <c r="C21" s="263" t="s">
        <v>183</v>
      </c>
      <c r="D21" s="271" t="s">
        <v>200</v>
      </c>
      <c r="E21" s="272" t="s">
        <v>1068</v>
      </c>
      <c r="F21" s="266">
        <v>2</v>
      </c>
      <c r="G21" s="264" t="s">
        <v>275</v>
      </c>
      <c r="H21" s="268">
        <v>28356.25</v>
      </c>
      <c r="I21" s="269">
        <f>H21*(1+$I$16)</f>
        <v>36142.879999999997</v>
      </c>
      <c r="J21" s="1114"/>
      <c r="K21" s="270">
        <f>F21*I21</f>
        <v>72285.759999999995</v>
      </c>
      <c r="L21" s="261"/>
      <c r="M21" s="1453"/>
    </row>
    <row r="22" spans="2:13" ht="27.95" customHeight="1">
      <c r="B22" s="1537" t="s">
        <v>8</v>
      </c>
      <c r="C22" s="1538"/>
      <c r="D22" s="1538"/>
      <c r="E22" s="1538"/>
      <c r="F22" s="1538"/>
      <c r="G22" s="1538"/>
      <c r="H22" s="1538"/>
      <c r="I22" s="1539"/>
      <c r="J22" s="1386"/>
      <c r="K22" s="290">
        <f>SUM(K18:K21)</f>
        <v>872234.54</v>
      </c>
      <c r="L22" s="261"/>
      <c r="M22" s="1453"/>
    </row>
    <row r="23" spans="2:13" ht="27.95" customHeight="1">
      <c r="B23" s="991">
        <v>2</v>
      </c>
      <c r="C23" s="305"/>
      <c r="D23" s="305"/>
      <c r="E23" s="305" t="s">
        <v>1077</v>
      </c>
      <c r="F23" s="1527"/>
      <c r="G23" s="1527"/>
      <c r="H23" s="1527"/>
      <c r="I23" s="1527"/>
      <c r="J23" s="1527"/>
      <c r="K23" s="1528"/>
      <c r="L23" s="261"/>
    </row>
    <row r="24" spans="2:13" s="986" customFormat="1" ht="27.95" customHeight="1">
      <c r="B24" s="294" t="s">
        <v>4</v>
      </c>
      <c r="C24" s="273"/>
      <c r="D24" s="273"/>
      <c r="E24" s="274" t="s">
        <v>1</v>
      </c>
      <c r="F24" s="275"/>
      <c r="G24" s="266"/>
      <c r="H24" s="301"/>
      <c r="I24" s="269"/>
      <c r="J24" s="1114"/>
      <c r="K24" s="270"/>
      <c r="L24" s="261"/>
    </row>
    <row r="25" spans="2:13" s="986" customFormat="1" ht="27.95" customHeight="1">
      <c r="B25" s="294" t="s">
        <v>1078</v>
      </c>
      <c r="C25" s="273" t="s">
        <v>184</v>
      </c>
      <c r="D25" s="264">
        <v>98525</v>
      </c>
      <c r="E25" s="274" t="s">
        <v>431</v>
      </c>
      <c r="F25" s="266">
        <v>2400</v>
      </c>
      <c r="G25" s="267" t="s">
        <v>2</v>
      </c>
      <c r="H25" s="284">
        <v>0.61</v>
      </c>
      <c r="I25" s="269">
        <f>H25*(1+$I$16)</f>
        <v>0.78</v>
      </c>
      <c r="J25" s="1114"/>
      <c r="K25" s="270">
        <f>I25*F25</f>
        <v>1872</v>
      </c>
      <c r="L25" s="261"/>
    </row>
    <row r="26" spans="2:13" s="987" customFormat="1" ht="76.5">
      <c r="B26" s="294" t="s">
        <v>1079</v>
      </c>
      <c r="C26" s="273" t="s">
        <v>184</v>
      </c>
      <c r="D26" s="273">
        <v>101125</v>
      </c>
      <c r="E26" s="274" t="s">
        <v>596</v>
      </c>
      <c r="F26" s="275">
        <v>2668.52</v>
      </c>
      <c r="G26" s="266" t="s">
        <v>0</v>
      </c>
      <c r="H26" s="284">
        <v>14.57</v>
      </c>
      <c r="I26" s="269">
        <f t="shared" ref="I26:I88" si="0">H26*(1+$I$16)</f>
        <v>18.57</v>
      </c>
      <c r="J26" s="1114"/>
      <c r="K26" s="270">
        <f t="shared" ref="K26:K88" si="1">I26*F26</f>
        <v>49554.42</v>
      </c>
      <c r="L26" s="261"/>
    </row>
    <row r="27" spans="2:13" s="989" customFormat="1" ht="51">
      <c r="B27" s="294" t="s">
        <v>1080</v>
      </c>
      <c r="C27" s="273" t="s">
        <v>184</v>
      </c>
      <c r="D27" s="273">
        <v>97914</v>
      </c>
      <c r="E27" s="274" t="s">
        <v>597</v>
      </c>
      <c r="F27" s="275">
        <v>33996.93</v>
      </c>
      <c r="G27" s="266" t="s">
        <v>221</v>
      </c>
      <c r="H27" s="284">
        <v>2.89</v>
      </c>
      <c r="I27" s="269">
        <f t="shared" si="0"/>
        <v>3.68</v>
      </c>
      <c r="J27" s="1114"/>
      <c r="K27" s="270">
        <f t="shared" si="1"/>
        <v>125108.7</v>
      </c>
      <c r="L27" s="261"/>
    </row>
    <row r="28" spans="2:13" s="988" customFormat="1" ht="76.5">
      <c r="B28" s="294" t="s">
        <v>1081</v>
      </c>
      <c r="C28" s="273" t="s">
        <v>184</v>
      </c>
      <c r="D28" s="273">
        <v>101125</v>
      </c>
      <c r="E28" s="274" t="s">
        <v>645</v>
      </c>
      <c r="F28" s="275">
        <v>2668.52</v>
      </c>
      <c r="G28" s="266" t="s">
        <v>0</v>
      </c>
      <c r="H28" s="300">
        <v>14.57</v>
      </c>
      <c r="I28" s="269">
        <f t="shared" si="0"/>
        <v>18.57</v>
      </c>
      <c r="J28" s="1114"/>
      <c r="K28" s="270">
        <f t="shared" si="1"/>
        <v>49554.42</v>
      </c>
    </row>
    <row r="29" spans="2:13" s="988" customFormat="1" ht="51">
      <c r="B29" s="294" t="s">
        <v>1082</v>
      </c>
      <c r="C29" s="273" t="s">
        <v>184</v>
      </c>
      <c r="D29" s="264">
        <v>6079</v>
      </c>
      <c r="E29" s="274" t="s">
        <v>598</v>
      </c>
      <c r="F29" s="266">
        <v>2668.52</v>
      </c>
      <c r="G29" s="267" t="s">
        <v>0</v>
      </c>
      <c r="H29" s="284">
        <v>37.35</v>
      </c>
      <c r="I29" s="269">
        <f t="shared" si="0"/>
        <v>47.61</v>
      </c>
      <c r="J29" s="1114"/>
      <c r="K29" s="270">
        <f t="shared" si="1"/>
        <v>127048.24</v>
      </c>
    </row>
    <row r="30" spans="2:13" s="988" customFormat="1" ht="51">
      <c r="B30" s="294" t="s">
        <v>1083</v>
      </c>
      <c r="C30" s="273" t="s">
        <v>184</v>
      </c>
      <c r="D30" s="273">
        <v>95877</v>
      </c>
      <c r="E30" s="274" t="s">
        <v>599</v>
      </c>
      <c r="F30" s="275">
        <v>104072.23</v>
      </c>
      <c r="G30" s="266" t="s">
        <v>602</v>
      </c>
      <c r="H30" s="284">
        <v>1.83</v>
      </c>
      <c r="I30" s="269">
        <f t="shared" si="0"/>
        <v>2.33</v>
      </c>
      <c r="J30" s="1114"/>
      <c r="K30" s="270">
        <f t="shared" si="1"/>
        <v>242488.3</v>
      </c>
    </row>
    <row r="31" spans="2:13" s="988" customFormat="1" ht="51">
      <c r="B31" s="294" t="s">
        <v>1084</v>
      </c>
      <c r="C31" s="273" t="s">
        <v>184</v>
      </c>
      <c r="D31" s="273">
        <v>93590</v>
      </c>
      <c r="E31" s="274" t="s">
        <v>600</v>
      </c>
      <c r="F31" s="275">
        <v>25671.15</v>
      </c>
      <c r="G31" s="266" t="s">
        <v>602</v>
      </c>
      <c r="H31" s="284">
        <v>0.96</v>
      </c>
      <c r="I31" s="269">
        <f t="shared" si="0"/>
        <v>1.22</v>
      </c>
      <c r="J31" s="1114"/>
      <c r="K31" s="270">
        <f t="shared" si="1"/>
        <v>31318.799999999999</v>
      </c>
    </row>
    <row r="32" spans="2:13" s="988" customFormat="1" ht="51">
      <c r="B32" s="294" t="s">
        <v>1086</v>
      </c>
      <c r="C32" s="273" t="s">
        <v>184</v>
      </c>
      <c r="D32" s="273">
        <v>96385</v>
      </c>
      <c r="E32" s="274" t="s">
        <v>601</v>
      </c>
      <c r="F32" s="275">
        <v>2668.52</v>
      </c>
      <c r="G32" s="266" t="s">
        <v>0</v>
      </c>
      <c r="H32" s="300">
        <v>11.37</v>
      </c>
      <c r="I32" s="269">
        <f t="shared" si="0"/>
        <v>14.49</v>
      </c>
      <c r="J32" s="1114"/>
      <c r="K32" s="270">
        <f t="shared" si="1"/>
        <v>38666.85</v>
      </c>
    </row>
    <row r="33" spans="2:11" s="988" customFormat="1" ht="51">
      <c r="B33" s="294" t="s">
        <v>1088</v>
      </c>
      <c r="C33" s="273" t="s">
        <v>184</v>
      </c>
      <c r="D33" s="264" t="s">
        <v>1085</v>
      </c>
      <c r="E33" s="274" t="s">
        <v>3107</v>
      </c>
      <c r="F33" s="266">
        <v>30</v>
      </c>
      <c r="G33" s="267" t="s">
        <v>2</v>
      </c>
      <c r="H33" s="284">
        <v>1191.57</v>
      </c>
      <c r="I33" s="269">
        <f t="shared" si="0"/>
        <v>1518.78</v>
      </c>
      <c r="J33" s="1114"/>
      <c r="K33" s="270">
        <f t="shared" si="1"/>
        <v>45563.4</v>
      </c>
    </row>
    <row r="34" spans="2:11" s="988" customFormat="1" ht="51">
      <c r="B34" s="294" t="s">
        <v>1090</v>
      </c>
      <c r="C34" s="273" t="s">
        <v>184</v>
      </c>
      <c r="D34" s="273" t="s">
        <v>1087</v>
      </c>
      <c r="E34" s="274" t="s">
        <v>3108</v>
      </c>
      <c r="F34" s="275">
        <v>50</v>
      </c>
      <c r="G34" s="266" t="s">
        <v>2</v>
      </c>
      <c r="H34" s="284">
        <v>922.51</v>
      </c>
      <c r="I34" s="269">
        <f t="shared" si="0"/>
        <v>1175.83</v>
      </c>
      <c r="J34" s="1114"/>
      <c r="K34" s="270">
        <f t="shared" si="1"/>
        <v>58791.5</v>
      </c>
    </row>
    <row r="35" spans="2:11" s="988" customFormat="1">
      <c r="B35" s="294" t="s">
        <v>1094</v>
      </c>
      <c r="C35" s="273" t="s">
        <v>184</v>
      </c>
      <c r="D35" s="273" t="s">
        <v>1089</v>
      </c>
      <c r="E35" s="274" t="s">
        <v>3109</v>
      </c>
      <c r="F35" s="275">
        <v>220</v>
      </c>
      <c r="G35" s="266" t="s">
        <v>3</v>
      </c>
      <c r="H35" s="284">
        <v>66.5</v>
      </c>
      <c r="I35" s="269">
        <f t="shared" si="0"/>
        <v>84.76</v>
      </c>
      <c r="J35" s="1114"/>
      <c r="K35" s="270">
        <f t="shared" si="1"/>
        <v>18647.2</v>
      </c>
    </row>
    <row r="36" spans="2:11" s="988" customFormat="1" ht="51">
      <c r="B36" s="294" t="s">
        <v>1095</v>
      </c>
      <c r="C36" s="273" t="s">
        <v>1092</v>
      </c>
      <c r="D36" s="273" t="s">
        <v>1091</v>
      </c>
      <c r="E36" s="274" t="s">
        <v>3110</v>
      </c>
      <c r="F36" s="275">
        <v>1</v>
      </c>
      <c r="G36" s="266" t="s">
        <v>1093</v>
      </c>
      <c r="H36" s="300">
        <v>2150</v>
      </c>
      <c r="I36" s="269">
        <f t="shared" si="0"/>
        <v>2740.39</v>
      </c>
      <c r="J36" s="1114"/>
      <c r="K36" s="270">
        <f t="shared" si="1"/>
        <v>2740.39</v>
      </c>
    </row>
    <row r="37" spans="2:11" s="988" customFormat="1">
      <c r="B37" s="294" t="s">
        <v>1892</v>
      </c>
      <c r="C37" s="273" t="s">
        <v>182</v>
      </c>
      <c r="D37" s="273" t="s">
        <v>1096</v>
      </c>
      <c r="E37" s="274" t="s">
        <v>3111</v>
      </c>
      <c r="F37" s="275">
        <v>6</v>
      </c>
      <c r="G37" s="266" t="s">
        <v>1093</v>
      </c>
      <c r="H37" s="284">
        <v>1575</v>
      </c>
      <c r="I37" s="269">
        <f t="shared" si="0"/>
        <v>2007.5</v>
      </c>
      <c r="J37" s="1114"/>
      <c r="K37" s="270">
        <f t="shared" si="1"/>
        <v>12045</v>
      </c>
    </row>
    <row r="38" spans="2:11" s="988" customFormat="1">
      <c r="B38" s="294" t="s">
        <v>1006</v>
      </c>
      <c r="C38" s="273"/>
      <c r="D38" s="273"/>
      <c r="E38" s="274" t="s">
        <v>3112</v>
      </c>
      <c r="F38" s="275"/>
      <c r="G38" s="266"/>
      <c r="H38" s="284">
        <v>0</v>
      </c>
      <c r="I38" s="269">
        <f t="shared" si="0"/>
        <v>0</v>
      </c>
      <c r="J38" s="1114"/>
      <c r="K38" s="270">
        <f t="shared" si="1"/>
        <v>0</v>
      </c>
    </row>
    <row r="39" spans="2:11" s="988" customFormat="1">
      <c r="B39" s="294" t="s">
        <v>1097</v>
      </c>
      <c r="C39" s="273" t="s">
        <v>1099</v>
      </c>
      <c r="D39" s="273" t="s">
        <v>1098</v>
      </c>
      <c r="E39" s="274" t="s">
        <v>3113</v>
      </c>
      <c r="F39" s="275">
        <v>1</v>
      </c>
      <c r="G39" s="266" t="s">
        <v>1093</v>
      </c>
      <c r="H39" s="300">
        <v>2590.75</v>
      </c>
      <c r="I39" s="269">
        <f t="shared" si="0"/>
        <v>3302.17</v>
      </c>
      <c r="J39" s="1114"/>
      <c r="K39" s="270">
        <f t="shared" si="1"/>
        <v>3302.17</v>
      </c>
    </row>
    <row r="40" spans="2:11" s="988" customFormat="1">
      <c r="B40" s="294" t="s">
        <v>1100</v>
      </c>
      <c r="C40" s="273" t="s">
        <v>1099</v>
      </c>
      <c r="D40" s="264" t="s">
        <v>1101</v>
      </c>
      <c r="E40" s="274" t="s">
        <v>3114</v>
      </c>
      <c r="F40" s="266">
        <v>120</v>
      </c>
      <c r="G40" s="267" t="s">
        <v>3</v>
      </c>
      <c r="H40" s="284">
        <v>284.74</v>
      </c>
      <c r="I40" s="269">
        <f t="shared" si="0"/>
        <v>362.93</v>
      </c>
      <c r="J40" s="1114"/>
      <c r="K40" s="270">
        <f t="shared" si="1"/>
        <v>43551.6</v>
      </c>
    </row>
    <row r="41" spans="2:11" s="989" customFormat="1">
      <c r="B41" s="294" t="s">
        <v>1102</v>
      </c>
      <c r="C41" s="273" t="s">
        <v>1099</v>
      </c>
      <c r="D41" s="273" t="s">
        <v>1103</v>
      </c>
      <c r="E41" s="274" t="s">
        <v>3115</v>
      </c>
      <c r="F41" s="275">
        <v>16</v>
      </c>
      <c r="G41" s="266" t="s">
        <v>3</v>
      </c>
      <c r="H41" s="284">
        <v>350</v>
      </c>
      <c r="I41" s="269">
        <f t="shared" si="0"/>
        <v>446.11</v>
      </c>
      <c r="J41" s="1114"/>
      <c r="K41" s="270">
        <f t="shared" si="1"/>
        <v>7137.76</v>
      </c>
    </row>
    <row r="42" spans="2:11" s="989" customFormat="1">
      <c r="B42" s="294" t="s">
        <v>1104</v>
      </c>
      <c r="C42" s="273" t="s">
        <v>184</v>
      </c>
      <c r="D42" s="273" t="s">
        <v>1105</v>
      </c>
      <c r="E42" s="274" t="s">
        <v>3374</v>
      </c>
      <c r="F42" s="275">
        <v>16</v>
      </c>
      <c r="G42" s="266" t="s">
        <v>3</v>
      </c>
      <c r="H42" s="284">
        <v>1295.8399999999999</v>
      </c>
      <c r="I42" s="269">
        <f t="shared" si="0"/>
        <v>1651.68</v>
      </c>
      <c r="J42" s="1114"/>
      <c r="K42" s="270">
        <f t="shared" si="1"/>
        <v>26426.880000000001</v>
      </c>
    </row>
    <row r="43" spans="2:11" s="988" customFormat="1" ht="50.1" customHeight="1">
      <c r="B43" s="294" t="s">
        <v>1106</v>
      </c>
      <c r="C43" s="273" t="s">
        <v>1099</v>
      </c>
      <c r="D43" s="273" t="s">
        <v>1107</v>
      </c>
      <c r="E43" s="274" t="s">
        <v>3116</v>
      </c>
      <c r="F43" s="275">
        <v>100</v>
      </c>
      <c r="G43" s="266" t="s">
        <v>3</v>
      </c>
      <c r="H43" s="300">
        <v>262.74</v>
      </c>
      <c r="I43" s="269">
        <f t="shared" si="0"/>
        <v>334.89</v>
      </c>
      <c r="J43" s="1114"/>
      <c r="K43" s="270">
        <f t="shared" si="1"/>
        <v>33489</v>
      </c>
    </row>
    <row r="44" spans="2:11" s="988" customFormat="1" ht="50.1" customHeight="1">
      <c r="B44" s="294" t="s">
        <v>1108</v>
      </c>
      <c r="C44" s="273" t="s">
        <v>1099</v>
      </c>
      <c r="D44" s="264" t="s">
        <v>1109</v>
      </c>
      <c r="E44" s="274" t="s">
        <v>3375</v>
      </c>
      <c r="F44" s="266">
        <v>20</v>
      </c>
      <c r="G44" s="267" t="s">
        <v>3</v>
      </c>
      <c r="H44" s="284">
        <v>396.87</v>
      </c>
      <c r="I44" s="269">
        <f t="shared" si="0"/>
        <v>505.85</v>
      </c>
      <c r="J44" s="1114"/>
      <c r="K44" s="270">
        <f t="shared" si="1"/>
        <v>10117</v>
      </c>
    </row>
    <row r="45" spans="2:11" s="988" customFormat="1" ht="50.1" customHeight="1">
      <c r="B45" s="294" t="s">
        <v>1110</v>
      </c>
      <c r="C45" s="273" t="s">
        <v>1092</v>
      </c>
      <c r="D45" s="273" t="s">
        <v>1111</v>
      </c>
      <c r="E45" s="274" t="s">
        <v>3117</v>
      </c>
      <c r="F45" s="275">
        <v>1</v>
      </c>
      <c r="G45" s="266" t="s">
        <v>1093</v>
      </c>
      <c r="H45" s="284">
        <v>0</v>
      </c>
      <c r="I45" s="269">
        <f t="shared" si="0"/>
        <v>0</v>
      </c>
      <c r="J45" s="1114"/>
      <c r="K45" s="270">
        <f t="shared" si="1"/>
        <v>0</v>
      </c>
    </row>
    <row r="46" spans="2:11" s="989" customFormat="1">
      <c r="B46" s="294" t="s">
        <v>1112</v>
      </c>
      <c r="C46" s="273" t="s">
        <v>1099</v>
      </c>
      <c r="D46" s="273" t="s">
        <v>1113</v>
      </c>
      <c r="E46" s="274" t="s">
        <v>3118</v>
      </c>
      <c r="F46" s="275">
        <v>14.23</v>
      </c>
      <c r="G46" s="266" t="s">
        <v>0</v>
      </c>
      <c r="H46" s="284">
        <v>261.64999999999998</v>
      </c>
      <c r="I46" s="269">
        <f t="shared" si="0"/>
        <v>333.5</v>
      </c>
      <c r="J46" s="1114"/>
      <c r="K46" s="270">
        <f t="shared" si="1"/>
        <v>4745.71</v>
      </c>
    </row>
    <row r="47" spans="2:11" s="989" customFormat="1">
      <c r="B47" s="294" t="s">
        <v>1114</v>
      </c>
      <c r="C47" s="273" t="s">
        <v>1099</v>
      </c>
      <c r="D47" s="273" t="s">
        <v>1115</v>
      </c>
      <c r="E47" s="274" t="s">
        <v>3119</v>
      </c>
      <c r="F47" s="275">
        <v>48</v>
      </c>
      <c r="G47" s="266" t="s">
        <v>40</v>
      </c>
      <c r="H47" s="300">
        <v>411.16</v>
      </c>
      <c r="I47" s="269">
        <f t="shared" si="0"/>
        <v>524.05999999999995</v>
      </c>
      <c r="J47" s="1114"/>
      <c r="K47" s="270">
        <f t="shared" si="1"/>
        <v>25154.880000000001</v>
      </c>
    </row>
    <row r="48" spans="2:11" s="989" customFormat="1">
      <c r="B48" s="294" t="s">
        <v>1116</v>
      </c>
      <c r="C48" s="273" t="s">
        <v>1099</v>
      </c>
      <c r="D48" s="264" t="s">
        <v>1117</v>
      </c>
      <c r="E48" s="274" t="s">
        <v>3120</v>
      </c>
      <c r="F48" s="266">
        <v>48</v>
      </c>
      <c r="G48" s="267" t="s">
        <v>40</v>
      </c>
      <c r="H48" s="284">
        <v>411.16</v>
      </c>
      <c r="I48" s="269">
        <f t="shared" si="0"/>
        <v>524.05999999999995</v>
      </c>
      <c r="J48" s="1114"/>
      <c r="K48" s="270">
        <f t="shared" si="1"/>
        <v>25154.880000000001</v>
      </c>
    </row>
    <row r="49" spans="2:11" s="989" customFormat="1" ht="49.15" customHeight="1">
      <c r="B49" s="294" t="s">
        <v>1118</v>
      </c>
      <c r="C49" s="273" t="s">
        <v>1099</v>
      </c>
      <c r="D49" s="273" t="s">
        <v>1119</v>
      </c>
      <c r="E49" s="274" t="s">
        <v>3121</v>
      </c>
      <c r="F49" s="275">
        <v>1</v>
      </c>
      <c r="G49" s="266" t="s">
        <v>1093</v>
      </c>
      <c r="H49" s="284">
        <v>565.21</v>
      </c>
      <c r="I49" s="269">
        <f t="shared" si="0"/>
        <v>720.42</v>
      </c>
      <c r="J49" s="1114"/>
      <c r="K49" s="270">
        <f t="shared" si="1"/>
        <v>720.42</v>
      </c>
    </row>
    <row r="50" spans="2:11" s="989" customFormat="1">
      <c r="B50" s="294" t="s">
        <v>1120</v>
      </c>
      <c r="C50" s="273" t="s">
        <v>1092</v>
      </c>
      <c r="D50" s="273" t="s">
        <v>1121</v>
      </c>
      <c r="E50" s="274" t="s">
        <v>3122</v>
      </c>
      <c r="F50" s="275">
        <v>2.64</v>
      </c>
      <c r="G50" s="266" t="s">
        <v>0</v>
      </c>
      <c r="H50" s="284">
        <v>267</v>
      </c>
      <c r="I50" s="269">
        <f t="shared" si="0"/>
        <v>340.32</v>
      </c>
      <c r="J50" s="1114"/>
      <c r="K50" s="270">
        <f t="shared" si="1"/>
        <v>898.44</v>
      </c>
    </row>
    <row r="51" spans="2:11" s="989" customFormat="1" ht="49.15" customHeight="1">
      <c r="B51" s="294" t="s">
        <v>1122</v>
      </c>
      <c r="C51" s="273" t="s">
        <v>1099</v>
      </c>
      <c r="D51" s="273" t="s">
        <v>1123</v>
      </c>
      <c r="E51" s="274" t="s">
        <v>3376</v>
      </c>
      <c r="F51" s="275">
        <v>1.1299999999999999</v>
      </c>
      <c r="G51" s="266" t="s">
        <v>0</v>
      </c>
      <c r="H51" s="300">
        <v>620.59</v>
      </c>
      <c r="I51" s="269">
        <f t="shared" si="0"/>
        <v>791</v>
      </c>
      <c r="J51" s="1114"/>
      <c r="K51" s="270">
        <f t="shared" si="1"/>
        <v>893.83</v>
      </c>
    </row>
    <row r="52" spans="2:11" s="989" customFormat="1" ht="51">
      <c r="B52" s="294" t="s">
        <v>1124</v>
      </c>
      <c r="C52" s="273" t="s">
        <v>1099</v>
      </c>
      <c r="D52" s="264" t="s">
        <v>1125</v>
      </c>
      <c r="E52" s="274" t="s">
        <v>3123</v>
      </c>
      <c r="F52" s="266">
        <v>1</v>
      </c>
      <c r="G52" s="267" t="s">
        <v>1093</v>
      </c>
      <c r="H52" s="284">
        <v>800</v>
      </c>
      <c r="I52" s="269">
        <f t="shared" si="0"/>
        <v>1019.68</v>
      </c>
      <c r="J52" s="1114"/>
      <c r="K52" s="270">
        <f t="shared" si="1"/>
        <v>1019.68</v>
      </c>
    </row>
    <row r="53" spans="2:11" s="989" customFormat="1">
      <c r="B53" s="294" t="s">
        <v>1126</v>
      </c>
      <c r="C53" s="273" t="s">
        <v>1099</v>
      </c>
      <c r="D53" s="273" t="s">
        <v>1127</v>
      </c>
      <c r="E53" s="274" t="s">
        <v>3124</v>
      </c>
      <c r="F53" s="275">
        <v>1</v>
      </c>
      <c r="G53" s="266" t="s">
        <v>1093</v>
      </c>
      <c r="H53" s="284">
        <v>24392.67</v>
      </c>
      <c r="I53" s="269">
        <f t="shared" si="0"/>
        <v>31090.9</v>
      </c>
      <c r="J53" s="1114"/>
      <c r="K53" s="270">
        <f t="shared" si="1"/>
        <v>31090.9</v>
      </c>
    </row>
    <row r="54" spans="2:11" s="989" customFormat="1" ht="51">
      <c r="B54" s="294" t="s">
        <v>1007</v>
      </c>
      <c r="C54" s="273"/>
      <c r="D54" s="273"/>
      <c r="E54" s="274" t="s">
        <v>3125</v>
      </c>
      <c r="F54" s="275"/>
      <c r="G54" s="266"/>
      <c r="H54" s="284">
        <v>0</v>
      </c>
      <c r="I54" s="269">
        <f t="shared" si="0"/>
        <v>0</v>
      </c>
      <c r="J54" s="1114"/>
      <c r="K54" s="270">
        <f t="shared" si="1"/>
        <v>0</v>
      </c>
    </row>
    <row r="55" spans="2:11" s="989" customFormat="1" ht="51">
      <c r="B55" s="294" t="s">
        <v>1128</v>
      </c>
      <c r="C55" s="273" t="s">
        <v>1099</v>
      </c>
      <c r="D55" s="273" t="s">
        <v>1129</v>
      </c>
      <c r="E55" s="274" t="s">
        <v>3377</v>
      </c>
      <c r="F55" s="275">
        <v>1</v>
      </c>
      <c r="G55" s="266" t="s">
        <v>1093</v>
      </c>
      <c r="H55" s="300">
        <v>11738.86</v>
      </c>
      <c r="I55" s="269">
        <f t="shared" si="0"/>
        <v>14962.35</v>
      </c>
      <c r="J55" s="1114"/>
      <c r="K55" s="270">
        <f t="shared" si="1"/>
        <v>14962.35</v>
      </c>
    </row>
    <row r="56" spans="2:11" s="989" customFormat="1">
      <c r="B56" s="294" t="s">
        <v>1130</v>
      </c>
      <c r="C56" s="273" t="s">
        <v>1092</v>
      </c>
      <c r="D56" s="264" t="s">
        <v>1131</v>
      </c>
      <c r="E56" s="274" t="s">
        <v>3126</v>
      </c>
      <c r="F56" s="266">
        <v>70</v>
      </c>
      <c r="G56" s="267" t="s">
        <v>3</v>
      </c>
      <c r="H56" s="284">
        <v>795</v>
      </c>
      <c r="I56" s="269">
        <f t="shared" si="0"/>
        <v>1013.31</v>
      </c>
      <c r="J56" s="1114"/>
      <c r="K56" s="270">
        <f t="shared" si="1"/>
        <v>70931.7</v>
      </c>
    </row>
    <row r="57" spans="2:11" s="989" customFormat="1">
      <c r="B57" s="294" t="s">
        <v>1132</v>
      </c>
      <c r="C57" s="273" t="s">
        <v>1092</v>
      </c>
      <c r="D57" s="273" t="s">
        <v>1133</v>
      </c>
      <c r="E57" s="274" t="s">
        <v>3127</v>
      </c>
      <c r="F57" s="275">
        <v>1</v>
      </c>
      <c r="G57" s="266" t="s">
        <v>1093</v>
      </c>
      <c r="H57" s="284">
        <v>456</v>
      </c>
      <c r="I57" s="269">
        <f t="shared" si="0"/>
        <v>581.22</v>
      </c>
      <c r="J57" s="1114"/>
      <c r="K57" s="270">
        <f t="shared" si="1"/>
        <v>581.22</v>
      </c>
    </row>
    <row r="58" spans="2:11" s="989" customFormat="1">
      <c r="B58" s="294" t="s">
        <v>1134</v>
      </c>
      <c r="C58" s="273" t="s">
        <v>1092</v>
      </c>
      <c r="D58" s="273" t="s">
        <v>1135</v>
      </c>
      <c r="E58" s="274" t="s">
        <v>3128</v>
      </c>
      <c r="F58" s="275">
        <v>2</v>
      </c>
      <c r="G58" s="266" t="s">
        <v>1093</v>
      </c>
      <c r="H58" s="284">
        <v>689</v>
      </c>
      <c r="I58" s="269">
        <f t="shared" si="0"/>
        <v>878.2</v>
      </c>
      <c r="J58" s="1114"/>
      <c r="K58" s="270">
        <f t="shared" si="1"/>
        <v>1756.4</v>
      </c>
    </row>
    <row r="59" spans="2:11" s="989" customFormat="1">
      <c r="B59" s="294" t="s">
        <v>1136</v>
      </c>
      <c r="C59" s="273" t="s">
        <v>1099</v>
      </c>
      <c r="D59" s="273" t="s">
        <v>1137</v>
      </c>
      <c r="E59" s="274" t="s">
        <v>3378</v>
      </c>
      <c r="F59" s="275">
        <v>2</v>
      </c>
      <c r="G59" s="266" t="s">
        <v>1093</v>
      </c>
      <c r="H59" s="300">
        <v>414.12</v>
      </c>
      <c r="I59" s="269">
        <f t="shared" si="0"/>
        <v>527.84</v>
      </c>
      <c r="J59" s="1114"/>
      <c r="K59" s="270">
        <f t="shared" si="1"/>
        <v>1055.68</v>
      </c>
    </row>
    <row r="60" spans="2:11" s="989" customFormat="1">
      <c r="B60" s="294" t="s">
        <v>1138</v>
      </c>
      <c r="C60" s="273" t="s">
        <v>1099</v>
      </c>
      <c r="D60" s="264" t="s">
        <v>1139</v>
      </c>
      <c r="E60" s="274" t="s">
        <v>3379</v>
      </c>
      <c r="F60" s="266">
        <v>1</v>
      </c>
      <c r="G60" s="267" t="s">
        <v>3</v>
      </c>
      <c r="H60" s="284">
        <v>579.98</v>
      </c>
      <c r="I60" s="269">
        <f t="shared" si="0"/>
        <v>739.24</v>
      </c>
      <c r="J60" s="1114"/>
      <c r="K60" s="270">
        <f t="shared" si="1"/>
        <v>739.24</v>
      </c>
    </row>
    <row r="61" spans="2:11" s="989" customFormat="1">
      <c r="B61" s="294" t="s">
        <v>1140</v>
      </c>
      <c r="C61" s="273" t="s">
        <v>1099</v>
      </c>
      <c r="D61" s="273" t="s">
        <v>1141</v>
      </c>
      <c r="E61" s="274" t="s">
        <v>3129</v>
      </c>
      <c r="F61" s="275">
        <v>1</v>
      </c>
      <c r="G61" s="266" t="s">
        <v>1093</v>
      </c>
      <c r="H61" s="284">
        <v>1174.75</v>
      </c>
      <c r="I61" s="269">
        <f t="shared" si="0"/>
        <v>1497.34</v>
      </c>
      <c r="J61" s="1114"/>
      <c r="K61" s="270">
        <f t="shared" si="1"/>
        <v>1497.34</v>
      </c>
    </row>
    <row r="62" spans="2:11" s="989" customFormat="1">
      <c r="B62" s="294" t="s">
        <v>1142</v>
      </c>
      <c r="C62" s="273" t="s">
        <v>1099</v>
      </c>
      <c r="D62" s="273" t="s">
        <v>1143</v>
      </c>
      <c r="E62" s="274" t="s">
        <v>3130</v>
      </c>
      <c r="F62" s="275">
        <v>1</v>
      </c>
      <c r="G62" s="266" t="s">
        <v>1093</v>
      </c>
      <c r="H62" s="284">
        <v>1822.38</v>
      </c>
      <c r="I62" s="269">
        <f t="shared" si="0"/>
        <v>2322.81</v>
      </c>
      <c r="J62" s="1114"/>
      <c r="K62" s="270">
        <f t="shared" si="1"/>
        <v>2322.81</v>
      </c>
    </row>
    <row r="63" spans="2:11" s="989" customFormat="1" ht="51">
      <c r="B63" s="294" t="s">
        <v>1144</v>
      </c>
      <c r="C63" s="273" t="s">
        <v>1092</v>
      </c>
      <c r="D63" s="273" t="s">
        <v>1145</v>
      </c>
      <c r="E63" s="274" t="s">
        <v>3131</v>
      </c>
      <c r="F63" s="275">
        <v>2</v>
      </c>
      <c r="G63" s="266" t="s">
        <v>1093</v>
      </c>
      <c r="H63" s="300">
        <v>1700</v>
      </c>
      <c r="I63" s="269">
        <f t="shared" si="0"/>
        <v>2166.8200000000002</v>
      </c>
      <c r="J63" s="1114"/>
      <c r="K63" s="270">
        <f t="shared" si="1"/>
        <v>4333.6400000000003</v>
      </c>
    </row>
    <row r="64" spans="2:11" s="989" customFormat="1">
      <c r="B64" s="294" t="s">
        <v>1146</v>
      </c>
      <c r="C64" s="273" t="s">
        <v>1099</v>
      </c>
      <c r="D64" s="264" t="s">
        <v>1147</v>
      </c>
      <c r="E64" s="274" t="s">
        <v>3380</v>
      </c>
      <c r="F64" s="266">
        <v>1</v>
      </c>
      <c r="G64" s="267" t="s">
        <v>1093</v>
      </c>
      <c r="H64" s="284">
        <v>271.7</v>
      </c>
      <c r="I64" s="269">
        <f t="shared" si="0"/>
        <v>346.31</v>
      </c>
      <c r="J64" s="1114"/>
      <c r="K64" s="270">
        <f t="shared" si="1"/>
        <v>346.31</v>
      </c>
    </row>
    <row r="65" spans="2:11" s="989" customFormat="1">
      <c r="B65" s="294" t="s">
        <v>1148</v>
      </c>
      <c r="C65" s="273" t="s">
        <v>1099</v>
      </c>
      <c r="D65" s="273" t="s">
        <v>1149</v>
      </c>
      <c r="E65" s="274" t="s">
        <v>3381</v>
      </c>
      <c r="F65" s="275">
        <v>1</v>
      </c>
      <c r="G65" s="266" t="s">
        <v>1093</v>
      </c>
      <c r="H65" s="284">
        <v>1471.71</v>
      </c>
      <c r="I65" s="269">
        <f t="shared" si="0"/>
        <v>1875.84</v>
      </c>
      <c r="J65" s="1114"/>
      <c r="K65" s="270">
        <f t="shared" si="1"/>
        <v>1875.84</v>
      </c>
    </row>
    <row r="66" spans="2:11" s="989" customFormat="1" ht="51">
      <c r="B66" s="294" t="s">
        <v>1150</v>
      </c>
      <c r="C66" s="273" t="s">
        <v>1099</v>
      </c>
      <c r="D66" s="273" t="s">
        <v>1151</v>
      </c>
      <c r="E66" s="274" t="s">
        <v>3382</v>
      </c>
      <c r="F66" s="275">
        <v>1</v>
      </c>
      <c r="G66" s="266" t="s">
        <v>1093</v>
      </c>
      <c r="H66" s="284">
        <v>339.57</v>
      </c>
      <c r="I66" s="269">
        <f t="shared" si="0"/>
        <v>432.82</v>
      </c>
      <c r="J66" s="1114"/>
      <c r="K66" s="270">
        <f t="shared" si="1"/>
        <v>432.82</v>
      </c>
    </row>
    <row r="67" spans="2:11" s="989" customFormat="1">
      <c r="B67" s="294" t="s">
        <v>1152</v>
      </c>
      <c r="C67" s="273" t="s">
        <v>1099</v>
      </c>
      <c r="D67" s="273" t="s">
        <v>1153</v>
      </c>
      <c r="E67" s="274" t="s">
        <v>3132</v>
      </c>
      <c r="F67" s="275">
        <v>1</v>
      </c>
      <c r="G67" s="266" t="s">
        <v>1093</v>
      </c>
      <c r="H67" s="300">
        <v>97.7</v>
      </c>
      <c r="I67" s="269">
        <f t="shared" si="0"/>
        <v>124.53</v>
      </c>
      <c r="J67" s="1114"/>
      <c r="K67" s="270">
        <f t="shared" si="1"/>
        <v>124.53</v>
      </c>
    </row>
    <row r="68" spans="2:11" s="989" customFormat="1">
      <c r="B68" s="294" t="s">
        <v>1154</v>
      </c>
      <c r="C68" s="273" t="s">
        <v>1092</v>
      </c>
      <c r="D68" s="264" t="s">
        <v>1155</v>
      </c>
      <c r="E68" s="274" t="s">
        <v>3383</v>
      </c>
      <c r="F68" s="266">
        <v>1</v>
      </c>
      <c r="G68" s="267" t="s">
        <v>1093</v>
      </c>
      <c r="H68" s="284">
        <v>391.5</v>
      </c>
      <c r="I68" s="269">
        <f t="shared" si="0"/>
        <v>499.01</v>
      </c>
      <c r="J68" s="1114"/>
      <c r="K68" s="270">
        <f t="shared" si="1"/>
        <v>499.01</v>
      </c>
    </row>
    <row r="69" spans="2:11" s="989" customFormat="1">
      <c r="B69" s="294" t="s">
        <v>1156</v>
      </c>
      <c r="C69" s="273" t="s">
        <v>1099</v>
      </c>
      <c r="D69" s="273" t="s">
        <v>1157</v>
      </c>
      <c r="E69" s="274" t="s">
        <v>3384</v>
      </c>
      <c r="F69" s="275">
        <v>1</v>
      </c>
      <c r="G69" s="266" t="s">
        <v>1093</v>
      </c>
      <c r="H69" s="284">
        <v>200.94</v>
      </c>
      <c r="I69" s="269">
        <f t="shared" si="0"/>
        <v>256.12</v>
      </c>
      <c r="J69" s="1114"/>
      <c r="K69" s="270">
        <f t="shared" si="1"/>
        <v>256.12</v>
      </c>
    </row>
    <row r="70" spans="2:11" s="989" customFormat="1" ht="51">
      <c r="B70" s="294" t="s">
        <v>1158</v>
      </c>
      <c r="C70" s="273" t="s">
        <v>1092</v>
      </c>
      <c r="D70" s="273" t="s">
        <v>1159</v>
      </c>
      <c r="E70" s="274" t="s">
        <v>3133</v>
      </c>
      <c r="F70" s="275">
        <v>1</v>
      </c>
      <c r="G70" s="266" t="s">
        <v>1093</v>
      </c>
      <c r="H70" s="284">
        <v>1250</v>
      </c>
      <c r="I70" s="269">
        <f t="shared" si="0"/>
        <v>1593.25</v>
      </c>
      <c r="J70" s="1114"/>
      <c r="K70" s="270">
        <f t="shared" si="1"/>
        <v>1593.25</v>
      </c>
    </row>
    <row r="71" spans="2:11" s="989" customFormat="1">
      <c r="B71" s="294" t="s">
        <v>1160</v>
      </c>
      <c r="C71" s="273" t="s">
        <v>1092</v>
      </c>
      <c r="D71" s="273" t="s">
        <v>1161</v>
      </c>
      <c r="E71" s="274" t="s">
        <v>3134</v>
      </c>
      <c r="F71" s="275">
        <v>25</v>
      </c>
      <c r="G71" s="266" t="s">
        <v>1093</v>
      </c>
      <c r="H71" s="300">
        <v>354</v>
      </c>
      <c r="I71" s="269">
        <f t="shared" si="0"/>
        <v>451.21</v>
      </c>
      <c r="J71" s="1114"/>
      <c r="K71" s="270">
        <f t="shared" si="1"/>
        <v>11280.25</v>
      </c>
    </row>
    <row r="72" spans="2:11" s="989" customFormat="1" ht="51">
      <c r="B72" s="294" t="s">
        <v>1162</v>
      </c>
      <c r="C72" s="273" t="s">
        <v>1099</v>
      </c>
      <c r="D72" s="264" t="s">
        <v>1163</v>
      </c>
      <c r="E72" s="274" t="s">
        <v>3135</v>
      </c>
      <c r="F72" s="266">
        <v>3</v>
      </c>
      <c r="G72" s="267" t="s">
        <v>1093</v>
      </c>
      <c r="H72" s="284">
        <v>172.98</v>
      </c>
      <c r="I72" s="269">
        <f t="shared" si="0"/>
        <v>220.48</v>
      </c>
      <c r="J72" s="1114"/>
      <c r="K72" s="270">
        <f t="shared" si="1"/>
        <v>661.44</v>
      </c>
    </row>
    <row r="73" spans="2:11" s="989" customFormat="1">
      <c r="B73" s="294" t="s">
        <v>1164</v>
      </c>
      <c r="C73" s="273" t="s">
        <v>1092</v>
      </c>
      <c r="D73" s="273" t="s">
        <v>1165</v>
      </c>
      <c r="E73" s="274" t="s">
        <v>3136</v>
      </c>
      <c r="F73" s="275">
        <v>1</v>
      </c>
      <c r="G73" s="266" t="s">
        <v>1093</v>
      </c>
      <c r="H73" s="284">
        <v>3500</v>
      </c>
      <c r="I73" s="269">
        <f t="shared" si="0"/>
        <v>4461.1000000000004</v>
      </c>
      <c r="J73" s="1114"/>
      <c r="K73" s="270">
        <f t="shared" si="1"/>
        <v>4461.1000000000004</v>
      </c>
    </row>
    <row r="74" spans="2:11" s="989" customFormat="1">
      <c r="B74" s="294" t="s">
        <v>1166</v>
      </c>
      <c r="C74" s="273" t="s">
        <v>1092</v>
      </c>
      <c r="D74" s="273" t="s">
        <v>1167</v>
      </c>
      <c r="E74" s="274" t="s">
        <v>3137</v>
      </c>
      <c r="F74" s="275">
        <v>1</v>
      </c>
      <c r="G74" s="266" t="s">
        <v>1093</v>
      </c>
      <c r="H74" s="284">
        <v>1900</v>
      </c>
      <c r="I74" s="269">
        <f t="shared" si="0"/>
        <v>2421.7399999999998</v>
      </c>
      <c r="J74" s="1114"/>
      <c r="K74" s="270">
        <f t="shared" si="1"/>
        <v>2421.7399999999998</v>
      </c>
    </row>
    <row r="75" spans="2:11" s="989" customFormat="1">
      <c r="B75" s="294" t="s">
        <v>1168</v>
      </c>
      <c r="C75" s="273"/>
      <c r="D75" s="273"/>
      <c r="E75" s="274" t="s">
        <v>3138</v>
      </c>
      <c r="F75" s="275"/>
      <c r="G75" s="266"/>
      <c r="H75" s="300"/>
      <c r="I75" s="269">
        <f t="shared" si="0"/>
        <v>0</v>
      </c>
      <c r="J75" s="1114"/>
      <c r="K75" s="270">
        <f t="shared" si="1"/>
        <v>0</v>
      </c>
    </row>
    <row r="76" spans="2:11" s="989" customFormat="1">
      <c r="B76" s="294" t="s">
        <v>1169</v>
      </c>
      <c r="C76" s="273"/>
      <c r="D76" s="264"/>
      <c r="E76" s="274" t="s">
        <v>3139</v>
      </c>
      <c r="F76" s="266"/>
      <c r="G76" s="267"/>
      <c r="H76" s="284"/>
      <c r="I76" s="269">
        <f t="shared" si="0"/>
        <v>0</v>
      </c>
      <c r="J76" s="1114"/>
      <c r="K76" s="270">
        <f t="shared" si="1"/>
        <v>0</v>
      </c>
    </row>
    <row r="77" spans="2:11" s="989" customFormat="1">
      <c r="B77" s="294" t="s">
        <v>1170</v>
      </c>
      <c r="C77" s="273" t="s">
        <v>184</v>
      </c>
      <c r="D77" s="273" t="s">
        <v>1171</v>
      </c>
      <c r="E77" s="274" t="s">
        <v>3140</v>
      </c>
      <c r="F77" s="275">
        <v>24</v>
      </c>
      <c r="G77" s="266" t="s">
        <v>3</v>
      </c>
      <c r="H77" s="284">
        <v>8.26</v>
      </c>
      <c r="I77" s="269">
        <f t="shared" si="0"/>
        <v>10.53</v>
      </c>
      <c r="J77" s="1114"/>
      <c r="K77" s="270">
        <f t="shared" si="1"/>
        <v>252.72</v>
      </c>
    </row>
    <row r="78" spans="2:11" s="989" customFormat="1">
      <c r="B78" s="294" t="s">
        <v>1172</v>
      </c>
      <c r="C78" s="273" t="s">
        <v>184</v>
      </c>
      <c r="D78" s="273" t="s">
        <v>1173</v>
      </c>
      <c r="E78" s="274" t="s">
        <v>3141</v>
      </c>
      <c r="F78" s="275">
        <v>16.8</v>
      </c>
      <c r="G78" s="266" t="s">
        <v>2</v>
      </c>
      <c r="H78" s="284">
        <v>4.25</v>
      </c>
      <c r="I78" s="269">
        <f t="shared" si="0"/>
        <v>5.42</v>
      </c>
      <c r="J78" s="1114"/>
      <c r="K78" s="270">
        <f t="shared" si="1"/>
        <v>91.06</v>
      </c>
    </row>
    <row r="79" spans="2:11" s="989" customFormat="1">
      <c r="B79" s="294" t="s">
        <v>1174</v>
      </c>
      <c r="C79" s="273"/>
      <c r="D79" s="273"/>
      <c r="E79" s="274" t="s">
        <v>3142</v>
      </c>
      <c r="F79" s="275"/>
      <c r="G79" s="266"/>
      <c r="H79" s="300"/>
      <c r="I79" s="269">
        <f t="shared" si="0"/>
        <v>0</v>
      </c>
      <c r="J79" s="1114"/>
      <c r="K79" s="270">
        <f t="shared" si="1"/>
        <v>0</v>
      </c>
    </row>
    <row r="80" spans="2:11" s="989" customFormat="1" ht="51">
      <c r="B80" s="294" t="s">
        <v>1175</v>
      </c>
      <c r="C80" s="273" t="s">
        <v>184</v>
      </c>
      <c r="D80" s="264" t="s">
        <v>1176</v>
      </c>
      <c r="E80" s="274" t="s">
        <v>3143</v>
      </c>
      <c r="F80" s="266">
        <v>16.8</v>
      </c>
      <c r="G80" s="267" t="s">
        <v>0</v>
      </c>
      <c r="H80" s="284">
        <v>6.85</v>
      </c>
      <c r="I80" s="269">
        <f t="shared" si="0"/>
        <v>8.73</v>
      </c>
      <c r="J80" s="1114"/>
      <c r="K80" s="270">
        <f t="shared" si="1"/>
        <v>146.66</v>
      </c>
    </row>
    <row r="81" spans="2:11" s="989" customFormat="1" ht="51">
      <c r="B81" s="294" t="s">
        <v>1177</v>
      </c>
      <c r="C81" s="273" t="s">
        <v>184</v>
      </c>
      <c r="D81" s="273" t="s">
        <v>1178</v>
      </c>
      <c r="E81" s="274" t="s">
        <v>3144</v>
      </c>
      <c r="F81" s="275">
        <v>16.61</v>
      </c>
      <c r="G81" s="266" t="s">
        <v>0</v>
      </c>
      <c r="H81" s="284">
        <v>20.21</v>
      </c>
      <c r="I81" s="269">
        <f t="shared" si="0"/>
        <v>25.76</v>
      </c>
      <c r="J81" s="1114"/>
      <c r="K81" s="270">
        <f t="shared" si="1"/>
        <v>427.87</v>
      </c>
    </row>
    <row r="82" spans="2:11" s="989" customFormat="1">
      <c r="B82" s="294" t="s">
        <v>1179</v>
      </c>
      <c r="C82" s="273" t="s">
        <v>184</v>
      </c>
      <c r="D82" s="273" t="s">
        <v>1180</v>
      </c>
      <c r="E82" s="274" t="s">
        <v>3145</v>
      </c>
      <c r="F82" s="275"/>
      <c r="G82" s="266" t="s">
        <v>0</v>
      </c>
      <c r="H82" s="284">
        <v>19.260000000000002</v>
      </c>
      <c r="I82" s="269">
        <f t="shared" si="0"/>
        <v>24.55</v>
      </c>
      <c r="J82" s="1114"/>
      <c r="K82" s="270">
        <f t="shared" si="1"/>
        <v>0</v>
      </c>
    </row>
    <row r="83" spans="2:11" s="989" customFormat="1">
      <c r="B83" s="294" t="s">
        <v>1181</v>
      </c>
      <c r="C83" s="273" t="s">
        <v>184</v>
      </c>
      <c r="D83" s="273" t="s">
        <v>1182</v>
      </c>
      <c r="E83" s="274" t="s">
        <v>3146</v>
      </c>
      <c r="F83" s="275">
        <v>16.8</v>
      </c>
      <c r="G83" s="266" t="s">
        <v>2</v>
      </c>
      <c r="H83" s="300">
        <v>5.77</v>
      </c>
      <c r="I83" s="269">
        <f t="shared" si="0"/>
        <v>7.35</v>
      </c>
      <c r="J83" s="1114"/>
      <c r="K83" s="270">
        <f t="shared" si="1"/>
        <v>123.48</v>
      </c>
    </row>
    <row r="84" spans="2:11" s="989" customFormat="1" ht="50.1" customHeight="1">
      <c r="B84" s="294" t="s">
        <v>1183</v>
      </c>
      <c r="C84" s="273"/>
      <c r="D84" s="264"/>
      <c r="E84" s="274" t="s">
        <v>3147</v>
      </c>
      <c r="F84" s="266"/>
      <c r="G84" s="267"/>
      <c r="H84" s="284"/>
      <c r="I84" s="269">
        <f t="shared" si="0"/>
        <v>0</v>
      </c>
      <c r="J84" s="1114"/>
      <c r="K84" s="270">
        <f t="shared" si="1"/>
        <v>0</v>
      </c>
    </row>
    <row r="85" spans="2:11" s="989" customFormat="1">
      <c r="B85" s="294" t="s">
        <v>1184</v>
      </c>
      <c r="C85" s="273" t="s">
        <v>1099</v>
      </c>
      <c r="D85" s="273" t="s">
        <v>1185</v>
      </c>
      <c r="E85" s="274" t="s">
        <v>3385</v>
      </c>
      <c r="F85" s="275">
        <v>24</v>
      </c>
      <c r="G85" s="266" t="s">
        <v>3</v>
      </c>
      <c r="H85" s="284">
        <v>43.29</v>
      </c>
      <c r="I85" s="269">
        <f t="shared" si="0"/>
        <v>55.18</v>
      </c>
      <c r="J85" s="1114"/>
      <c r="K85" s="270">
        <f t="shared" si="1"/>
        <v>1324.32</v>
      </c>
    </row>
    <row r="86" spans="2:11" s="989" customFormat="1">
      <c r="B86" s="294" t="s">
        <v>1186</v>
      </c>
      <c r="C86" s="273" t="s">
        <v>1099</v>
      </c>
      <c r="D86" s="273" t="s">
        <v>1187</v>
      </c>
      <c r="E86" s="274" t="s">
        <v>3386</v>
      </c>
      <c r="F86" s="275">
        <v>24</v>
      </c>
      <c r="G86" s="266" t="s">
        <v>3</v>
      </c>
      <c r="H86" s="284">
        <v>3.07</v>
      </c>
      <c r="I86" s="269">
        <f t="shared" si="0"/>
        <v>3.91</v>
      </c>
      <c r="J86" s="1114"/>
      <c r="K86" s="270">
        <f t="shared" si="1"/>
        <v>93.84</v>
      </c>
    </row>
    <row r="87" spans="2:11" s="989" customFormat="1">
      <c r="B87" s="294" t="s">
        <v>1188</v>
      </c>
      <c r="C87" s="273"/>
      <c r="D87" s="273"/>
      <c r="E87" s="274" t="s">
        <v>3148</v>
      </c>
      <c r="F87" s="275"/>
      <c r="G87" s="266"/>
      <c r="H87" s="300"/>
      <c r="I87" s="269">
        <f t="shared" si="0"/>
        <v>0</v>
      </c>
      <c r="J87" s="1114"/>
      <c r="K87" s="270">
        <f t="shared" si="1"/>
        <v>0</v>
      </c>
    </row>
    <row r="88" spans="2:11" s="989" customFormat="1">
      <c r="B88" s="294" t="s">
        <v>1189</v>
      </c>
      <c r="C88" s="273" t="s">
        <v>1099</v>
      </c>
      <c r="D88" s="264" t="s">
        <v>1151</v>
      </c>
      <c r="E88" s="274" t="s">
        <v>3387</v>
      </c>
      <c r="F88" s="266">
        <v>1</v>
      </c>
      <c r="G88" s="267" t="s">
        <v>1093</v>
      </c>
      <c r="H88" s="284">
        <v>339.57</v>
      </c>
      <c r="I88" s="269">
        <f t="shared" si="0"/>
        <v>432.82</v>
      </c>
      <c r="J88" s="1114"/>
      <c r="K88" s="270">
        <f t="shared" si="1"/>
        <v>432.82</v>
      </c>
    </row>
    <row r="89" spans="2:11" s="989" customFormat="1">
      <c r="B89" s="294" t="s">
        <v>1190</v>
      </c>
      <c r="C89" s="273" t="s">
        <v>1099</v>
      </c>
      <c r="D89" s="273" t="s">
        <v>1191</v>
      </c>
      <c r="E89" s="274" t="s">
        <v>3149</v>
      </c>
      <c r="F89" s="275">
        <v>1</v>
      </c>
      <c r="G89" s="266" t="s">
        <v>1093</v>
      </c>
      <c r="H89" s="284">
        <v>304.64999999999998</v>
      </c>
      <c r="I89" s="269">
        <f t="shared" ref="I89:I151" si="2">H89*(1+$I$16)</f>
        <v>388.31</v>
      </c>
      <c r="J89" s="1114"/>
      <c r="K89" s="270">
        <f t="shared" ref="K89:K151" si="3">I89*F89</f>
        <v>388.31</v>
      </c>
    </row>
    <row r="90" spans="2:11" s="989" customFormat="1">
      <c r="B90" s="294" t="s">
        <v>1192</v>
      </c>
      <c r="C90" s="273" t="s">
        <v>1099</v>
      </c>
      <c r="D90" s="273" t="s">
        <v>1193</v>
      </c>
      <c r="E90" s="274" t="s">
        <v>3388</v>
      </c>
      <c r="F90" s="275">
        <v>1</v>
      </c>
      <c r="G90" s="266" t="s">
        <v>1093</v>
      </c>
      <c r="H90" s="284">
        <v>371.42</v>
      </c>
      <c r="I90" s="269">
        <f t="shared" si="2"/>
        <v>473.41</v>
      </c>
      <c r="J90" s="1114"/>
      <c r="K90" s="270">
        <f t="shared" si="3"/>
        <v>473.41</v>
      </c>
    </row>
    <row r="91" spans="2:11" s="989" customFormat="1">
      <c r="B91" s="294" t="s">
        <v>1194</v>
      </c>
      <c r="C91" s="273" t="s">
        <v>1092</v>
      </c>
      <c r="D91" s="273" t="s">
        <v>1195</v>
      </c>
      <c r="E91" s="274" t="s">
        <v>3150</v>
      </c>
      <c r="F91" s="275">
        <v>1</v>
      </c>
      <c r="G91" s="266" t="s">
        <v>1093</v>
      </c>
      <c r="H91" s="300">
        <v>1900</v>
      </c>
      <c r="I91" s="269">
        <f t="shared" si="2"/>
        <v>2421.7399999999998</v>
      </c>
      <c r="J91" s="1114"/>
      <c r="K91" s="270">
        <f t="shared" si="3"/>
        <v>2421.7399999999998</v>
      </c>
    </row>
    <row r="92" spans="2:11" s="989" customFormat="1">
      <c r="B92" s="294" t="s">
        <v>1196</v>
      </c>
      <c r="C92" s="273"/>
      <c r="D92" s="264"/>
      <c r="E92" s="274" t="s">
        <v>3151</v>
      </c>
      <c r="F92" s="266"/>
      <c r="G92" s="267"/>
      <c r="H92" s="284"/>
      <c r="I92" s="269">
        <f t="shared" si="2"/>
        <v>0</v>
      </c>
      <c r="J92" s="1114"/>
      <c r="K92" s="270">
        <f t="shared" si="3"/>
        <v>0</v>
      </c>
    </row>
    <row r="93" spans="2:11" s="989" customFormat="1">
      <c r="B93" s="294" t="s">
        <v>1197</v>
      </c>
      <c r="C93" s="273" t="s">
        <v>1099</v>
      </c>
      <c r="D93" s="273" t="s">
        <v>1098</v>
      </c>
      <c r="E93" s="274" t="s">
        <v>3113</v>
      </c>
      <c r="F93" s="275">
        <v>1</v>
      </c>
      <c r="G93" s="266" t="s">
        <v>1093</v>
      </c>
      <c r="H93" s="300">
        <v>2590.75</v>
      </c>
      <c r="I93" s="269">
        <f t="shared" si="2"/>
        <v>3302.17</v>
      </c>
      <c r="J93" s="1114"/>
      <c r="K93" s="270">
        <f t="shared" si="3"/>
        <v>3302.17</v>
      </c>
    </row>
    <row r="94" spans="2:11" s="989" customFormat="1">
      <c r="B94" s="294" t="s">
        <v>1198</v>
      </c>
      <c r="C94" s="273" t="s">
        <v>1099</v>
      </c>
      <c r="D94" s="273" t="s">
        <v>1101</v>
      </c>
      <c r="E94" s="274" t="s">
        <v>3114</v>
      </c>
      <c r="F94" s="275">
        <v>120</v>
      </c>
      <c r="G94" s="266" t="s">
        <v>3</v>
      </c>
      <c r="H94" s="300">
        <v>284.74</v>
      </c>
      <c r="I94" s="269">
        <f t="shared" si="2"/>
        <v>362.93</v>
      </c>
      <c r="J94" s="1114"/>
      <c r="K94" s="270">
        <f t="shared" si="3"/>
        <v>43551.6</v>
      </c>
    </row>
    <row r="95" spans="2:11" s="989" customFormat="1">
      <c r="B95" s="294" t="s">
        <v>1199</v>
      </c>
      <c r="C95" s="273" t="s">
        <v>1099</v>
      </c>
      <c r="D95" s="273" t="s">
        <v>1103</v>
      </c>
      <c r="E95" s="274" t="s">
        <v>3115</v>
      </c>
      <c r="F95" s="275">
        <v>16</v>
      </c>
      <c r="G95" s="266" t="s">
        <v>3</v>
      </c>
      <c r="H95" s="300">
        <v>350</v>
      </c>
      <c r="I95" s="269">
        <f t="shared" si="2"/>
        <v>446.11</v>
      </c>
      <c r="J95" s="1114"/>
      <c r="K95" s="270">
        <f t="shared" si="3"/>
        <v>7137.76</v>
      </c>
    </row>
    <row r="96" spans="2:11" s="989" customFormat="1">
      <c r="B96" s="294" t="s">
        <v>1200</v>
      </c>
      <c r="C96" s="273" t="s">
        <v>1092</v>
      </c>
      <c r="D96" s="264" t="s">
        <v>1201</v>
      </c>
      <c r="E96" s="274" t="s">
        <v>3374</v>
      </c>
      <c r="F96" s="266">
        <v>16</v>
      </c>
      <c r="G96" s="267" t="s">
        <v>3</v>
      </c>
      <c r="H96" s="284">
        <v>125</v>
      </c>
      <c r="I96" s="269">
        <f t="shared" si="2"/>
        <v>159.33000000000001</v>
      </c>
      <c r="J96" s="1114"/>
      <c r="K96" s="270">
        <f t="shared" si="3"/>
        <v>2549.2800000000002</v>
      </c>
    </row>
    <row r="97" spans="2:11" s="989" customFormat="1" ht="50.1" customHeight="1">
      <c r="B97" s="294" t="s">
        <v>1202</v>
      </c>
      <c r="C97" s="273" t="s">
        <v>1099</v>
      </c>
      <c r="D97" s="273" t="s">
        <v>1107</v>
      </c>
      <c r="E97" s="274" t="s">
        <v>3116</v>
      </c>
      <c r="F97" s="275">
        <v>100</v>
      </c>
      <c r="G97" s="266" t="s">
        <v>3</v>
      </c>
      <c r="H97" s="284">
        <v>262.74</v>
      </c>
      <c r="I97" s="269">
        <f t="shared" si="2"/>
        <v>334.89</v>
      </c>
      <c r="J97" s="1114"/>
      <c r="K97" s="270">
        <f t="shared" si="3"/>
        <v>33489</v>
      </c>
    </row>
    <row r="98" spans="2:11" s="989" customFormat="1" ht="50.1" customHeight="1">
      <c r="B98" s="294" t="s">
        <v>1203</v>
      </c>
      <c r="C98" s="273" t="s">
        <v>1099</v>
      </c>
      <c r="D98" s="273" t="s">
        <v>1109</v>
      </c>
      <c r="E98" s="274" t="s">
        <v>3375</v>
      </c>
      <c r="F98" s="275">
        <v>20</v>
      </c>
      <c r="G98" s="266" t="s">
        <v>3</v>
      </c>
      <c r="H98" s="284">
        <v>396.87</v>
      </c>
      <c r="I98" s="269">
        <f t="shared" si="2"/>
        <v>505.85</v>
      </c>
      <c r="J98" s="1114"/>
      <c r="K98" s="270">
        <f t="shared" si="3"/>
        <v>10117</v>
      </c>
    </row>
    <row r="99" spans="2:11" s="989" customFormat="1" ht="50.1" customHeight="1">
      <c r="B99" s="294" t="s">
        <v>1204</v>
      </c>
      <c r="C99" s="273" t="s">
        <v>1092</v>
      </c>
      <c r="D99" s="273" t="s">
        <v>1111</v>
      </c>
      <c r="E99" s="274" t="s">
        <v>3117</v>
      </c>
      <c r="F99" s="275">
        <v>1</v>
      </c>
      <c r="G99" s="266" t="s">
        <v>1093</v>
      </c>
      <c r="H99" s="300">
        <v>142</v>
      </c>
      <c r="I99" s="269">
        <f t="shared" si="2"/>
        <v>180.99</v>
      </c>
      <c r="J99" s="1114"/>
      <c r="K99" s="270">
        <f t="shared" si="3"/>
        <v>180.99</v>
      </c>
    </row>
    <row r="100" spans="2:11" s="989" customFormat="1" ht="24.95" customHeight="1">
      <c r="B100" s="294" t="s">
        <v>1205</v>
      </c>
      <c r="C100" s="273" t="s">
        <v>1099</v>
      </c>
      <c r="D100" s="264" t="s">
        <v>1113</v>
      </c>
      <c r="E100" s="274" t="s">
        <v>3118</v>
      </c>
      <c r="F100" s="266">
        <v>14.23</v>
      </c>
      <c r="G100" s="267" t="s">
        <v>0</v>
      </c>
      <c r="H100" s="284">
        <v>261.64999999999998</v>
      </c>
      <c r="I100" s="269">
        <f t="shared" si="2"/>
        <v>333.5</v>
      </c>
      <c r="J100" s="1114"/>
      <c r="K100" s="270">
        <f t="shared" si="3"/>
        <v>4745.71</v>
      </c>
    </row>
    <row r="101" spans="2:11" s="989" customFormat="1" ht="24.95" customHeight="1">
      <c r="B101" s="294" t="s">
        <v>1206</v>
      </c>
      <c r="C101" s="273" t="s">
        <v>1099</v>
      </c>
      <c r="D101" s="273" t="s">
        <v>1115</v>
      </c>
      <c r="E101" s="274" t="s">
        <v>3119</v>
      </c>
      <c r="F101" s="275">
        <v>48</v>
      </c>
      <c r="G101" s="266" t="s">
        <v>40</v>
      </c>
      <c r="H101" s="284">
        <v>411.16</v>
      </c>
      <c r="I101" s="269">
        <f t="shared" si="2"/>
        <v>524.05999999999995</v>
      </c>
      <c r="J101" s="1114"/>
      <c r="K101" s="270">
        <f t="shared" si="3"/>
        <v>25154.880000000001</v>
      </c>
    </row>
    <row r="102" spans="2:11" s="989" customFormat="1" ht="24.95" customHeight="1">
      <c r="B102" s="294" t="s">
        <v>1207</v>
      </c>
      <c r="C102" s="273" t="s">
        <v>1099</v>
      </c>
      <c r="D102" s="273" t="s">
        <v>1117</v>
      </c>
      <c r="E102" s="274" t="s">
        <v>3120</v>
      </c>
      <c r="F102" s="275">
        <v>48</v>
      </c>
      <c r="G102" s="266" t="s">
        <v>40</v>
      </c>
      <c r="H102" s="284">
        <v>411.16</v>
      </c>
      <c r="I102" s="269">
        <f t="shared" si="2"/>
        <v>524.05999999999995</v>
      </c>
      <c r="J102" s="1114"/>
      <c r="K102" s="270">
        <f t="shared" si="3"/>
        <v>25154.880000000001</v>
      </c>
    </row>
    <row r="103" spans="2:11" s="989" customFormat="1" ht="24.95" customHeight="1">
      <c r="B103" s="294" t="s">
        <v>1208</v>
      </c>
      <c r="C103" s="273" t="s">
        <v>1099</v>
      </c>
      <c r="D103" s="273" t="s">
        <v>1119</v>
      </c>
      <c r="E103" s="274" t="s">
        <v>3121</v>
      </c>
      <c r="F103" s="275">
        <v>1</v>
      </c>
      <c r="G103" s="266" t="s">
        <v>1093</v>
      </c>
      <c r="H103" s="300">
        <v>565.21</v>
      </c>
      <c r="I103" s="269">
        <f t="shared" si="2"/>
        <v>720.42</v>
      </c>
      <c r="J103" s="1114"/>
      <c r="K103" s="270">
        <f t="shared" si="3"/>
        <v>720.42</v>
      </c>
    </row>
    <row r="104" spans="2:11" s="989" customFormat="1" ht="24.95" customHeight="1">
      <c r="B104" s="294" t="s">
        <v>1209</v>
      </c>
      <c r="C104" s="273"/>
      <c r="D104" s="264"/>
      <c r="E104" s="274" t="s">
        <v>3122</v>
      </c>
      <c r="F104" s="266">
        <v>2.64</v>
      </c>
      <c r="G104" s="267" t="s">
        <v>0</v>
      </c>
      <c r="H104" s="284"/>
      <c r="I104" s="269">
        <f t="shared" si="2"/>
        <v>0</v>
      </c>
      <c r="J104" s="1114"/>
      <c r="K104" s="270">
        <f t="shared" si="3"/>
        <v>0</v>
      </c>
    </row>
    <row r="105" spans="2:11" s="989" customFormat="1" ht="24.95" customHeight="1">
      <c r="B105" s="294" t="s">
        <v>1210</v>
      </c>
      <c r="C105" s="273" t="s">
        <v>1099</v>
      </c>
      <c r="D105" s="273" t="s">
        <v>1123</v>
      </c>
      <c r="E105" s="274" t="s">
        <v>3376</v>
      </c>
      <c r="F105" s="275">
        <v>1.1299999999999999</v>
      </c>
      <c r="G105" s="266" t="s">
        <v>0</v>
      </c>
      <c r="H105" s="284">
        <v>620.59</v>
      </c>
      <c r="I105" s="269">
        <f t="shared" si="2"/>
        <v>791</v>
      </c>
      <c r="J105" s="1114"/>
      <c r="K105" s="270">
        <f t="shared" si="3"/>
        <v>893.83</v>
      </c>
    </row>
    <row r="106" spans="2:11" s="989" customFormat="1" ht="51">
      <c r="B106" s="294" t="s">
        <v>1211</v>
      </c>
      <c r="C106" s="273" t="s">
        <v>1099</v>
      </c>
      <c r="D106" s="273" t="s">
        <v>1125</v>
      </c>
      <c r="E106" s="274" t="s">
        <v>3123</v>
      </c>
      <c r="F106" s="275">
        <v>1</v>
      </c>
      <c r="G106" s="266" t="s">
        <v>1093</v>
      </c>
      <c r="H106" s="284">
        <v>800</v>
      </c>
      <c r="I106" s="269">
        <f t="shared" si="2"/>
        <v>1019.68</v>
      </c>
      <c r="J106" s="1114"/>
      <c r="K106" s="270">
        <f t="shared" si="3"/>
        <v>1019.68</v>
      </c>
    </row>
    <row r="107" spans="2:11" s="989" customFormat="1">
      <c r="B107" s="294" t="s">
        <v>1212</v>
      </c>
      <c r="C107" s="273" t="s">
        <v>1099</v>
      </c>
      <c r="D107" s="273" t="s">
        <v>1127</v>
      </c>
      <c r="E107" s="274" t="s">
        <v>3124</v>
      </c>
      <c r="F107" s="275">
        <v>1</v>
      </c>
      <c r="G107" s="266" t="s">
        <v>1093</v>
      </c>
      <c r="H107" s="300">
        <v>24392.67</v>
      </c>
      <c r="I107" s="269">
        <f t="shared" si="2"/>
        <v>31090.9</v>
      </c>
      <c r="J107" s="1114"/>
      <c r="K107" s="270">
        <f t="shared" si="3"/>
        <v>31090.9</v>
      </c>
    </row>
    <row r="108" spans="2:11" s="989" customFormat="1" ht="51">
      <c r="B108" s="294" t="s">
        <v>1213</v>
      </c>
      <c r="C108" s="273"/>
      <c r="D108" s="264"/>
      <c r="E108" s="274" t="s">
        <v>3152</v>
      </c>
      <c r="F108" s="266"/>
      <c r="G108" s="267"/>
      <c r="H108" s="284"/>
      <c r="I108" s="269">
        <f t="shared" si="2"/>
        <v>0</v>
      </c>
      <c r="J108" s="1114"/>
      <c r="K108" s="270">
        <f t="shared" si="3"/>
        <v>0</v>
      </c>
    </row>
    <row r="109" spans="2:11" s="989" customFormat="1" ht="51">
      <c r="B109" s="294" t="s">
        <v>1214</v>
      </c>
      <c r="C109" s="273" t="s">
        <v>1099</v>
      </c>
      <c r="D109" s="273" t="s">
        <v>1129</v>
      </c>
      <c r="E109" s="274" t="s">
        <v>3389</v>
      </c>
      <c r="F109" s="275">
        <v>1</v>
      </c>
      <c r="G109" s="266" t="s">
        <v>1093</v>
      </c>
      <c r="H109" s="284">
        <v>11738.86</v>
      </c>
      <c r="I109" s="269">
        <f t="shared" si="2"/>
        <v>14962.35</v>
      </c>
      <c r="J109" s="1114"/>
      <c r="K109" s="270">
        <f t="shared" si="3"/>
        <v>14962.35</v>
      </c>
    </row>
    <row r="110" spans="2:11" s="989" customFormat="1">
      <c r="B110" s="294" t="s">
        <v>1215</v>
      </c>
      <c r="C110" s="273" t="s">
        <v>1092</v>
      </c>
      <c r="D110" s="273" t="s">
        <v>1131</v>
      </c>
      <c r="E110" s="274" t="s">
        <v>3126</v>
      </c>
      <c r="F110" s="275">
        <v>70</v>
      </c>
      <c r="G110" s="266" t="s">
        <v>3</v>
      </c>
      <c r="H110" s="284">
        <v>795</v>
      </c>
      <c r="I110" s="269">
        <f t="shared" si="2"/>
        <v>1013.31</v>
      </c>
      <c r="J110" s="1114"/>
      <c r="K110" s="270">
        <f t="shared" si="3"/>
        <v>70931.7</v>
      </c>
    </row>
    <row r="111" spans="2:11" s="989" customFormat="1">
      <c r="B111" s="294" t="s">
        <v>1216</v>
      </c>
      <c r="C111" s="273" t="s">
        <v>1092</v>
      </c>
      <c r="D111" s="273" t="s">
        <v>1133</v>
      </c>
      <c r="E111" s="274" t="s">
        <v>3127</v>
      </c>
      <c r="F111" s="275">
        <v>1</v>
      </c>
      <c r="G111" s="266" t="s">
        <v>1093</v>
      </c>
      <c r="H111" s="300">
        <v>456</v>
      </c>
      <c r="I111" s="269">
        <f t="shared" si="2"/>
        <v>581.22</v>
      </c>
      <c r="J111" s="1114"/>
      <c r="K111" s="270">
        <f t="shared" si="3"/>
        <v>581.22</v>
      </c>
    </row>
    <row r="112" spans="2:11" s="989" customFormat="1">
      <c r="B112" s="294" t="s">
        <v>1217</v>
      </c>
      <c r="C112" s="273" t="s">
        <v>1092</v>
      </c>
      <c r="D112" s="264" t="s">
        <v>1135</v>
      </c>
      <c r="E112" s="274" t="s">
        <v>3128</v>
      </c>
      <c r="F112" s="266">
        <v>2</v>
      </c>
      <c r="G112" s="267" t="s">
        <v>1093</v>
      </c>
      <c r="H112" s="284">
        <v>689</v>
      </c>
      <c r="I112" s="269">
        <f t="shared" si="2"/>
        <v>878.2</v>
      </c>
      <c r="J112" s="1114"/>
      <c r="K112" s="270">
        <f t="shared" si="3"/>
        <v>1756.4</v>
      </c>
    </row>
    <row r="113" spans="2:11" s="989" customFormat="1">
      <c r="B113" s="294" t="s">
        <v>1218</v>
      </c>
      <c r="C113" s="273" t="s">
        <v>1099</v>
      </c>
      <c r="D113" s="273" t="s">
        <v>1137</v>
      </c>
      <c r="E113" s="274" t="s">
        <v>3378</v>
      </c>
      <c r="F113" s="275">
        <v>2</v>
      </c>
      <c r="G113" s="266" t="s">
        <v>1093</v>
      </c>
      <c r="H113" s="284">
        <v>414.12</v>
      </c>
      <c r="I113" s="269">
        <f t="shared" si="2"/>
        <v>527.84</v>
      </c>
      <c r="J113" s="1114"/>
      <c r="K113" s="270">
        <f t="shared" si="3"/>
        <v>1055.68</v>
      </c>
    </row>
    <row r="114" spans="2:11" s="989" customFormat="1">
      <c r="B114" s="294" t="s">
        <v>1219</v>
      </c>
      <c r="C114" s="273" t="s">
        <v>1099</v>
      </c>
      <c r="D114" s="273" t="s">
        <v>1139</v>
      </c>
      <c r="E114" s="274" t="s">
        <v>3379</v>
      </c>
      <c r="F114" s="275">
        <v>1</v>
      </c>
      <c r="G114" s="266" t="s">
        <v>3</v>
      </c>
      <c r="H114" s="284">
        <v>579.98</v>
      </c>
      <c r="I114" s="269">
        <f t="shared" si="2"/>
        <v>739.24</v>
      </c>
      <c r="J114" s="1114"/>
      <c r="K114" s="270">
        <f t="shared" si="3"/>
        <v>739.24</v>
      </c>
    </row>
    <row r="115" spans="2:11" s="989" customFormat="1">
      <c r="B115" s="294" t="s">
        <v>1220</v>
      </c>
      <c r="C115" s="273" t="s">
        <v>1099</v>
      </c>
      <c r="D115" s="273" t="s">
        <v>1141</v>
      </c>
      <c r="E115" s="274" t="s">
        <v>3129</v>
      </c>
      <c r="F115" s="275">
        <v>1</v>
      </c>
      <c r="G115" s="266" t="s">
        <v>1093</v>
      </c>
      <c r="H115" s="300">
        <v>1174.75</v>
      </c>
      <c r="I115" s="269">
        <f t="shared" si="2"/>
        <v>1497.34</v>
      </c>
      <c r="J115" s="1114"/>
      <c r="K115" s="270">
        <f t="shared" si="3"/>
        <v>1497.34</v>
      </c>
    </row>
    <row r="116" spans="2:11" s="989" customFormat="1">
      <c r="B116" s="294" t="s">
        <v>1221</v>
      </c>
      <c r="C116" s="273" t="s">
        <v>1099</v>
      </c>
      <c r="D116" s="264" t="s">
        <v>1143</v>
      </c>
      <c r="E116" s="274" t="s">
        <v>3130</v>
      </c>
      <c r="F116" s="266">
        <v>1</v>
      </c>
      <c r="G116" s="267" t="s">
        <v>1093</v>
      </c>
      <c r="H116" s="284">
        <v>1822.38</v>
      </c>
      <c r="I116" s="269">
        <f t="shared" si="2"/>
        <v>2322.81</v>
      </c>
      <c r="J116" s="1114"/>
      <c r="K116" s="270">
        <f t="shared" si="3"/>
        <v>2322.81</v>
      </c>
    </row>
    <row r="117" spans="2:11" s="989" customFormat="1" ht="51">
      <c r="B117" s="294" t="s">
        <v>1222</v>
      </c>
      <c r="C117" s="273" t="s">
        <v>1092</v>
      </c>
      <c r="D117" s="273" t="s">
        <v>1145</v>
      </c>
      <c r="E117" s="274" t="s">
        <v>3131</v>
      </c>
      <c r="F117" s="275">
        <v>2</v>
      </c>
      <c r="G117" s="266" t="s">
        <v>1093</v>
      </c>
      <c r="H117" s="284">
        <v>1700</v>
      </c>
      <c r="I117" s="269">
        <f t="shared" si="2"/>
        <v>2166.8200000000002</v>
      </c>
      <c r="J117" s="1114"/>
      <c r="K117" s="270">
        <f t="shared" si="3"/>
        <v>4333.6400000000003</v>
      </c>
    </row>
    <row r="118" spans="2:11" s="989" customFormat="1">
      <c r="B118" s="294" t="s">
        <v>1223</v>
      </c>
      <c r="C118" s="273" t="s">
        <v>1099</v>
      </c>
      <c r="D118" s="273" t="s">
        <v>1147</v>
      </c>
      <c r="E118" s="274" t="s">
        <v>3380</v>
      </c>
      <c r="F118" s="275">
        <v>1</v>
      </c>
      <c r="G118" s="266" t="s">
        <v>1093</v>
      </c>
      <c r="H118" s="284">
        <v>271.7</v>
      </c>
      <c r="I118" s="269">
        <f t="shared" si="2"/>
        <v>346.31</v>
      </c>
      <c r="J118" s="1114"/>
      <c r="K118" s="270">
        <f t="shared" si="3"/>
        <v>346.31</v>
      </c>
    </row>
    <row r="119" spans="2:11" s="989" customFormat="1">
      <c r="B119" s="294" t="s">
        <v>1224</v>
      </c>
      <c r="C119" s="273" t="s">
        <v>1099</v>
      </c>
      <c r="D119" s="273" t="s">
        <v>1149</v>
      </c>
      <c r="E119" s="274" t="s">
        <v>3381</v>
      </c>
      <c r="F119" s="275">
        <v>1</v>
      </c>
      <c r="G119" s="266" t="s">
        <v>1093</v>
      </c>
      <c r="H119" s="300">
        <v>1471.71</v>
      </c>
      <c r="I119" s="269">
        <f t="shared" si="2"/>
        <v>1875.84</v>
      </c>
      <c r="J119" s="1114"/>
      <c r="K119" s="270">
        <f t="shared" si="3"/>
        <v>1875.84</v>
      </c>
    </row>
    <row r="120" spans="2:11" s="989" customFormat="1" ht="51">
      <c r="B120" s="294" t="s">
        <v>1225</v>
      </c>
      <c r="C120" s="273" t="s">
        <v>1099</v>
      </c>
      <c r="D120" s="264" t="s">
        <v>1151</v>
      </c>
      <c r="E120" s="274" t="s">
        <v>3382</v>
      </c>
      <c r="F120" s="266">
        <v>1</v>
      </c>
      <c r="G120" s="267" t="s">
        <v>1093</v>
      </c>
      <c r="H120" s="284">
        <v>339.57</v>
      </c>
      <c r="I120" s="269">
        <f t="shared" si="2"/>
        <v>432.82</v>
      </c>
      <c r="J120" s="1114"/>
      <c r="K120" s="270">
        <f t="shared" si="3"/>
        <v>432.82</v>
      </c>
    </row>
    <row r="121" spans="2:11" s="989" customFormat="1">
      <c r="B121" s="294" t="s">
        <v>1226</v>
      </c>
      <c r="C121" s="273" t="s">
        <v>1099</v>
      </c>
      <c r="D121" s="273" t="s">
        <v>1153</v>
      </c>
      <c r="E121" s="274" t="s">
        <v>3132</v>
      </c>
      <c r="F121" s="275">
        <v>1</v>
      </c>
      <c r="G121" s="266" t="s">
        <v>1093</v>
      </c>
      <c r="H121" s="284">
        <v>97.7</v>
      </c>
      <c r="I121" s="269">
        <f t="shared" si="2"/>
        <v>124.53</v>
      </c>
      <c r="J121" s="1114"/>
      <c r="K121" s="270">
        <f t="shared" si="3"/>
        <v>124.53</v>
      </c>
    </row>
    <row r="122" spans="2:11" s="989" customFormat="1">
      <c r="B122" s="294" t="s">
        <v>1227</v>
      </c>
      <c r="C122" s="273" t="s">
        <v>1092</v>
      </c>
      <c r="D122" s="273" t="s">
        <v>1155</v>
      </c>
      <c r="E122" s="274" t="s">
        <v>3383</v>
      </c>
      <c r="F122" s="275">
        <v>1</v>
      </c>
      <c r="G122" s="266" t="s">
        <v>1093</v>
      </c>
      <c r="H122" s="284">
        <v>391.5</v>
      </c>
      <c r="I122" s="269">
        <f t="shared" si="2"/>
        <v>499.01</v>
      </c>
      <c r="J122" s="1114"/>
      <c r="K122" s="270">
        <f t="shared" si="3"/>
        <v>499.01</v>
      </c>
    </row>
    <row r="123" spans="2:11" s="989" customFormat="1">
      <c r="B123" s="294" t="s">
        <v>1228</v>
      </c>
      <c r="C123" s="273" t="s">
        <v>1099</v>
      </c>
      <c r="D123" s="273" t="s">
        <v>1157</v>
      </c>
      <c r="E123" s="274" t="s">
        <v>3384</v>
      </c>
      <c r="F123" s="275">
        <v>1</v>
      </c>
      <c r="G123" s="266" t="s">
        <v>1093</v>
      </c>
      <c r="H123" s="300">
        <v>200.94</v>
      </c>
      <c r="I123" s="269">
        <f t="shared" si="2"/>
        <v>256.12</v>
      </c>
      <c r="J123" s="1114"/>
      <c r="K123" s="270">
        <f t="shared" si="3"/>
        <v>256.12</v>
      </c>
    </row>
    <row r="124" spans="2:11" s="989" customFormat="1" ht="51">
      <c r="B124" s="294" t="s">
        <v>1229</v>
      </c>
      <c r="C124" s="273" t="s">
        <v>1092</v>
      </c>
      <c r="D124" s="264" t="s">
        <v>1159</v>
      </c>
      <c r="E124" s="274" t="s">
        <v>3133</v>
      </c>
      <c r="F124" s="266">
        <v>1</v>
      </c>
      <c r="G124" s="267" t="s">
        <v>1093</v>
      </c>
      <c r="H124" s="284">
        <v>1250</v>
      </c>
      <c r="I124" s="269">
        <f t="shared" si="2"/>
        <v>1593.25</v>
      </c>
      <c r="J124" s="1114"/>
      <c r="K124" s="270">
        <f t="shared" si="3"/>
        <v>1593.25</v>
      </c>
    </row>
    <row r="125" spans="2:11" s="989" customFormat="1">
      <c r="B125" s="294" t="s">
        <v>1230</v>
      </c>
      <c r="C125" s="273" t="s">
        <v>1092</v>
      </c>
      <c r="D125" s="273" t="s">
        <v>1161</v>
      </c>
      <c r="E125" s="274" t="s">
        <v>3134</v>
      </c>
      <c r="F125" s="275">
        <v>25</v>
      </c>
      <c r="G125" s="266" t="s">
        <v>1093</v>
      </c>
      <c r="H125" s="284">
        <v>354</v>
      </c>
      <c r="I125" s="269">
        <f t="shared" si="2"/>
        <v>451.21</v>
      </c>
      <c r="J125" s="1114"/>
      <c r="K125" s="270">
        <f t="shared" si="3"/>
        <v>11280.25</v>
      </c>
    </row>
    <row r="126" spans="2:11" s="989" customFormat="1" ht="51">
      <c r="B126" s="294" t="s">
        <v>1231</v>
      </c>
      <c r="C126" s="273" t="s">
        <v>1099</v>
      </c>
      <c r="D126" s="273" t="s">
        <v>1163</v>
      </c>
      <c r="E126" s="274" t="s">
        <v>3135</v>
      </c>
      <c r="F126" s="275">
        <v>3</v>
      </c>
      <c r="G126" s="266" t="s">
        <v>1093</v>
      </c>
      <c r="H126" s="284">
        <v>172.98</v>
      </c>
      <c r="I126" s="269">
        <f t="shared" si="2"/>
        <v>220.48</v>
      </c>
      <c r="J126" s="1114"/>
      <c r="K126" s="270">
        <f t="shared" si="3"/>
        <v>661.44</v>
      </c>
    </row>
    <row r="127" spans="2:11" s="989" customFormat="1">
      <c r="B127" s="294" t="s">
        <v>1232</v>
      </c>
      <c r="C127" s="273" t="s">
        <v>1092</v>
      </c>
      <c r="D127" s="273" t="s">
        <v>1165</v>
      </c>
      <c r="E127" s="274" t="s">
        <v>3136</v>
      </c>
      <c r="F127" s="275">
        <v>1</v>
      </c>
      <c r="G127" s="266" t="s">
        <v>1093</v>
      </c>
      <c r="H127" s="300">
        <v>3500</v>
      </c>
      <c r="I127" s="269">
        <f t="shared" si="2"/>
        <v>4461.1000000000004</v>
      </c>
      <c r="J127" s="1114"/>
      <c r="K127" s="270">
        <f t="shared" si="3"/>
        <v>4461.1000000000004</v>
      </c>
    </row>
    <row r="128" spans="2:11" s="989" customFormat="1">
      <c r="B128" s="294" t="s">
        <v>1233</v>
      </c>
      <c r="C128" s="273" t="s">
        <v>1092</v>
      </c>
      <c r="D128" s="264" t="s">
        <v>1167</v>
      </c>
      <c r="E128" s="274" t="s">
        <v>3137</v>
      </c>
      <c r="F128" s="266">
        <v>1</v>
      </c>
      <c r="G128" s="267" t="s">
        <v>1093</v>
      </c>
      <c r="H128" s="284">
        <v>1900</v>
      </c>
      <c r="I128" s="269">
        <f t="shared" si="2"/>
        <v>2421.7399999999998</v>
      </c>
      <c r="J128" s="1114"/>
      <c r="K128" s="270">
        <f t="shared" si="3"/>
        <v>2421.7399999999998</v>
      </c>
    </row>
    <row r="129" spans="2:11" s="989" customFormat="1">
      <c r="B129" s="294" t="s">
        <v>1234</v>
      </c>
      <c r="C129" s="273"/>
      <c r="D129" s="273"/>
      <c r="E129" s="274" t="s">
        <v>3153</v>
      </c>
      <c r="F129" s="275"/>
      <c r="G129" s="266"/>
      <c r="H129" s="284"/>
      <c r="I129" s="269">
        <f t="shared" si="2"/>
        <v>0</v>
      </c>
      <c r="J129" s="1114"/>
      <c r="K129" s="270">
        <f t="shared" si="3"/>
        <v>0</v>
      </c>
    </row>
    <row r="130" spans="2:11" s="989" customFormat="1">
      <c r="B130" s="294" t="s">
        <v>1235</v>
      </c>
      <c r="C130" s="273"/>
      <c r="D130" s="273"/>
      <c r="E130" s="274" t="s">
        <v>3139</v>
      </c>
      <c r="F130" s="275"/>
      <c r="G130" s="266"/>
      <c r="H130" s="284"/>
      <c r="I130" s="269">
        <f t="shared" si="2"/>
        <v>0</v>
      </c>
      <c r="J130" s="1114"/>
      <c r="K130" s="270">
        <f t="shared" si="3"/>
        <v>0</v>
      </c>
    </row>
    <row r="131" spans="2:11" s="989" customFormat="1">
      <c r="B131" s="294" t="s">
        <v>1236</v>
      </c>
      <c r="C131" s="273" t="s">
        <v>184</v>
      </c>
      <c r="D131" s="273" t="s">
        <v>1171</v>
      </c>
      <c r="E131" s="274" t="s">
        <v>3140</v>
      </c>
      <c r="F131" s="275">
        <v>84</v>
      </c>
      <c r="G131" s="266" t="s">
        <v>3</v>
      </c>
      <c r="H131" s="300">
        <v>8.26</v>
      </c>
      <c r="I131" s="269">
        <f t="shared" si="2"/>
        <v>10.53</v>
      </c>
      <c r="J131" s="1114"/>
      <c r="K131" s="270">
        <f t="shared" si="3"/>
        <v>884.52</v>
      </c>
    </row>
    <row r="132" spans="2:11" s="989" customFormat="1">
      <c r="B132" s="294" t="s">
        <v>1237</v>
      </c>
      <c r="C132" s="273" t="s">
        <v>184</v>
      </c>
      <c r="D132" s="264" t="s">
        <v>1173</v>
      </c>
      <c r="E132" s="274" t="s">
        <v>3141</v>
      </c>
      <c r="F132" s="266">
        <v>58.8</v>
      </c>
      <c r="G132" s="267" t="s">
        <v>2</v>
      </c>
      <c r="H132" s="284">
        <v>4.25</v>
      </c>
      <c r="I132" s="269">
        <f t="shared" si="2"/>
        <v>5.42</v>
      </c>
      <c r="J132" s="1114"/>
      <c r="K132" s="270">
        <f t="shared" si="3"/>
        <v>318.7</v>
      </c>
    </row>
    <row r="133" spans="2:11" s="989" customFormat="1">
      <c r="B133" s="294" t="s">
        <v>1238</v>
      </c>
      <c r="C133" s="273"/>
      <c r="D133" s="273"/>
      <c r="E133" s="274" t="s">
        <v>3142</v>
      </c>
      <c r="F133" s="275"/>
      <c r="G133" s="266"/>
      <c r="H133" s="284"/>
      <c r="I133" s="269">
        <f t="shared" si="2"/>
        <v>0</v>
      </c>
      <c r="J133" s="1114"/>
      <c r="K133" s="270">
        <f t="shared" si="3"/>
        <v>0</v>
      </c>
    </row>
    <row r="134" spans="2:11" s="989" customFormat="1" ht="51">
      <c r="B134" s="294" t="s">
        <v>1239</v>
      </c>
      <c r="C134" s="273" t="s">
        <v>184</v>
      </c>
      <c r="D134" s="273" t="s">
        <v>1176</v>
      </c>
      <c r="E134" s="274" t="s">
        <v>3143</v>
      </c>
      <c r="F134" s="275">
        <v>58.8</v>
      </c>
      <c r="G134" s="266" t="s">
        <v>0</v>
      </c>
      <c r="H134" s="284">
        <v>6.85</v>
      </c>
      <c r="I134" s="269">
        <f t="shared" si="2"/>
        <v>8.73</v>
      </c>
      <c r="J134" s="1114"/>
      <c r="K134" s="270">
        <f t="shared" si="3"/>
        <v>513.32000000000005</v>
      </c>
    </row>
    <row r="135" spans="2:11" s="989" customFormat="1" ht="51">
      <c r="B135" s="294" t="s">
        <v>1240</v>
      </c>
      <c r="C135" s="273" t="s">
        <v>184</v>
      </c>
      <c r="D135" s="273" t="s">
        <v>1178</v>
      </c>
      <c r="E135" s="274" t="s">
        <v>3144</v>
      </c>
      <c r="F135" s="275">
        <v>58.14</v>
      </c>
      <c r="G135" s="266" t="s">
        <v>0</v>
      </c>
      <c r="H135" s="300">
        <v>20.21</v>
      </c>
      <c r="I135" s="269">
        <f t="shared" si="2"/>
        <v>25.76</v>
      </c>
      <c r="J135" s="1114"/>
      <c r="K135" s="270">
        <f t="shared" si="3"/>
        <v>1497.69</v>
      </c>
    </row>
    <row r="136" spans="2:11" s="989" customFormat="1">
      <c r="B136" s="294" t="s">
        <v>1241</v>
      </c>
      <c r="C136" s="273" t="s">
        <v>184</v>
      </c>
      <c r="D136" s="264" t="s">
        <v>1242</v>
      </c>
      <c r="E136" s="274" t="s">
        <v>3154</v>
      </c>
      <c r="F136" s="266"/>
      <c r="G136" s="267" t="s">
        <v>0</v>
      </c>
      <c r="H136" s="284">
        <v>9.02</v>
      </c>
      <c r="I136" s="269">
        <f t="shared" si="2"/>
        <v>11.5</v>
      </c>
      <c r="J136" s="1114"/>
      <c r="K136" s="270">
        <f t="shared" si="3"/>
        <v>0</v>
      </c>
    </row>
    <row r="137" spans="2:11" s="989" customFormat="1">
      <c r="B137" s="294" t="s">
        <v>1243</v>
      </c>
      <c r="C137" s="273" t="s">
        <v>184</v>
      </c>
      <c r="D137" s="273" t="s">
        <v>1182</v>
      </c>
      <c r="E137" s="274" t="s">
        <v>3146</v>
      </c>
      <c r="F137" s="275">
        <v>58.8</v>
      </c>
      <c r="G137" s="266" t="s">
        <v>2</v>
      </c>
      <c r="H137" s="284">
        <v>5.77</v>
      </c>
      <c r="I137" s="269">
        <f t="shared" si="2"/>
        <v>7.35</v>
      </c>
      <c r="J137" s="1114"/>
      <c r="K137" s="270">
        <f t="shared" si="3"/>
        <v>432.18</v>
      </c>
    </row>
    <row r="138" spans="2:11" s="989" customFormat="1" ht="50.1" customHeight="1">
      <c r="B138" s="294" t="s">
        <v>1244</v>
      </c>
      <c r="C138" s="273"/>
      <c r="D138" s="273"/>
      <c r="E138" s="274" t="s">
        <v>3147</v>
      </c>
      <c r="F138" s="275"/>
      <c r="G138" s="266"/>
      <c r="H138" s="284"/>
      <c r="I138" s="269">
        <f t="shared" si="2"/>
        <v>0</v>
      </c>
      <c r="J138" s="1114"/>
      <c r="K138" s="270">
        <f t="shared" si="3"/>
        <v>0</v>
      </c>
    </row>
    <row r="139" spans="2:11" s="989" customFormat="1">
      <c r="B139" s="294" t="s">
        <v>1245</v>
      </c>
      <c r="C139" s="273" t="s">
        <v>1099</v>
      </c>
      <c r="D139" s="273" t="s">
        <v>1185</v>
      </c>
      <c r="E139" s="274" t="s">
        <v>3385</v>
      </c>
      <c r="F139" s="275">
        <v>84</v>
      </c>
      <c r="G139" s="266" t="s">
        <v>3</v>
      </c>
      <c r="H139" s="300">
        <v>43.29</v>
      </c>
      <c r="I139" s="269">
        <f t="shared" si="2"/>
        <v>55.18</v>
      </c>
      <c r="J139" s="1114"/>
      <c r="K139" s="270">
        <f t="shared" si="3"/>
        <v>4635.12</v>
      </c>
    </row>
    <row r="140" spans="2:11" s="989" customFormat="1">
      <c r="B140" s="294" t="s">
        <v>1246</v>
      </c>
      <c r="C140" s="273" t="s">
        <v>1099</v>
      </c>
      <c r="D140" s="264" t="s">
        <v>1187</v>
      </c>
      <c r="E140" s="274" t="s">
        <v>3386</v>
      </c>
      <c r="F140" s="266">
        <v>84</v>
      </c>
      <c r="G140" s="267" t="s">
        <v>3</v>
      </c>
      <c r="H140" s="284">
        <v>3.07</v>
      </c>
      <c r="I140" s="269">
        <f t="shared" si="2"/>
        <v>3.91</v>
      </c>
      <c r="J140" s="1114"/>
      <c r="K140" s="270">
        <f t="shared" si="3"/>
        <v>328.44</v>
      </c>
    </row>
    <row r="141" spans="2:11" s="989" customFormat="1">
      <c r="B141" s="294" t="s">
        <v>1247</v>
      </c>
      <c r="C141" s="273"/>
      <c r="D141" s="273"/>
      <c r="E141" s="274" t="s">
        <v>3148</v>
      </c>
      <c r="F141" s="275"/>
      <c r="G141" s="266"/>
      <c r="H141" s="284"/>
      <c r="I141" s="269">
        <f t="shared" si="2"/>
        <v>0</v>
      </c>
      <c r="J141" s="1114"/>
      <c r="K141" s="270">
        <f t="shared" si="3"/>
        <v>0</v>
      </c>
    </row>
    <row r="142" spans="2:11" s="989" customFormat="1">
      <c r="B142" s="294" t="s">
        <v>1248</v>
      </c>
      <c r="C142" s="273" t="s">
        <v>1099</v>
      </c>
      <c r="D142" s="273" t="s">
        <v>1191</v>
      </c>
      <c r="E142" s="274" t="s">
        <v>3149</v>
      </c>
      <c r="F142" s="275">
        <v>1</v>
      </c>
      <c r="G142" s="266" t="s">
        <v>1093</v>
      </c>
      <c r="H142" s="284">
        <v>304.64999999999998</v>
      </c>
      <c r="I142" s="269">
        <f t="shared" si="2"/>
        <v>388.31</v>
      </c>
      <c r="J142" s="1114"/>
      <c r="K142" s="270">
        <f t="shared" si="3"/>
        <v>388.31</v>
      </c>
    </row>
    <row r="143" spans="2:11" s="989" customFormat="1">
      <c r="B143" s="294" t="s">
        <v>1249</v>
      </c>
      <c r="C143" s="273" t="s">
        <v>1099</v>
      </c>
      <c r="D143" s="273" t="s">
        <v>1193</v>
      </c>
      <c r="E143" s="274" t="s">
        <v>3388</v>
      </c>
      <c r="F143" s="275">
        <v>2</v>
      </c>
      <c r="G143" s="266" t="s">
        <v>1093</v>
      </c>
      <c r="H143" s="300">
        <v>371.42</v>
      </c>
      <c r="I143" s="269">
        <f t="shared" si="2"/>
        <v>473.41</v>
      </c>
      <c r="J143" s="1114"/>
      <c r="K143" s="270">
        <f t="shared" si="3"/>
        <v>946.82</v>
      </c>
    </row>
    <row r="144" spans="2:11" s="989" customFormat="1">
      <c r="B144" s="294" t="s">
        <v>1250</v>
      </c>
      <c r="C144" s="273" t="s">
        <v>1092</v>
      </c>
      <c r="D144" s="264" t="s">
        <v>1195</v>
      </c>
      <c r="E144" s="274" t="s">
        <v>3150</v>
      </c>
      <c r="F144" s="266">
        <v>1</v>
      </c>
      <c r="G144" s="267" t="s">
        <v>1093</v>
      </c>
      <c r="H144" s="284">
        <v>1900</v>
      </c>
      <c r="I144" s="269">
        <f t="shared" si="2"/>
        <v>2421.7399999999998</v>
      </c>
      <c r="J144" s="1114"/>
      <c r="K144" s="270">
        <f t="shared" si="3"/>
        <v>2421.7399999999998</v>
      </c>
    </row>
    <row r="145" spans="2:11" s="989" customFormat="1">
      <c r="B145" s="294" t="s">
        <v>1251</v>
      </c>
      <c r="C145" s="273"/>
      <c r="D145" s="273"/>
      <c r="E145" s="274" t="s">
        <v>3155</v>
      </c>
      <c r="F145" s="275"/>
      <c r="G145" s="266"/>
      <c r="H145" s="284"/>
      <c r="I145" s="269">
        <f t="shared" si="2"/>
        <v>0</v>
      </c>
      <c r="J145" s="1114"/>
      <c r="K145" s="270">
        <f t="shared" si="3"/>
        <v>0</v>
      </c>
    </row>
    <row r="146" spans="2:11" s="989" customFormat="1" ht="99.95" customHeight="1">
      <c r="B146" s="294" t="s">
        <v>1252</v>
      </c>
      <c r="C146" s="273" t="s">
        <v>1092</v>
      </c>
      <c r="D146" s="273" t="s">
        <v>1253</v>
      </c>
      <c r="E146" s="274" t="s">
        <v>3390</v>
      </c>
      <c r="F146" s="275">
        <v>1</v>
      </c>
      <c r="G146" s="266" t="s">
        <v>1093</v>
      </c>
      <c r="H146" s="284">
        <v>358000</v>
      </c>
      <c r="I146" s="269">
        <f t="shared" si="2"/>
        <v>456306.8</v>
      </c>
      <c r="J146" s="1114"/>
      <c r="K146" s="270">
        <f t="shared" si="3"/>
        <v>456306.8</v>
      </c>
    </row>
    <row r="147" spans="2:11" s="989" customFormat="1">
      <c r="B147" s="294" t="s">
        <v>1254</v>
      </c>
      <c r="C147" s="273"/>
      <c r="D147" s="273"/>
      <c r="E147" s="274" t="s">
        <v>3156</v>
      </c>
      <c r="F147" s="275"/>
      <c r="G147" s="266"/>
      <c r="H147" s="300"/>
      <c r="I147" s="269">
        <f t="shared" si="2"/>
        <v>0</v>
      </c>
      <c r="J147" s="1114"/>
      <c r="K147" s="270">
        <f t="shared" si="3"/>
        <v>0</v>
      </c>
    </row>
    <row r="148" spans="2:11" s="989" customFormat="1">
      <c r="B148" s="294" t="s">
        <v>1255</v>
      </c>
      <c r="C148" s="273"/>
      <c r="D148" s="264"/>
      <c r="E148" s="274" t="s">
        <v>3139</v>
      </c>
      <c r="F148" s="266"/>
      <c r="G148" s="267"/>
      <c r="H148" s="284"/>
      <c r="I148" s="269">
        <f t="shared" si="2"/>
        <v>0</v>
      </c>
      <c r="J148" s="1114"/>
      <c r="K148" s="270">
        <f t="shared" si="3"/>
        <v>0</v>
      </c>
    </row>
    <row r="149" spans="2:11" s="989" customFormat="1">
      <c r="B149" s="294" t="s">
        <v>1256</v>
      </c>
      <c r="C149" s="273" t="s">
        <v>184</v>
      </c>
      <c r="D149" s="273" t="s">
        <v>1171</v>
      </c>
      <c r="E149" s="274" t="s">
        <v>3140</v>
      </c>
      <c r="F149" s="275">
        <v>39</v>
      </c>
      <c r="G149" s="266" t="s">
        <v>3</v>
      </c>
      <c r="H149" s="284">
        <v>8.26</v>
      </c>
      <c r="I149" s="269">
        <f t="shared" si="2"/>
        <v>10.53</v>
      </c>
      <c r="J149" s="1114"/>
      <c r="K149" s="270">
        <f t="shared" si="3"/>
        <v>410.67</v>
      </c>
    </row>
    <row r="150" spans="2:11" s="989" customFormat="1">
      <c r="B150" s="294" t="s">
        <v>1257</v>
      </c>
      <c r="C150" s="273"/>
      <c r="D150" s="273"/>
      <c r="E150" s="274" t="s">
        <v>3142</v>
      </c>
      <c r="F150" s="275"/>
      <c r="G150" s="266"/>
      <c r="H150" s="300"/>
      <c r="I150" s="269">
        <f t="shared" si="2"/>
        <v>0</v>
      </c>
      <c r="J150" s="1114"/>
      <c r="K150" s="270">
        <f t="shared" si="3"/>
        <v>0</v>
      </c>
    </row>
    <row r="151" spans="2:11" s="989" customFormat="1" ht="51">
      <c r="B151" s="294" t="s">
        <v>1258</v>
      </c>
      <c r="C151" s="273" t="s">
        <v>184</v>
      </c>
      <c r="D151" s="264" t="s">
        <v>1176</v>
      </c>
      <c r="E151" s="274" t="s">
        <v>3143</v>
      </c>
      <c r="F151" s="266">
        <v>7.2</v>
      </c>
      <c r="G151" s="267" t="s">
        <v>0</v>
      </c>
      <c r="H151" s="284">
        <v>6.85</v>
      </c>
      <c r="I151" s="269">
        <f t="shared" si="2"/>
        <v>8.73</v>
      </c>
      <c r="J151" s="1114"/>
      <c r="K151" s="270">
        <f t="shared" si="3"/>
        <v>62.86</v>
      </c>
    </row>
    <row r="152" spans="2:11" s="989" customFormat="1" ht="51">
      <c r="B152" s="294" t="s">
        <v>1259</v>
      </c>
      <c r="C152" s="273" t="s">
        <v>184</v>
      </c>
      <c r="D152" s="273" t="s">
        <v>1178</v>
      </c>
      <c r="E152" s="274" t="s">
        <v>3144</v>
      </c>
      <c r="F152" s="275">
        <v>1.44</v>
      </c>
      <c r="G152" s="266" t="s">
        <v>0</v>
      </c>
      <c r="H152" s="284">
        <v>20.21</v>
      </c>
      <c r="I152" s="269">
        <f t="shared" ref="I152:I214" si="4">H152*(1+$I$16)</f>
        <v>25.76</v>
      </c>
      <c r="J152" s="1114"/>
      <c r="K152" s="270">
        <f t="shared" ref="K152:K214" si="5">I152*F152</f>
        <v>37.090000000000003</v>
      </c>
    </row>
    <row r="153" spans="2:11" s="989" customFormat="1">
      <c r="B153" s="294" t="s">
        <v>1260</v>
      </c>
      <c r="C153" s="273" t="s">
        <v>184</v>
      </c>
      <c r="D153" s="273" t="s">
        <v>1261</v>
      </c>
      <c r="E153" s="274" t="s">
        <v>3157</v>
      </c>
      <c r="F153" s="275">
        <v>224.64</v>
      </c>
      <c r="G153" s="266" t="s">
        <v>0</v>
      </c>
      <c r="H153" s="284">
        <v>8.83</v>
      </c>
      <c r="I153" s="269">
        <f t="shared" si="4"/>
        <v>11.25</v>
      </c>
      <c r="J153" s="1114"/>
      <c r="K153" s="270">
        <f t="shared" si="5"/>
        <v>2527.1999999999998</v>
      </c>
    </row>
    <row r="154" spans="2:11" s="989" customFormat="1">
      <c r="B154" s="294" t="s">
        <v>1262</v>
      </c>
      <c r="C154" s="273" t="s">
        <v>184</v>
      </c>
      <c r="D154" s="273" t="s">
        <v>1182</v>
      </c>
      <c r="E154" s="274" t="s">
        <v>3146</v>
      </c>
      <c r="F154" s="275">
        <v>18</v>
      </c>
      <c r="G154" s="266" t="s">
        <v>2</v>
      </c>
      <c r="H154" s="300">
        <v>5.77</v>
      </c>
      <c r="I154" s="269">
        <f t="shared" si="4"/>
        <v>7.35</v>
      </c>
      <c r="J154" s="1114"/>
      <c r="K154" s="270">
        <f t="shared" si="5"/>
        <v>132.30000000000001</v>
      </c>
    </row>
    <row r="155" spans="2:11" s="989" customFormat="1">
      <c r="B155" s="294" t="s">
        <v>1263</v>
      </c>
      <c r="C155" s="273"/>
      <c r="D155" s="264"/>
      <c r="E155" s="274" t="s">
        <v>3158</v>
      </c>
      <c r="F155" s="266"/>
      <c r="G155" s="267"/>
      <c r="H155" s="284"/>
      <c r="I155" s="269">
        <f t="shared" si="4"/>
        <v>0</v>
      </c>
      <c r="J155" s="1114"/>
      <c r="K155" s="270">
        <f t="shared" si="5"/>
        <v>0</v>
      </c>
    </row>
    <row r="156" spans="2:11" s="989" customFormat="1">
      <c r="B156" s="294" t="s">
        <v>1264</v>
      </c>
      <c r="C156" s="273" t="s">
        <v>184</v>
      </c>
      <c r="D156" s="273" t="s">
        <v>1265</v>
      </c>
      <c r="E156" s="274" t="s">
        <v>3159</v>
      </c>
      <c r="F156" s="275">
        <v>1.8</v>
      </c>
      <c r="G156" s="266" t="s">
        <v>0</v>
      </c>
      <c r="H156" s="284">
        <v>695.09</v>
      </c>
      <c r="I156" s="269">
        <f t="shared" si="4"/>
        <v>885.96</v>
      </c>
      <c r="J156" s="1114"/>
      <c r="K156" s="270">
        <f t="shared" si="5"/>
        <v>1594.73</v>
      </c>
    </row>
    <row r="157" spans="2:11" s="989" customFormat="1">
      <c r="B157" s="294" t="s">
        <v>1266</v>
      </c>
      <c r="C157" s="273" t="s">
        <v>1099</v>
      </c>
      <c r="D157" s="273" t="s">
        <v>1267</v>
      </c>
      <c r="E157" s="274" t="s">
        <v>3160</v>
      </c>
      <c r="F157" s="275">
        <v>135</v>
      </c>
      <c r="G157" s="266" t="s">
        <v>747</v>
      </c>
      <c r="H157" s="284">
        <v>12.75</v>
      </c>
      <c r="I157" s="269">
        <f t="shared" si="4"/>
        <v>16.25</v>
      </c>
      <c r="J157" s="1114"/>
      <c r="K157" s="270">
        <f t="shared" si="5"/>
        <v>2193.75</v>
      </c>
    </row>
    <row r="158" spans="2:11" s="989" customFormat="1" ht="51">
      <c r="B158" s="294" t="s">
        <v>1268</v>
      </c>
      <c r="C158" s="273" t="s">
        <v>1099</v>
      </c>
      <c r="D158" s="273" t="s">
        <v>1269</v>
      </c>
      <c r="E158" s="274" t="s">
        <v>3161</v>
      </c>
      <c r="F158" s="275">
        <v>7.2</v>
      </c>
      <c r="G158" s="266" t="s">
        <v>2</v>
      </c>
      <c r="H158" s="300">
        <v>97.36</v>
      </c>
      <c r="I158" s="269">
        <f t="shared" si="4"/>
        <v>124.1</v>
      </c>
      <c r="J158" s="1114"/>
      <c r="K158" s="270">
        <f t="shared" si="5"/>
        <v>893.52</v>
      </c>
    </row>
    <row r="159" spans="2:11" s="989" customFormat="1">
      <c r="B159" s="294" t="s">
        <v>1270</v>
      </c>
      <c r="C159" s="273" t="s">
        <v>184</v>
      </c>
      <c r="D159" s="264" t="s">
        <v>1271</v>
      </c>
      <c r="E159" s="274" t="s">
        <v>3162</v>
      </c>
      <c r="F159" s="266">
        <v>1.8</v>
      </c>
      <c r="G159" s="267" t="s">
        <v>0</v>
      </c>
      <c r="H159" s="284">
        <v>269.99</v>
      </c>
      <c r="I159" s="269">
        <f t="shared" si="4"/>
        <v>344.13</v>
      </c>
      <c r="J159" s="1114"/>
      <c r="K159" s="270">
        <f t="shared" si="5"/>
        <v>619.42999999999995</v>
      </c>
    </row>
    <row r="160" spans="2:11" s="989" customFormat="1">
      <c r="B160" s="294" t="s">
        <v>1272</v>
      </c>
      <c r="C160" s="273" t="s">
        <v>184</v>
      </c>
      <c r="D160" s="273" t="s">
        <v>1273</v>
      </c>
      <c r="E160" s="274" t="s">
        <v>3163</v>
      </c>
      <c r="F160" s="275">
        <v>20.25</v>
      </c>
      <c r="G160" s="266" t="s">
        <v>747</v>
      </c>
      <c r="H160" s="284">
        <v>13.58</v>
      </c>
      <c r="I160" s="269">
        <f t="shared" si="4"/>
        <v>17.309999999999999</v>
      </c>
      <c r="J160" s="1114"/>
      <c r="K160" s="270">
        <f t="shared" si="5"/>
        <v>350.53</v>
      </c>
    </row>
    <row r="161" spans="2:11" s="989" customFormat="1">
      <c r="B161" s="294" t="s">
        <v>1274</v>
      </c>
      <c r="C161" s="273" t="s">
        <v>182</v>
      </c>
      <c r="D161" s="273" t="s">
        <v>1275</v>
      </c>
      <c r="E161" s="274" t="s">
        <v>3164</v>
      </c>
      <c r="F161" s="275">
        <v>7.2</v>
      </c>
      <c r="G161" s="266" t="s">
        <v>2</v>
      </c>
      <c r="H161" s="284">
        <v>5.91</v>
      </c>
      <c r="I161" s="269">
        <f t="shared" si="4"/>
        <v>7.53</v>
      </c>
      <c r="J161" s="1114"/>
      <c r="K161" s="270">
        <f t="shared" si="5"/>
        <v>54.22</v>
      </c>
    </row>
    <row r="162" spans="2:11" s="989" customFormat="1" ht="51">
      <c r="B162" s="294" t="s">
        <v>1276</v>
      </c>
      <c r="C162" s="273" t="s">
        <v>184</v>
      </c>
      <c r="D162" s="273" t="s">
        <v>1277</v>
      </c>
      <c r="E162" s="274" t="s">
        <v>3165</v>
      </c>
      <c r="F162" s="275">
        <v>5.4</v>
      </c>
      <c r="G162" s="266" t="s">
        <v>0</v>
      </c>
      <c r="H162" s="300">
        <v>730.79</v>
      </c>
      <c r="I162" s="269">
        <f t="shared" si="4"/>
        <v>931.46</v>
      </c>
      <c r="J162" s="1114"/>
      <c r="K162" s="270">
        <f t="shared" si="5"/>
        <v>5029.88</v>
      </c>
    </row>
    <row r="163" spans="2:11" s="989" customFormat="1">
      <c r="B163" s="294" t="s">
        <v>1278</v>
      </c>
      <c r="C163" s="273"/>
      <c r="D163" s="264"/>
      <c r="E163" s="274" t="s">
        <v>3166</v>
      </c>
      <c r="F163" s="266"/>
      <c r="G163" s="267"/>
      <c r="H163" s="284"/>
      <c r="I163" s="269">
        <f t="shared" si="4"/>
        <v>0</v>
      </c>
      <c r="J163" s="1114"/>
      <c r="K163" s="270">
        <f t="shared" si="5"/>
        <v>0</v>
      </c>
    </row>
    <row r="164" spans="2:11" s="989" customFormat="1">
      <c r="B164" s="294" t="s">
        <v>1279</v>
      </c>
      <c r="C164" s="273"/>
      <c r="D164" s="273"/>
      <c r="E164" s="274" t="s">
        <v>3142</v>
      </c>
      <c r="F164" s="275"/>
      <c r="G164" s="266"/>
      <c r="H164" s="284"/>
      <c r="I164" s="269">
        <f t="shared" si="4"/>
        <v>0</v>
      </c>
      <c r="J164" s="1114"/>
      <c r="K164" s="270">
        <f t="shared" si="5"/>
        <v>0</v>
      </c>
    </row>
    <row r="165" spans="2:11" s="989" customFormat="1" ht="51">
      <c r="B165" s="294" t="s">
        <v>1280</v>
      </c>
      <c r="C165" s="273" t="s">
        <v>184</v>
      </c>
      <c r="D165" s="273" t="s">
        <v>1176</v>
      </c>
      <c r="E165" s="274" t="s">
        <v>3143</v>
      </c>
      <c r="F165" s="275">
        <v>3.32</v>
      </c>
      <c r="G165" s="266" t="s">
        <v>0</v>
      </c>
      <c r="H165" s="284">
        <v>6.85</v>
      </c>
      <c r="I165" s="269">
        <f t="shared" si="4"/>
        <v>8.73</v>
      </c>
      <c r="J165" s="1114"/>
      <c r="K165" s="270">
        <f t="shared" si="5"/>
        <v>28.98</v>
      </c>
    </row>
    <row r="166" spans="2:11" s="989" customFormat="1" ht="51">
      <c r="B166" s="294" t="s">
        <v>1281</v>
      </c>
      <c r="C166" s="273" t="s">
        <v>184</v>
      </c>
      <c r="D166" s="273" t="s">
        <v>1178</v>
      </c>
      <c r="E166" s="274" t="s">
        <v>3144</v>
      </c>
      <c r="F166" s="275">
        <v>2.87</v>
      </c>
      <c r="G166" s="266" t="s">
        <v>0</v>
      </c>
      <c r="H166" s="300">
        <v>20.21</v>
      </c>
      <c r="I166" s="269">
        <f t="shared" si="4"/>
        <v>25.76</v>
      </c>
      <c r="J166" s="1114"/>
      <c r="K166" s="270">
        <f t="shared" si="5"/>
        <v>73.930000000000007</v>
      </c>
    </row>
    <row r="167" spans="2:11" s="989" customFormat="1">
      <c r="B167" s="294" t="s">
        <v>1282</v>
      </c>
      <c r="C167" s="273" t="s">
        <v>184</v>
      </c>
      <c r="D167" s="264" t="s">
        <v>1261</v>
      </c>
      <c r="E167" s="274" t="s">
        <v>3157</v>
      </c>
      <c r="F167" s="266">
        <v>17.55</v>
      </c>
      <c r="G167" s="267" t="s">
        <v>0</v>
      </c>
      <c r="H167" s="284">
        <v>8.83</v>
      </c>
      <c r="I167" s="269">
        <f t="shared" si="4"/>
        <v>11.25</v>
      </c>
      <c r="J167" s="1114"/>
      <c r="K167" s="270">
        <f t="shared" si="5"/>
        <v>197.44</v>
      </c>
    </row>
    <row r="168" spans="2:11" s="989" customFormat="1">
      <c r="B168" s="294" t="s">
        <v>1283</v>
      </c>
      <c r="C168" s="273" t="s">
        <v>184</v>
      </c>
      <c r="D168" s="273" t="s">
        <v>1182</v>
      </c>
      <c r="E168" s="274" t="s">
        <v>3146</v>
      </c>
      <c r="F168" s="275">
        <v>2.89</v>
      </c>
      <c r="G168" s="266" t="s">
        <v>2</v>
      </c>
      <c r="H168" s="284">
        <v>5.77</v>
      </c>
      <c r="I168" s="269">
        <f t="shared" si="4"/>
        <v>7.35</v>
      </c>
      <c r="J168" s="1114"/>
      <c r="K168" s="270">
        <f t="shared" si="5"/>
        <v>21.24</v>
      </c>
    </row>
    <row r="169" spans="2:11" s="989" customFormat="1">
      <c r="B169" s="294" t="s">
        <v>1284</v>
      </c>
      <c r="C169" s="273"/>
      <c r="D169" s="273"/>
      <c r="E169" s="274" t="s">
        <v>3148</v>
      </c>
      <c r="F169" s="275"/>
      <c r="G169" s="266"/>
      <c r="H169" s="284"/>
      <c r="I169" s="269">
        <f t="shared" si="4"/>
        <v>0</v>
      </c>
      <c r="J169" s="1114"/>
      <c r="K169" s="270">
        <f t="shared" si="5"/>
        <v>0</v>
      </c>
    </row>
    <row r="170" spans="2:11" s="989" customFormat="1">
      <c r="B170" s="294" t="s">
        <v>1285</v>
      </c>
      <c r="C170" s="273" t="s">
        <v>1099</v>
      </c>
      <c r="D170" s="273" t="s">
        <v>1286</v>
      </c>
      <c r="E170" s="274" t="s">
        <v>3391</v>
      </c>
      <c r="F170" s="275">
        <v>1</v>
      </c>
      <c r="G170" s="266" t="s">
        <v>1093</v>
      </c>
      <c r="H170" s="300">
        <v>3789.15</v>
      </c>
      <c r="I170" s="269">
        <f t="shared" si="4"/>
        <v>4829.6499999999996</v>
      </c>
      <c r="J170" s="1114"/>
      <c r="K170" s="270">
        <f t="shared" si="5"/>
        <v>4829.6499999999996</v>
      </c>
    </row>
    <row r="171" spans="2:11" s="989" customFormat="1">
      <c r="B171" s="294" t="s">
        <v>1287</v>
      </c>
      <c r="C171" s="273" t="s">
        <v>1092</v>
      </c>
      <c r="D171" s="264" t="s">
        <v>1195</v>
      </c>
      <c r="E171" s="274" t="s">
        <v>3150</v>
      </c>
      <c r="F171" s="266">
        <v>1</v>
      </c>
      <c r="G171" s="267" t="s">
        <v>1093</v>
      </c>
      <c r="H171" s="284">
        <v>1900</v>
      </c>
      <c r="I171" s="269">
        <f t="shared" si="4"/>
        <v>2421.7399999999998</v>
      </c>
      <c r="J171" s="1114"/>
      <c r="K171" s="270">
        <f t="shared" si="5"/>
        <v>2421.7399999999998</v>
      </c>
    </row>
    <row r="172" spans="2:11" s="989" customFormat="1">
      <c r="B172" s="294" t="s">
        <v>1288</v>
      </c>
      <c r="C172" s="273"/>
      <c r="D172" s="273"/>
      <c r="E172" s="274" t="s">
        <v>3167</v>
      </c>
      <c r="F172" s="275"/>
      <c r="G172" s="266"/>
      <c r="H172" s="284"/>
      <c r="I172" s="269">
        <f t="shared" si="4"/>
        <v>0</v>
      </c>
      <c r="J172" s="1114"/>
      <c r="K172" s="270">
        <f t="shared" si="5"/>
        <v>0</v>
      </c>
    </row>
    <row r="173" spans="2:11" s="989" customFormat="1">
      <c r="B173" s="294" t="s">
        <v>1289</v>
      </c>
      <c r="C173" s="273"/>
      <c r="D173" s="273"/>
      <c r="E173" s="274" t="s">
        <v>3142</v>
      </c>
      <c r="F173" s="275"/>
      <c r="G173" s="266"/>
      <c r="H173" s="284"/>
      <c r="I173" s="269">
        <f t="shared" si="4"/>
        <v>0</v>
      </c>
      <c r="J173" s="1114"/>
      <c r="K173" s="270">
        <f t="shared" si="5"/>
        <v>0</v>
      </c>
    </row>
    <row r="174" spans="2:11" s="989" customFormat="1" ht="51">
      <c r="B174" s="294" t="s">
        <v>1290</v>
      </c>
      <c r="C174" s="273" t="s">
        <v>184</v>
      </c>
      <c r="D174" s="273" t="s">
        <v>1176</v>
      </c>
      <c r="E174" s="274" t="s">
        <v>3143</v>
      </c>
      <c r="F174" s="275">
        <v>2.44</v>
      </c>
      <c r="G174" s="266" t="s">
        <v>0</v>
      </c>
      <c r="H174" s="300">
        <v>6.85</v>
      </c>
      <c r="I174" s="269">
        <f t="shared" si="4"/>
        <v>8.73</v>
      </c>
      <c r="J174" s="1114"/>
      <c r="K174" s="270">
        <f t="shared" si="5"/>
        <v>21.3</v>
      </c>
    </row>
    <row r="175" spans="2:11" s="989" customFormat="1" ht="51">
      <c r="B175" s="294" t="s">
        <v>1291</v>
      </c>
      <c r="C175" s="273" t="s">
        <v>184</v>
      </c>
      <c r="D175" s="264" t="s">
        <v>1178</v>
      </c>
      <c r="E175" s="274" t="s">
        <v>3144</v>
      </c>
      <c r="F175" s="266">
        <v>2.11</v>
      </c>
      <c r="G175" s="267" t="s">
        <v>0</v>
      </c>
      <c r="H175" s="284">
        <v>20.21</v>
      </c>
      <c r="I175" s="269">
        <f t="shared" si="4"/>
        <v>25.76</v>
      </c>
      <c r="J175" s="1114"/>
      <c r="K175" s="270">
        <f t="shared" si="5"/>
        <v>54.35</v>
      </c>
    </row>
    <row r="176" spans="2:11" s="989" customFormat="1">
      <c r="B176" s="294" t="s">
        <v>1292</v>
      </c>
      <c r="C176" s="273" t="s">
        <v>184</v>
      </c>
      <c r="D176" s="273" t="s">
        <v>1261</v>
      </c>
      <c r="E176" s="274" t="s">
        <v>3157</v>
      </c>
      <c r="F176" s="275">
        <v>12.87</v>
      </c>
      <c r="G176" s="266" t="s">
        <v>0</v>
      </c>
      <c r="H176" s="284">
        <v>8.83</v>
      </c>
      <c r="I176" s="269">
        <f t="shared" si="4"/>
        <v>11.25</v>
      </c>
      <c r="J176" s="1114"/>
      <c r="K176" s="270">
        <f t="shared" si="5"/>
        <v>144.79</v>
      </c>
    </row>
    <row r="177" spans="2:11" s="989" customFormat="1">
      <c r="B177" s="294" t="s">
        <v>1293</v>
      </c>
      <c r="C177" s="273" t="s">
        <v>184</v>
      </c>
      <c r="D177" s="273" t="s">
        <v>1182</v>
      </c>
      <c r="E177" s="274" t="s">
        <v>3146</v>
      </c>
      <c r="F177" s="275">
        <v>2.13</v>
      </c>
      <c r="G177" s="266" t="s">
        <v>2</v>
      </c>
      <c r="H177" s="284">
        <v>5.77</v>
      </c>
      <c r="I177" s="269">
        <f t="shared" si="4"/>
        <v>7.35</v>
      </c>
      <c r="J177" s="1114"/>
      <c r="K177" s="270">
        <f t="shared" si="5"/>
        <v>15.66</v>
      </c>
    </row>
    <row r="178" spans="2:11" s="989" customFormat="1">
      <c r="B178" s="294" t="s">
        <v>1294</v>
      </c>
      <c r="C178" s="273"/>
      <c r="D178" s="273"/>
      <c r="E178" s="274" t="s">
        <v>3148</v>
      </c>
      <c r="F178" s="275"/>
      <c r="G178" s="266"/>
      <c r="H178" s="300"/>
      <c r="I178" s="269">
        <f t="shared" si="4"/>
        <v>0</v>
      </c>
      <c r="J178" s="1114"/>
      <c r="K178" s="270">
        <f t="shared" si="5"/>
        <v>0</v>
      </c>
    </row>
    <row r="179" spans="2:11" s="989" customFormat="1">
      <c r="B179" s="294" t="s">
        <v>1295</v>
      </c>
      <c r="C179" s="273" t="s">
        <v>1099</v>
      </c>
      <c r="D179" s="264" t="s">
        <v>1296</v>
      </c>
      <c r="E179" s="274" t="s">
        <v>3168</v>
      </c>
      <c r="F179" s="266">
        <v>1</v>
      </c>
      <c r="G179" s="267" t="s">
        <v>1093</v>
      </c>
      <c r="H179" s="284">
        <v>1684.08</v>
      </c>
      <c r="I179" s="269">
        <f t="shared" si="4"/>
        <v>2146.5300000000002</v>
      </c>
      <c r="J179" s="1114"/>
      <c r="K179" s="270">
        <f t="shared" si="5"/>
        <v>2146.5300000000002</v>
      </c>
    </row>
    <row r="180" spans="2:11" s="989" customFormat="1">
      <c r="B180" s="294" t="s">
        <v>1297</v>
      </c>
      <c r="C180" s="273" t="s">
        <v>1099</v>
      </c>
      <c r="D180" s="273" t="s">
        <v>1286</v>
      </c>
      <c r="E180" s="274" t="s">
        <v>3392</v>
      </c>
      <c r="F180" s="275">
        <v>1</v>
      </c>
      <c r="G180" s="266" t="s">
        <v>1093</v>
      </c>
      <c r="H180" s="284">
        <v>3789.15</v>
      </c>
      <c r="I180" s="269">
        <f t="shared" si="4"/>
        <v>4829.6499999999996</v>
      </c>
      <c r="J180" s="1114"/>
      <c r="K180" s="270">
        <f t="shared" si="5"/>
        <v>4829.6499999999996</v>
      </c>
    </row>
    <row r="181" spans="2:11" s="989" customFormat="1">
      <c r="B181" s="294" t="s">
        <v>1298</v>
      </c>
      <c r="C181" s="273" t="s">
        <v>1099</v>
      </c>
      <c r="D181" s="273" t="s">
        <v>1299</v>
      </c>
      <c r="E181" s="274" t="s">
        <v>3169</v>
      </c>
      <c r="F181" s="275">
        <v>1</v>
      </c>
      <c r="G181" s="266" t="s">
        <v>1093</v>
      </c>
      <c r="H181" s="284">
        <v>2265.84</v>
      </c>
      <c r="I181" s="269">
        <f t="shared" si="4"/>
        <v>2888.04</v>
      </c>
      <c r="J181" s="1114"/>
      <c r="K181" s="270">
        <f t="shared" si="5"/>
        <v>2888.04</v>
      </c>
    </row>
    <row r="182" spans="2:11" s="989" customFormat="1">
      <c r="B182" s="294" t="s">
        <v>1300</v>
      </c>
      <c r="C182" s="273" t="s">
        <v>1099</v>
      </c>
      <c r="D182" s="273" t="s">
        <v>1301</v>
      </c>
      <c r="E182" s="274" t="s">
        <v>3170</v>
      </c>
      <c r="F182" s="275">
        <v>1</v>
      </c>
      <c r="G182" s="266" t="s">
        <v>1093</v>
      </c>
      <c r="H182" s="300">
        <v>421.15</v>
      </c>
      <c r="I182" s="269">
        <f t="shared" si="4"/>
        <v>536.79999999999995</v>
      </c>
      <c r="J182" s="1114"/>
      <c r="K182" s="270">
        <f t="shared" si="5"/>
        <v>536.79999999999995</v>
      </c>
    </row>
    <row r="183" spans="2:11" s="989" customFormat="1">
      <c r="B183" s="294" t="s">
        <v>1302</v>
      </c>
      <c r="C183" s="273" t="s">
        <v>1092</v>
      </c>
      <c r="D183" s="264" t="s">
        <v>1195</v>
      </c>
      <c r="E183" s="274" t="s">
        <v>3150</v>
      </c>
      <c r="F183" s="266">
        <v>1</v>
      </c>
      <c r="G183" s="267" t="s">
        <v>1093</v>
      </c>
      <c r="H183" s="284">
        <v>1900</v>
      </c>
      <c r="I183" s="269">
        <f t="shared" si="4"/>
        <v>2421.7399999999998</v>
      </c>
      <c r="J183" s="1114"/>
      <c r="K183" s="270">
        <f t="shared" si="5"/>
        <v>2421.7399999999998</v>
      </c>
    </row>
    <row r="184" spans="2:11" s="989" customFormat="1">
      <c r="B184" s="294" t="s">
        <v>1303</v>
      </c>
      <c r="C184" s="273"/>
      <c r="D184" s="273"/>
      <c r="E184" s="274" t="s">
        <v>3171</v>
      </c>
      <c r="F184" s="275"/>
      <c r="G184" s="266"/>
      <c r="H184" s="284"/>
      <c r="I184" s="269">
        <f t="shared" si="4"/>
        <v>0</v>
      </c>
      <c r="J184" s="1114"/>
      <c r="K184" s="270">
        <f t="shared" si="5"/>
        <v>0</v>
      </c>
    </row>
    <row r="185" spans="2:11" s="989" customFormat="1">
      <c r="B185" s="294" t="s">
        <v>1304</v>
      </c>
      <c r="C185" s="273"/>
      <c r="D185" s="273"/>
      <c r="E185" s="274" t="s">
        <v>3142</v>
      </c>
      <c r="F185" s="275"/>
      <c r="G185" s="266"/>
      <c r="H185" s="284"/>
      <c r="I185" s="269">
        <f t="shared" si="4"/>
        <v>0</v>
      </c>
      <c r="J185" s="1114"/>
      <c r="K185" s="270">
        <f t="shared" si="5"/>
        <v>0</v>
      </c>
    </row>
    <row r="186" spans="2:11" s="989" customFormat="1" ht="51">
      <c r="B186" s="294" t="s">
        <v>1305</v>
      </c>
      <c r="C186" s="273" t="s">
        <v>1099</v>
      </c>
      <c r="D186" s="273" t="s">
        <v>1306</v>
      </c>
      <c r="E186" s="274" t="s">
        <v>3172</v>
      </c>
      <c r="F186" s="275">
        <v>52</v>
      </c>
      <c r="G186" s="266" t="s">
        <v>0</v>
      </c>
      <c r="H186" s="300">
        <v>87.31</v>
      </c>
      <c r="I186" s="269">
        <f t="shared" si="4"/>
        <v>111.29</v>
      </c>
      <c r="J186" s="1114"/>
      <c r="K186" s="270">
        <f t="shared" si="5"/>
        <v>5787.08</v>
      </c>
    </row>
    <row r="187" spans="2:11" s="989" customFormat="1">
      <c r="B187" s="294" t="s">
        <v>1307</v>
      </c>
      <c r="C187" s="273" t="s">
        <v>1099</v>
      </c>
      <c r="D187" s="264" t="s">
        <v>1308</v>
      </c>
      <c r="E187" s="274" t="s">
        <v>3173</v>
      </c>
      <c r="F187" s="266">
        <v>350</v>
      </c>
      <c r="G187" s="267" t="s">
        <v>0</v>
      </c>
      <c r="H187" s="284">
        <v>52.39</v>
      </c>
      <c r="I187" s="269">
        <f t="shared" si="4"/>
        <v>66.78</v>
      </c>
      <c r="J187" s="1114"/>
      <c r="K187" s="270">
        <f t="shared" si="5"/>
        <v>23373</v>
      </c>
    </row>
    <row r="188" spans="2:11" s="989" customFormat="1">
      <c r="B188" s="294" t="s">
        <v>1309</v>
      </c>
      <c r="C188" s="273" t="s">
        <v>184</v>
      </c>
      <c r="D188" s="273" t="s">
        <v>1180</v>
      </c>
      <c r="E188" s="274" t="s">
        <v>3145</v>
      </c>
      <c r="F188" s="275">
        <v>71.66</v>
      </c>
      <c r="G188" s="266" t="s">
        <v>0</v>
      </c>
      <c r="H188" s="284">
        <v>19.260000000000002</v>
      </c>
      <c r="I188" s="269">
        <f t="shared" si="4"/>
        <v>24.55</v>
      </c>
      <c r="J188" s="1114"/>
      <c r="K188" s="270">
        <f t="shared" si="5"/>
        <v>1759.25</v>
      </c>
    </row>
    <row r="189" spans="2:11" s="989" customFormat="1">
      <c r="B189" s="294" t="s">
        <v>1310</v>
      </c>
      <c r="C189" s="273" t="s">
        <v>184</v>
      </c>
      <c r="D189" s="273" t="s">
        <v>1311</v>
      </c>
      <c r="E189" s="274" t="s">
        <v>3174</v>
      </c>
      <c r="F189" s="275">
        <v>330.34</v>
      </c>
      <c r="G189" s="266" t="s">
        <v>0</v>
      </c>
      <c r="H189" s="284">
        <v>1.43</v>
      </c>
      <c r="I189" s="269">
        <f t="shared" si="4"/>
        <v>1.82</v>
      </c>
      <c r="J189" s="1114"/>
      <c r="K189" s="270">
        <f t="shared" si="5"/>
        <v>601.22</v>
      </c>
    </row>
    <row r="190" spans="2:11" s="989" customFormat="1">
      <c r="B190" s="294" t="s">
        <v>1312</v>
      </c>
      <c r="C190" s="273" t="s">
        <v>184</v>
      </c>
      <c r="D190" s="273" t="s">
        <v>1313</v>
      </c>
      <c r="E190" s="274" t="s">
        <v>3175</v>
      </c>
      <c r="F190" s="275">
        <v>38.130000000000003</v>
      </c>
      <c r="G190" s="266" t="s">
        <v>2</v>
      </c>
      <c r="H190" s="300">
        <v>37.270000000000003</v>
      </c>
      <c r="I190" s="269">
        <f t="shared" si="4"/>
        <v>47.5</v>
      </c>
      <c r="J190" s="1114"/>
      <c r="K190" s="270">
        <f t="shared" si="5"/>
        <v>1811.18</v>
      </c>
    </row>
    <row r="191" spans="2:11" s="989" customFormat="1">
      <c r="B191" s="294" t="s">
        <v>1314</v>
      </c>
      <c r="C191" s="273" t="s">
        <v>184</v>
      </c>
      <c r="D191" s="264" t="s">
        <v>1315</v>
      </c>
      <c r="E191" s="274" t="s">
        <v>3176</v>
      </c>
      <c r="F191" s="266">
        <v>204.02</v>
      </c>
      <c r="G191" s="267" t="s">
        <v>2</v>
      </c>
      <c r="H191" s="284">
        <v>61.09</v>
      </c>
      <c r="I191" s="269">
        <f t="shared" si="4"/>
        <v>77.87</v>
      </c>
      <c r="J191" s="1114"/>
      <c r="K191" s="270">
        <f t="shared" si="5"/>
        <v>15887.04</v>
      </c>
    </row>
    <row r="192" spans="2:11" s="989" customFormat="1">
      <c r="B192" s="294" t="s">
        <v>1316</v>
      </c>
      <c r="C192" s="273" t="s">
        <v>184</v>
      </c>
      <c r="D192" s="273" t="s">
        <v>1317</v>
      </c>
      <c r="E192" s="274" t="s">
        <v>3177</v>
      </c>
      <c r="F192" s="275">
        <v>100</v>
      </c>
      <c r="G192" s="266" t="s">
        <v>40</v>
      </c>
      <c r="H192" s="284">
        <v>25.97</v>
      </c>
      <c r="I192" s="269">
        <f t="shared" si="4"/>
        <v>33.1</v>
      </c>
      <c r="J192" s="1114"/>
      <c r="K192" s="270">
        <f t="shared" si="5"/>
        <v>3310</v>
      </c>
    </row>
    <row r="193" spans="2:11" s="989" customFormat="1">
      <c r="B193" s="294" t="s">
        <v>1318</v>
      </c>
      <c r="C193" s="273" t="s">
        <v>184</v>
      </c>
      <c r="D193" s="273" t="s">
        <v>1261</v>
      </c>
      <c r="E193" s="274" t="s">
        <v>3178</v>
      </c>
      <c r="F193" s="275">
        <v>12883.26</v>
      </c>
      <c r="G193" s="266" t="s">
        <v>0</v>
      </c>
      <c r="H193" s="284">
        <v>8.83</v>
      </c>
      <c r="I193" s="269">
        <f t="shared" si="4"/>
        <v>11.25</v>
      </c>
      <c r="J193" s="1114"/>
      <c r="K193" s="270">
        <f t="shared" si="5"/>
        <v>144936.68</v>
      </c>
    </row>
    <row r="194" spans="2:11" s="989" customFormat="1">
      <c r="B194" s="294" t="s">
        <v>1319</v>
      </c>
      <c r="C194" s="273"/>
      <c r="D194" s="273"/>
      <c r="E194" s="274" t="s">
        <v>3158</v>
      </c>
      <c r="F194" s="275"/>
      <c r="G194" s="266"/>
      <c r="H194" s="300"/>
      <c r="I194" s="269">
        <f t="shared" si="4"/>
        <v>0</v>
      </c>
      <c r="J194" s="1114"/>
      <c r="K194" s="270">
        <f t="shared" si="5"/>
        <v>0</v>
      </c>
    </row>
    <row r="195" spans="2:11" s="989" customFormat="1">
      <c r="B195" s="294" t="s">
        <v>1320</v>
      </c>
      <c r="C195" s="273" t="s">
        <v>184</v>
      </c>
      <c r="D195" s="264" t="s">
        <v>1321</v>
      </c>
      <c r="E195" s="274" t="s">
        <v>3179</v>
      </c>
      <c r="F195" s="266">
        <v>139</v>
      </c>
      <c r="G195" s="267" t="s">
        <v>0</v>
      </c>
      <c r="H195" s="284">
        <v>669.19</v>
      </c>
      <c r="I195" s="269">
        <f t="shared" si="4"/>
        <v>852.95</v>
      </c>
      <c r="J195" s="1114"/>
      <c r="K195" s="270">
        <f t="shared" si="5"/>
        <v>118560.05</v>
      </c>
    </row>
    <row r="196" spans="2:11" s="989" customFormat="1">
      <c r="B196" s="294" t="s">
        <v>1322</v>
      </c>
      <c r="C196" s="273" t="s">
        <v>184</v>
      </c>
      <c r="D196" s="273" t="s">
        <v>1323</v>
      </c>
      <c r="E196" s="274" t="s">
        <v>3180</v>
      </c>
      <c r="F196" s="275">
        <v>24</v>
      </c>
      <c r="G196" s="266" t="s">
        <v>0</v>
      </c>
      <c r="H196" s="284">
        <v>218.85</v>
      </c>
      <c r="I196" s="269">
        <f t="shared" si="4"/>
        <v>278.95</v>
      </c>
      <c r="J196" s="1114"/>
      <c r="K196" s="270">
        <f t="shared" si="5"/>
        <v>6694.8</v>
      </c>
    </row>
    <row r="197" spans="2:11" s="989" customFormat="1">
      <c r="B197" s="294" t="s">
        <v>1324</v>
      </c>
      <c r="C197" s="273" t="s">
        <v>1099</v>
      </c>
      <c r="D197" s="273" t="s">
        <v>1267</v>
      </c>
      <c r="E197" s="274" t="s">
        <v>3160</v>
      </c>
      <c r="F197" s="275">
        <v>12305</v>
      </c>
      <c r="G197" s="266" t="s">
        <v>271</v>
      </c>
      <c r="H197" s="284">
        <v>12.75</v>
      </c>
      <c r="I197" s="269">
        <f t="shared" si="4"/>
        <v>16.25</v>
      </c>
      <c r="J197" s="1114"/>
      <c r="K197" s="270">
        <f t="shared" si="5"/>
        <v>199956.25</v>
      </c>
    </row>
    <row r="198" spans="2:11" s="989" customFormat="1" ht="51">
      <c r="B198" s="294" t="s">
        <v>1325</v>
      </c>
      <c r="C198" s="273" t="s">
        <v>1099</v>
      </c>
      <c r="D198" s="273" t="s">
        <v>1269</v>
      </c>
      <c r="E198" s="274" t="s">
        <v>3161</v>
      </c>
      <c r="F198" s="275">
        <v>805</v>
      </c>
      <c r="G198" s="266" t="s">
        <v>2</v>
      </c>
      <c r="H198" s="300">
        <v>97.36</v>
      </c>
      <c r="I198" s="269">
        <f t="shared" si="4"/>
        <v>124.1</v>
      </c>
      <c r="J198" s="1114"/>
      <c r="K198" s="270">
        <f t="shared" si="5"/>
        <v>99900.5</v>
      </c>
    </row>
    <row r="199" spans="2:11" s="989" customFormat="1">
      <c r="B199" s="294" t="s">
        <v>1326</v>
      </c>
      <c r="C199" s="273" t="s">
        <v>184</v>
      </c>
      <c r="D199" s="264" t="s">
        <v>1271</v>
      </c>
      <c r="E199" s="274" t="s">
        <v>3162</v>
      </c>
      <c r="F199" s="266">
        <v>83.4</v>
      </c>
      <c r="G199" s="267" t="s">
        <v>0</v>
      </c>
      <c r="H199" s="284">
        <v>269.99</v>
      </c>
      <c r="I199" s="269">
        <f t="shared" si="4"/>
        <v>344.13</v>
      </c>
      <c r="J199" s="1114"/>
      <c r="K199" s="270">
        <f t="shared" si="5"/>
        <v>28700.44</v>
      </c>
    </row>
    <row r="200" spans="2:11" s="989" customFormat="1" ht="51">
      <c r="B200" s="294" t="s">
        <v>1327</v>
      </c>
      <c r="C200" s="273" t="s">
        <v>184</v>
      </c>
      <c r="D200" s="273" t="s">
        <v>1328</v>
      </c>
      <c r="E200" s="274" t="s">
        <v>3181</v>
      </c>
      <c r="F200" s="275">
        <v>55.6</v>
      </c>
      <c r="G200" s="266" t="s">
        <v>0</v>
      </c>
      <c r="H200" s="284">
        <v>37.99</v>
      </c>
      <c r="I200" s="269">
        <f t="shared" si="4"/>
        <v>48.42</v>
      </c>
      <c r="J200" s="1114"/>
      <c r="K200" s="270">
        <f t="shared" si="5"/>
        <v>2692.15</v>
      </c>
    </row>
    <row r="201" spans="2:11" s="989" customFormat="1">
      <c r="B201" s="294" t="s">
        <v>1329</v>
      </c>
      <c r="C201" s="273" t="s">
        <v>182</v>
      </c>
      <c r="D201" s="273" t="s">
        <v>1330</v>
      </c>
      <c r="E201" s="274" t="s">
        <v>3182</v>
      </c>
      <c r="F201" s="275">
        <v>658</v>
      </c>
      <c r="G201" s="266" t="s">
        <v>0</v>
      </c>
      <c r="H201" s="284">
        <v>61.27</v>
      </c>
      <c r="I201" s="269">
        <f t="shared" si="4"/>
        <v>78.09</v>
      </c>
      <c r="J201" s="1114"/>
      <c r="K201" s="270">
        <f t="shared" si="5"/>
        <v>51383.22</v>
      </c>
    </row>
    <row r="202" spans="2:11" s="989" customFormat="1">
      <c r="B202" s="294" t="s">
        <v>1331</v>
      </c>
      <c r="C202" s="273" t="s">
        <v>1099</v>
      </c>
      <c r="D202" s="273" t="s">
        <v>1332</v>
      </c>
      <c r="E202" s="274" t="s">
        <v>3163</v>
      </c>
      <c r="F202" s="275">
        <v>190</v>
      </c>
      <c r="G202" s="266" t="s">
        <v>271</v>
      </c>
      <c r="H202" s="300">
        <v>11.88</v>
      </c>
      <c r="I202" s="269">
        <f t="shared" si="4"/>
        <v>15.14</v>
      </c>
      <c r="J202" s="1114"/>
      <c r="K202" s="270">
        <f t="shared" si="5"/>
        <v>2876.6</v>
      </c>
    </row>
    <row r="203" spans="2:11" s="989" customFormat="1">
      <c r="B203" s="294" t="s">
        <v>1333</v>
      </c>
      <c r="C203" s="273" t="s">
        <v>182</v>
      </c>
      <c r="D203" s="264" t="s">
        <v>1275</v>
      </c>
      <c r="E203" s="274" t="s">
        <v>3164</v>
      </c>
      <c r="F203" s="266">
        <v>483</v>
      </c>
      <c r="G203" s="267" t="s">
        <v>2</v>
      </c>
      <c r="H203" s="284">
        <v>61.27</v>
      </c>
      <c r="I203" s="269">
        <f t="shared" si="4"/>
        <v>78.09</v>
      </c>
      <c r="J203" s="1114"/>
      <c r="K203" s="270">
        <f t="shared" si="5"/>
        <v>37717.47</v>
      </c>
    </row>
    <row r="204" spans="2:11" s="989" customFormat="1">
      <c r="B204" s="294" t="s">
        <v>1334</v>
      </c>
      <c r="C204" s="273" t="s">
        <v>1092</v>
      </c>
      <c r="D204" s="273" t="s">
        <v>1335</v>
      </c>
      <c r="E204" s="274" t="s">
        <v>3183</v>
      </c>
      <c r="F204" s="275">
        <v>322</v>
      </c>
      <c r="G204" s="266" t="s">
        <v>2</v>
      </c>
      <c r="H204" s="284">
        <v>7.21</v>
      </c>
      <c r="I204" s="269">
        <f t="shared" si="4"/>
        <v>9.19</v>
      </c>
      <c r="J204" s="1114"/>
      <c r="K204" s="270">
        <f t="shared" si="5"/>
        <v>2959.18</v>
      </c>
    </row>
    <row r="205" spans="2:11" s="989" customFormat="1">
      <c r="B205" s="294" t="s">
        <v>1336</v>
      </c>
      <c r="C205" s="273" t="s">
        <v>184</v>
      </c>
      <c r="D205" s="273" t="s">
        <v>1337</v>
      </c>
      <c r="E205" s="274" t="s">
        <v>3184</v>
      </c>
      <c r="F205" s="275">
        <v>11</v>
      </c>
      <c r="G205" s="266" t="s">
        <v>0</v>
      </c>
      <c r="H205" s="284">
        <v>574.73</v>
      </c>
      <c r="I205" s="269">
        <f t="shared" si="4"/>
        <v>732.55</v>
      </c>
      <c r="J205" s="1114"/>
      <c r="K205" s="270">
        <f t="shared" si="5"/>
        <v>8058.05</v>
      </c>
    </row>
    <row r="206" spans="2:11" s="989" customFormat="1" ht="51">
      <c r="B206" s="294" t="s">
        <v>1338</v>
      </c>
      <c r="C206" s="273" t="s">
        <v>1099</v>
      </c>
      <c r="D206" s="273" t="s">
        <v>1339</v>
      </c>
      <c r="E206" s="274" t="s">
        <v>3393</v>
      </c>
      <c r="F206" s="275">
        <v>161</v>
      </c>
      <c r="G206" s="266" t="s">
        <v>1340</v>
      </c>
      <c r="H206" s="300">
        <v>162.76</v>
      </c>
      <c r="I206" s="269">
        <f t="shared" si="4"/>
        <v>207.45</v>
      </c>
      <c r="J206" s="1114"/>
      <c r="K206" s="270">
        <f t="shared" si="5"/>
        <v>33399.449999999997</v>
      </c>
    </row>
    <row r="207" spans="2:11" s="989" customFormat="1">
      <c r="B207" s="294" t="s">
        <v>1341</v>
      </c>
      <c r="C207" s="273" t="s">
        <v>1099</v>
      </c>
      <c r="D207" s="264" t="s">
        <v>1342</v>
      </c>
      <c r="E207" s="274" t="s">
        <v>3185</v>
      </c>
      <c r="F207" s="266">
        <v>23</v>
      </c>
      <c r="G207" s="267" t="s">
        <v>1093</v>
      </c>
      <c r="H207" s="284">
        <v>45.84</v>
      </c>
      <c r="I207" s="269">
        <f t="shared" si="4"/>
        <v>58.43</v>
      </c>
      <c r="J207" s="1114"/>
      <c r="K207" s="270">
        <f t="shared" si="5"/>
        <v>1343.89</v>
      </c>
    </row>
    <row r="208" spans="2:11" s="989" customFormat="1">
      <c r="B208" s="294" t="s">
        <v>1343</v>
      </c>
      <c r="C208" s="273"/>
      <c r="D208" s="273"/>
      <c r="E208" s="274" t="s">
        <v>3186</v>
      </c>
      <c r="F208" s="275"/>
      <c r="G208" s="266"/>
      <c r="H208" s="284"/>
      <c r="I208" s="269">
        <f t="shared" si="4"/>
        <v>0</v>
      </c>
      <c r="J208" s="1114"/>
      <c r="K208" s="270">
        <f t="shared" si="5"/>
        <v>0</v>
      </c>
    </row>
    <row r="209" spans="2:11" s="989" customFormat="1">
      <c r="B209" s="294" t="s">
        <v>1344</v>
      </c>
      <c r="C209" s="273" t="s">
        <v>1099</v>
      </c>
      <c r="D209" s="273" t="s">
        <v>1345</v>
      </c>
      <c r="E209" s="274" t="s">
        <v>3187</v>
      </c>
      <c r="F209" s="275">
        <v>2.5</v>
      </c>
      <c r="G209" s="266" t="s">
        <v>3</v>
      </c>
      <c r="H209" s="284">
        <v>1158.4000000000001</v>
      </c>
      <c r="I209" s="269">
        <f t="shared" si="4"/>
        <v>1476.5</v>
      </c>
      <c r="J209" s="1114"/>
      <c r="K209" s="270">
        <f t="shared" si="5"/>
        <v>3691.25</v>
      </c>
    </row>
    <row r="210" spans="2:11" s="989" customFormat="1">
      <c r="B210" s="294" t="s">
        <v>1346</v>
      </c>
      <c r="C210" s="273" t="s">
        <v>1099</v>
      </c>
      <c r="D210" s="273" t="s">
        <v>1347</v>
      </c>
      <c r="E210" s="274" t="s">
        <v>3188</v>
      </c>
      <c r="F210" s="275">
        <v>30</v>
      </c>
      <c r="G210" s="266" t="s">
        <v>3</v>
      </c>
      <c r="H210" s="300">
        <v>110.98</v>
      </c>
      <c r="I210" s="269">
        <f t="shared" si="4"/>
        <v>141.46</v>
      </c>
      <c r="J210" s="1114"/>
      <c r="K210" s="270">
        <f t="shared" si="5"/>
        <v>4243.8</v>
      </c>
    </row>
    <row r="211" spans="2:11" s="989" customFormat="1">
      <c r="B211" s="294" t="s">
        <v>1348</v>
      </c>
      <c r="C211" s="273" t="s">
        <v>1092</v>
      </c>
      <c r="D211" s="264" t="s">
        <v>1349</v>
      </c>
      <c r="E211" s="274" t="s">
        <v>3189</v>
      </c>
      <c r="F211" s="266">
        <v>2</v>
      </c>
      <c r="G211" s="267" t="s">
        <v>1093</v>
      </c>
      <c r="H211" s="284">
        <v>651</v>
      </c>
      <c r="I211" s="269">
        <f t="shared" si="4"/>
        <v>829.76</v>
      </c>
      <c r="J211" s="1114"/>
      <c r="K211" s="270">
        <f t="shared" si="5"/>
        <v>1659.52</v>
      </c>
    </row>
    <row r="212" spans="2:11" s="989" customFormat="1">
      <c r="B212" s="294" t="s">
        <v>1350</v>
      </c>
      <c r="C212" s="273" t="s">
        <v>1099</v>
      </c>
      <c r="D212" s="273" t="s">
        <v>1351</v>
      </c>
      <c r="E212" s="274" t="s">
        <v>3190</v>
      </c>
      <c r="F212" s="275">
        <v>1</v>
      </c>
      <c r="G212" s="266" t="s">
        <v>1093</v>
      </c>
      <c r="H212" s="284">
        <v>774.55</v>
      </c>
      <c r="I212" s="269">
        <f t="shared" si="4"/>
        <v>987.24</v>
      </c>
      <c r="J212" s="1114"/>
      <c r="K212" s="270">
        <f t="shared" si="5"/>
        <v>987.24</v>
      </c>
    </row>
    <row r="213" spans="2:11" s="989" customFormat="1">
      <c r="B213" s="294" t="s">
        <v>1352</v>
      </c>
      <c r="C213" s="273" t="s">
        <v>184</v>
      </c>
      <c r="D213" s="273" t="s">
        <v>1354</v>
      </c>
      <c r="E213" s="274" t="s">
        <v>3191</v>
      </c>
      <c r="F213" s="275">
        <v>1.68</v>
      </c>
      <c r="G213" s="266" t="s">
        <v>2</v>
      </c>
      <c r="H213" s="300">
        <v>295.36</v>
      </c>
      <c r="I213" s="269">
        <f t="shared" si="4"/>
        <v>376.47</v>
      </c>
      <c r="J213" s="1114"/>
      <c r="K213" s="270">
        <f t="shared" si="5"/>
        <v>632.47</v>
      </c>
    </row>
    <row r="214" spans="2:11" s="989" customFormat="1">
      <c r="B214" s="294" t="s">
        <v>1353</v>
      </c>
      <c r="C214" s="273" t="s">
        <v>1092</v>
      </c>
      <c r="D214" s="264" t="s">
        <v>1355</v>
      </c>
      <c r="E214" s="274" t="s">
        <v>3192</v>
      </c>
      <c r="F214" s="266">
        <v>2.9</v>
      </c>
      <c r="G214" s="267" t="s">
        <v>2</v>
      </c>
      <c r="H214" s="284">
        <v>461</v>
      </c>
      <c r="I214" s="269">
        <f t="shared" si="4"/>
        <v>587.59</v>
      </c>
      <c r="J214" s="1114"/>
      <c r="K214" s="270">
        <f t="shared" si="5"/>
        <v>1704.01</v>
      </c>
    </row>
    <row r="215" spans="2:11" s="989" customFormat="1">
      <c r="B215" s="294" t="s">
        <v>1356</v>
      </c>
      <c r="C215" s="273"/>
      <c r="D215" s="273"/>
      <c r="E215" s="274" t="s">
        <v>3193</v>
      </c>
      <c r="F215" s="275"/>
      <c r="G215" s="266"/>
      <c r="H215" s="284"/>
      <c r="I215" s="269">
        <f t="shared" ref="I215:I278" si="6">H215*(1+$I$16)</f>
        <v>0</v>
      </c>
      <c r="J215" s="1114"/>
      <c r="K215" s="270">
        <f t="shared" ref="K215:K278" si="7">I215*F215</f>
        <v>0</v>
      </c>
    </row>
    <row r="216" spans="2:11" s="989" customFormat="1">
      <c r="B216" s="294" t="s">
        <v>1357</v>
      </c>
      <c r="C216" s="273" t="s">
        <v>184</v>
      </c>
      <c r="D216" s="273" t="s">
        <v>1358</v>
      </c>
      <c r="E216" s="274" t="s">
        <v>3194</v>
      </c>
      <c r="F216" s="275">
        <v>120</v>
      </c>
      <c r="G216" s="266" t="s">
        <v>2</v>
      </c>
      <c r="H216" s="284">
        <v>112.78</v>
      </c>
      <c r="I216" s="269">
        <f t="shared" si="6"/>
        <v>143.75</v>
      </c>
      <c r="J216" s="1114"/>
      <c r="K216" s="270">
        <f t="shared" si="7"/>
        <v>17250</v>
      </c>
    </row>
    <row r="217" spans="2:11" s="989" customFormat="1">
      <c r="B217" s="294" t="s">
        <v>1359</v>
      </c>
      <c r="C217" s="273" t="s">
        <v>184</v>
      </c>
      <c r="D217" s="273" t="s">
        <v>1360</v>
      </c>
      <c r="E217" s="274" t="s">
        <v>3394</v>
      </c>
      <c r="F217" s="275">
        <v>12</v>
      </c>
      <c r="G217" s="266" t="s">
        <v>2</v>
      </c>
      <c r="H217" s="300">
        <v>150.91</v>
      </c>
      <c r="I217" s="269">
        <f t="shared" si="6"/>
        <v>192.35</v>
      </c>
      <c r="J217" s="1114"/>
      <c r="K217" s="270">
        <f t="shared" si="7"/>
        <v>2308.1999999999998</v>
      </c>
    </row>
    <row r="218" spans="2:11" s="989" customFormat="1">
      <c r="B218" s="294" t="s">
        <v>1361</v>
      </c>
      <c r="C218" s="273" t="s">
        <v>184</v>
      </c>
      <c r="D218" s="264" t="s">
        <v>1362</v>
      </c>
      <c r="E218" s="274" t="s">
        <v>3395</v>
      </c>
      <c r="F218" s="266">
        <v>28</v>
      </c>
      <c r="G218" s="267" t="s">
        <v>2</v>
      </c>
      <c r="H218" s="284">
        <v>138.49</v>
      </c>
      <c r="I218" s="269">
        <f t="shared" si="6"/>
        <v>176.52</v>
      </c>
      <c r="J218" s="1114"/>
      <c r="K218" s="270">
        <f t="shared" si="7"/>
        <v>4942.5600000000004</v>
      </c>
    </row>
    <row r="219" spans="2:11" s="989" customFormat="1">
      <c r="B219" s="294" t="s">
        <v>1363</v>
      </c>
      <c r="C219" s="273"/>
      <c r="D219" s="273"/>
      <c r="E219" s="274" t="s">
        <v>3195</v>
      </c>
      <c r="F219" s="275"/>
      <c r="G219" s="266"/>
      <c r="H219" s="284"/>
      <c r="I219" s="269">
        <f t="shared" si="6"/>
        <v>0</v>
      </c>
      <c r="J219" s="1114"/>
      <c r="K219" s="270">
        <f t="shared" si="7"/>
        <v>0</v>
      </c>
    </row>
    <row r="220" spans="2:11" s="989" customFormat="1" ht="51">
      <c r="B220" s="294" t="s">
        <v>1364</v>
      </c>
      <c r="C220" s="273" t="s">
        <v>1099</v>
      </c>
      <c r="D220" s="273" t="s">
        <v>1365</v>
      </c>
      <c r="E220" s="274" t="s">
        <v>3196</v>
      </c>
      <c r="F220" s="275">
        <v>240</v>
      </c>
      <c r="G220" s="266" t="s">
        <v>2</v>
      </c>
      <c r="H220" s="284">
        <v>19.8</v>
      </c>
      <c r="I220" s="269">
        <f t="shared" si="6"/>
        <v>25.24</v>
      </c>
      <c r="J220" s="1114"/>
      <c r="K220" s="270">
        <f t="shared" si="7"/>
        <v>6057.6</v>
      </c>
    </row>
    <row r="221" spans="2:11" s="989" customFormat="1">
      <c r="B221" s="294" t="s">
        <v>1366</v>
      </c>
      <c r="C221" s="273" t="s">
        <v>182</v>
      </c>
      <c r="D221" s="273" t="s">
        <v>1367</v>
      </c>
      <c r="E221" s="274" t="s">
        <v>3197</v>
      </c>
      <c r="F221" s="275">
        <v>240</v>
      </c>
      <c r="G221" s="266" t="s">
        <v>2</v>
      </c>
      <c r="H221" s="300">
        <v>37.07</v>
      </c>
      <c r="I221" s="269">
        <f t="shared" si="6"/>
        <v>47.25</v>
      </c>
      <c r="J221" s="1114"/>
      <c r="K221" s="270">
        <f t="shared" si="7"/>
        <v>11340</v>
      </c>
    </row>
    <row r="222" spans="2:11" s="989" customFormat="1">
      <c r="B222" s="294" t="s">
        <v>1368</v>
      </c>
      <c r="C222" s="273" t="s">
        <v>184</v>
      </c>
      <c r="D222" s="264" t="s">
        <v>1369</v>
      </c>
      <c r="E222" s="274" t="s">
        <v>3198</v>
      </c>
      <c r="F222" s="266">
        <v>166</v>
      </c>
      <c r="G222" s="267" t="s">
        <v>2</v>
      </c>
      <c r="H222" s="284">
        <v>13.48</v>
      </c>
      <c r="I222" s="269">
        <f t="shared" si="6"/>
        <v>17.18</v>
      </c>
      <c r="J222" s="1114"/>
      <c r="K222" s="270">
        <f t="shared" si="7"/>
        <v>2851.88</v>
      </c>
    </row>
    <row r="223" spans="2:11" s="989" customFormat="1">
      <c r="B223" s="294" t="s">
        <v>1370</v>
      </c>
      <c r="C223" s="273" t="s">
        <v>184</v>
      </c>
      <c r="D223" s="273" t="s">
        <v>1371</v>
      </c>
      <c r="E223" s="274" t="s">
        <v>3199</v>
      </c>
      <c r="F223" s="275">
        <v>15</v>
      </c>
      <c r="G223" s="266" t="s">
        <v>2</v>
      </c>
      <c r="H223" s="284">
        <v>16.46</v>
      </c>
      <c r="I223" s="269">
        <f t="shared" si="6"/>
        <v>20.98</v>
      </c>
      <c r="J223" s="1114"/>
      <c r="K223" s="270">
        <f t="shared" si="7"/>
        <v>314.7</v>
      </c>
    </row>
    <row r="224" spans="2:11" s="989" customFormat="1">
      <c r="B224" s="294" t="s">
        <v>1372</v>
      </c>
      <c r="C224" s="273" t="s">
        <v>184</v>
      </c>
      <c r="D224" s="273" t="s">
        <v>1373</v>
      </c>
      <c r="E224" s="274" t="s">
        <v>3200</v>
      </c>
      <c r="F224" s="275">
        <v>7</v>
      </c>
      <c r="G224" s="266" t="s">
        <v>2</v>
      </c>
      <c r="H224" s="284">
        <v>27.29</v>
      </c>
      <c r="I224" s="269">
        <f t="shared" si="6"/>
        <v>34.78</v>
      </c>
      <c r="J224" s="1114"/>
      <c r="K224" s="270">
        <f t="shared" si="7"/>
        <v>243.46</v>
      </c>
    </row>
    <row r="225" spans="2:11" s="989" customFormat="1">
      <c r="B225" s="294" t="s">
        <v>1374</v>
      </c>
      <c r="C225" s="273" t="s">
        <v>182</v>
      </c>
      <c r="D225" s="273" t="s">
        <v>1375</v>
      </c>
      <c r="E225" s="274" t="s">
        <v>3201</v>
      </c>
      <c r="F225" s="275">
        <v>112</v>
      </c>
      <c r="G225" s="266" t="s">
        <v>2</v>
      </c>
      <c r="H225" s="300">
        <v>44.73</v>
      </c>
      <c r="I225" s="269">
        <f t="shared" si="6"/>
        <v>57.01</v>
      </c>
      <c r="J225" s="1114"/>
      <c r="K225" s="270">
        <f t="shared" si="7"/>
        <v>6385.12</v>
      </c>
    </row>
    <row r="226" spans="2:11" s="989" customFormat="1">
      <c r="B226" s="294" t="s">
        <v>1376</v>
      </c>
      <c r="C226" s="273" t="s">
        <v>184</v>
      </c>
      <c r="D226" s="264" t="s">
        <v>1377</v>
      </c>
      <c r="E226" s="274" t="s">
        <v>3202</v>
      </c>
      <c r="F226" s="266">
        <v>81</v>
      </c>
      <c r="G226" s="267" t="s">
        <v>2</v>
      </c>
      <c r="H226" s="284">
        <v>21.05</v>
      </c>
      <c r="I226" s="269">
        <f t="shared" si="6"/>
        <v>26.83</v>
      </c>
      <c r="J226" s="1114"/>
      <c r="K226" s="270">
        <f t="shared" si="7"/>
        <v>2173.23</v>
      </c>
    </row>
    <row r="227" spans="2:11" s="989" customFormat="1">
      <c r="B227" s="294" t="s">
        <v>1378</v>
      </c>
      <c r="C227" s="273" t="s">
        <v>184</v>
      </c>
      <c r="D227" s="273" t="s">
        <v>1379</v>
      </c>
      <c r="E227" s="274" t="s">
        <v>3203</v>
      </c>
      <c r="F227" s="275">
        <v>81</v>
      </c>
      <c r="G227" s="266" t="s">
        <v>2</v>
      </c>
      <c r="H227" s="284">
        <v>76.67</v>
      </c>
      <c r="I227" s="269">
        <f t="shared" si="6"/>
        <v>97.72</v>
      </c>
      <c r="J227" s="1114"/>
      <c r="K227" s="270">
        <f t="shared" si="7"/>
        <v>7915.32</v>
      </c>
    </row>
    <row r="228" spans="2:11" s="989" customFormat="1">
      <c r="B228" s="294" t="s">
        <v>1380</v>
      </c>
      <c r="C228" s="273" t="s">
        <v>1099</v>
      </c>
      <c r="D228" s="273" t="s">
        <v>1381</v>
      </c>
      <c r="E228" s="274" t="s">
        <v>3204</v>
      </c>
      <c r="F228" s="275">
        <v>175</v>
      </c>
      <c r="G228" s="266" t="s">
        <v>2</v>
      </c>
      <c r="H228" s="284">
        <v>56</v>
      </c>
      <c r="I228" s="269">
        <f t="shared" si="6"/>
        <v>71.38</v>
      </c>
      <c r="J228" s="1114"/>
      <c r="K228" s="270">
        <f t="shared" si="7"/>
        <v>12491.5</v>
      </c>
    </row>
    <row r="229" spans="2:11" s="989" customFormat="1">
      <c r="B229" s="294" t="s">
        <v>1382</v>
      </c>
      <c r="C229" s="273" t="s">
        <v>1099</v>
      </c>
      <c r="D229" s="273" t="s">
        <v>1381</v>
      </c>
      <c r="E229" s="274" t="s">
        <v>3205</v>
      </c>
      <c r="F229" s="275">
        <v>720</v>
      </c>
      <c r="G229" s="266" t="s">
        <v>2</v>
      </c>
      <c r="H229" s="300">
        <v>56</v>
      </c>
      <c r="I229" s="269">
        <f t="shared" si="6"/>
        <v>71.38</v>
      </c>
      <c r="J229" s="1114"/>
      <c r="K229" s="270">
        <f t="shared" si="7"/>
        <v>51393.599999999999</v>
      </c>
    </row>
    <row r="230" spans="2:11" s="989" customFormat="1">
      <c r="B230" s="294" t="s">
        <v>1383</v>
      </c>
      <c r="C230" s="273" t="s">
        <v>184</v>
      </c>
      <c r="D230" s="264" t="s">
        <v>1323</v>
      </c>
      <c r="E230" s="274" t="s">
        <v>3180</v>
      </c>
      <c r="F230" s="266">
        <v>113</v>
      </c>
      <c r="G230" s="267" t="s">
        <v>2</v>
      </c>
      <c r="H230" s="284">
        <v>218.85</v>
      </c>
      <c r="I230" s="269">
        <f t="shared" si="6"/>
        <v>278.95</v>
      </c>
      <c r="J230" s="1114"/>
      <c r="K230" s="270">
        <f t="shared" si="7"/>
        <v>31521.35</v>
      </c>
    </row>
    <row r="231" spans="2:11" s="989" customFormat="1" ht="51">
      <c r="B231" s="294" t="s">
        <v>1384</v>
      </c>
      <c r="C231" s="273" t="s">
        <v>1099</v>
      </c>
      <c r="D231" s="273" t="s">
        <v>1385</v>
      </c>
      <c r="E231" s="274" t="s">
        <v>3206</v>
      </c>
      <c r="F231" s="275">
        <v>720</v>
      </c>
      <c r="G231" s="266" t="s">
        <v>2</v>
      </c>
      <c r="H231" s="284">
        <v>78.64</v>
      </c>
      <c r="I231" s="269">
        <f t="shared" si="6"/>
        <v>100.23</v>
      </c>
      <c r="J231" s="1114"/>
      <c r="K231" s="270">
        <f t="shared" si="7"/>
        <v>72165.600000000006</v>
      </c>
    </row>
    <row r="232" spans="2:11" s="989" customFormat="1" ht="51">
      <c r="B232" s="294" t="s">
        <v>1386</v>
      </c>
      <c r="C232" s="273"/>
      <c r="D232" s="273"/>
      <c r="E232" s="274" t="s">
        <v>3207</v>
      </c>
      <c r="F232" s="275"/>
      <c r="G232" s="266"/>
      <c r="H232" s="284"/>
      <c r="I232" s="269">
        <f t="shared" si="6"/>
        <v>0</v>
      </c>
      <c r="J232" s="1114"/>
      <c r="K232" s="270">
        <f t="shared" si="7"/>
        <v>0</v>
      </c>
    </row>
    <row r="233" spans="2:11" s="989" customFormat="1">
      <c r="B233" s="294" t="s">
        <v>1387</v>
      </c>
      <c r="C233" s="273" t="s">
        <v>1099</v>
      </c>
      <c r="D233" s="273" t="s">
        <v>1388</v>
      </c>
      <c r="E233" s="274" t="s">
        <v>3208</v>
      </c>
      <c r="F233" s="275">
        <v>1</v>
      </c>
      <c r="G233" s="266" t="s">
        <v>1093</v>
      </c>
      <c r="H233" s="300">
        <v>5191.6499999999996</v>
      </c>
      <c r="I233" s="269">
        <f t="shared" si="6"/>
        <v>6617.28</v>
      </c>
      <c r="J233" s="1114"/>
      <c r="K233" s="270">
        <f t="shared" si="7"/>
        <v>6617.28</v>
      </c>
    </row>
    <row r="234" spans="2:11" s="989" customFormat="1" ht="49.15" customHeight="1">
      <c r="B234" s="294" t="s">
        <v>1389</v>
      </c>
      <c r="C234" s="273" t="s">
        <v>1099</v>
      </c>
      <c r="D234" s="264" t="s">
        <v>1390</v>
      </c>
      <c r="E234" s="274" t="s">
        <v>3209</v>
      </c>
      <c r="F234" s="266">
        <v>1</v>
      </c>
      <c r="G234" s="267" t="s">
        <v>1093</v>
      </c>
      <c r="H234" s="284">
        <v>844.87</v>
      </c>
      <c r="I234" s="269">
        <f t="shared" si="6"/>
        <v>1076.8699999999999</v>
      </c>
      <c r="J234" s="1114"/>
      <c r="K234" s="270">
        <f t="shared" si="7"/>
        <v>1076.8699999999999</v>
      </c>
    </row>
    <row r="235" spans="2:11" s="989" customFormat="1" ht="51">
      <c r="B235" s="294" t="s">
        <v>1391</v>
      </c>
      <c r="C235" s="273" t="s">
        <v>1099</v>
      </c>
      <c r="D235" s="273" t="s">
        <v>1392</v>
      </c>
      <c r="E235" s="274" t="s">
        <v>3210</v>
      </c>
      <c r="F235" s="275">
        <v>1</v>
      </c>
      <c r="G235" s="266" t="s">
        <v>1093</v>
      </c>
      <c r="H235" s="284">
        <v>2486.14</v>
      </c>
      <c r="I235" s="269">
        <f t="shared" si="6"/>
        <v>3168.83</v>
      </c>
      <c r="J235" s="1114"/>
      <c r="K235" s="270">
        <f t="shared" si="7"/>
        <v>3168.83</v>
      </c>
    </row>
    <row r="236" spans="2:11" s="989" customFormat="1">
      <c r="B236" s="294" t="s">
        <v>1393</v>
      </c>
      <c r="C236" s="273" t="s">
        <v>1099</v>
      </c>
      <c r="D236" s="273" t="s">
        <v>1286</v>
      </c>
      <c r="E236" s="274" t="s">
        <v>3396</v>
      </c>
      <c r="F236" s="275">
        <v>1</v>
      </c>
      <c r="G236" s="266" t="s">
        <v>1093</v>
      </c>
      <c r="H236" s="284">
        <v>3789.15</v>
      </c>
      <c r="I236" s="269">
        <f t="shared" si="6"/>
        <v>4829.6499999999996</v>
      </c>
      <c r="J236" s="1114"/>
      <c r="K236" s="270">
        <f t="shared" si="7"/>
        <v>4829.6499999999996</v>
      </c>
    </row>
    <row r="237" spans="2:11" s="989" customFormat="1">
      <c r="B237" s="294" t="s">
        <v>1394</v>
      </c>
      <c r="C237" s="273" t="s">
        <v>1092</v>
      </c>
      <c r="D237" s="273" t="s">
        <v>1395</v>
      </c>
      <c r="E237" s="274" t="s">
        <v>3211</v>
      </c>
      <c r="F237" s="275">
        <v>1</v>
      </c>
      <c r="G237" s="266" t="s">
        <v>1093</v>
      </c>
      <c r="H237" s="300">
        <v>1590</v>
      </c>
      <c r="I237" s="269">
        <f t="shared" si="6"/>
        <v>2026.61</v>
      </c>
      <c r="J237" s="1114"/>
      <c r="K237" s="270">
        <f t="shared" si="7"/>
        <v>2026.61</v>
      </c>
    </row>
    <row r="238" spans="2:11" s="989" customFormat="1">
      <c r="B238" s="294" t="s">
        <v>1396</v>
      </c>
      <c r="C238" s="273" t="s">
        <v>1099</v>
      </c>
      <c r="D238" s="264" t="s">
        <v>1397</v>
      </c>
      <c r="E238" s="274" t="s">
        <v>3212</v>
      </c>
      <c r="F238" s="266">
        <v>1</v>
      </c>
      <c r="G238" s="267" t="s">
        <v>1093</v>
      </c>
      <c r="H238" s="284">
        <v>879.99</v>
      </c>
      <c r="I238" s="269">
        <f t="shared" si="6"/>
        <v>1121.6400000000001</v>
      </c>
      <c r="J238" s="1114"/>
      <c r="K238" s="270">
        <f t="shared" si="7"/>
        <v>1121.6400000000001</v>
      </c>
    </row>
    <row r="239" spans="2:11" s="989" customFormat="1" ht="51">
      <c r="B239" s="294" t="s">
        <v>1398</v>
      </c>
      <c r="C239" s="273" t="s">
        <v>1099</v>
      </c>
      <c r="D239" s="273" t="s">
        <v>1399</v>
      </c>
      <c r="E239" s="274" t="s">
        <v>3213</v>
      </c>
      <c r="F239" s="275">
        <v>1</v>
      </c>
      <c r="G239" s="266" t="s">
        <v>1093</v>
      </c>
      <c r="H239" s="284">
        <v>1304.93</v>
      </c>
      <c r="I239" s="269">
        <f t="shared" si="6"/>
        <v>1663.26</v>
      </c>
      <c r="J239" s="1114"/>
      <c r="K239" s="270">
        <f t="shared" si="7"/>
        <v>1663.26</v>
      </c>
    </row>
    <row r="240" spans="2:11" s="989" customFormat="1" ht="51">
      <c r="B240" s="294" t="s">
        <v>1400</v>
      </c>
      <c r="C240" s="273" t="s">
        <v>1092</v>
      </c>
      <c r="D240" s="273" t="s">
        <v>1145</v>
      </c>
      <c r="E240" s="274" t="s">
        <v>3214</v>
      </c>
      <c r="F240" s="275">
        <v>2</v>
      </c>
      <c r="G240" s="266" t="s">
        <v>1093</v>
      </c>
      <c r="H240" s="284">
        <v>1700</v>
      </c>
      <c r="I240" s="269">
        <f t="shared" si="6"/>
        <v>2166.8200000000002</v>
      </c>
      <c r="J240" s="1114"/>
      <c r="K240" s="270">
        <f t="shared" si="7"/>
        <v>4333.6400000000003</v>
      </c>
    </row>
    <row r="241" spans="2:11" s="989" customFormat="1" ht="51">
      <c r="B241" s="294" t="s">
        <v>1401</v>
      </c>
      <c r="C241" s="273" t="s">
        <v>1099</v>
      </c>
      <c r="D241" s="273" t="s">
        <v>1402</v>
      </c>
      <c r="E241" s="274" t="s">
        <v>3215</v>
      </c>
      <c r="F241" s="275">
        <v>8</v>
      </c>
      <c r="G241" s="266" t="s">
        <v>1093</v>
      </c>
      <c r="H241" s="300">
        <v>646.20000000000005</v>
      </c>
      <c r="I241" s="269">
        <f t="shared" si="6"/>
        <v>823.65</v>
      </c>
      <c r="J241" s="1114"/>
      <c r="K241" s="270">
        <f t="shared" si="7"/>
        <v>6589.2</v>
      </c>
    </row>
    <row r="242" spans="2:11" s="989" customFormat="1">
      <c r="B242" s="294" t="s">
        <v>1403</v>
      </c>
      <c r="C242" s="273" t="s">
        <v>1099</v>
      </c>
      <c r="D242" s="264" t="s">
        <v>1137</v>
      </c>
      <c r="E242" s="274" t="s">
        <v>3216</v>
      </c>
      <c r="F242" s="266">
        <v>12</v>
      </c>
      <c r="G242" s="267" t="s">
        <v>1093</v>
      </c>
      <c r="H242" s="284">
        <v>414.12</v>
      </c>
      <c r="I242" s="269">
        <f t="shared" si="6"/>
        <v>527.84</v>
      </c>
      <c r="J242" s="1114"/>
      <c r="K242" s="270">
        <f t="shared" si="7"/>
        <v>6334.08</v>
      </c>
    </row>
    <row r="243" spans="2:11" s="989" customFormat="1">
      <c r="B243" s="294" t="s">
        <v>1404</v>
      </c>
      <c r="C243" s="273" t="s">
        <v>1092</v>
      </c>
      <c r="D243" s="273" t="s">
        <v>1195</v>
      </c>
      <c r="E243" s="274" t="s">
        <v>3150</v>
      </c>
      <c r="F243" s="275">
        <v>1</v>
      </c>
      <c r="G243" s="266" t="s">
        <v>1093</v>
      </c>
      <c r="H243" s="284">
        <v>1900</v>
      </c>
      <c r="I243" s="269">
        <f t="shared" si="6"/>
        <v>2421.7399999999998</v>
      </c>
      <c r="J243" s="1114"/>
      <c r="K243" s="270">
        <f t="shared" si="7"/>
        <v>2421.7399999999998</v>
      </c>
    </row>
    <row r="244" spans="2:11" s="989" customFormat="1" ht="51">
      <c r="B244" s="294" t="s">
        <v>1405</v>
      </c>
      <c r="C244" s="273"/>
      <c r="D244" s="273"/>
      <c r="E244" s="274" t="s">
        <v>3217</v>
      </c>
      <c r="F244" s="275"/>
      <c r="G244" s="266"/>
      <c r="H244" s="284"/>
      <c r="I244" s="269">
        <f t="shared" si="6"/>
        <v>0</v>
      </c>
      <c r="J244" s="1114"/>
      <c r="K244" s="270">
        <f t="shared" si="7"/>
        <v>0</v>
      </c>
    </row>
    <row r="245" spans="2:11" s="989" customFormat="1">
      <c r="B245" s="294" t="s">
        <v>1406</v>
      </c>
      <c r="C245" s="273" t="s">
        <v>1099</v>
      </c>
      <c r="D245" s="273" t="s">
        <v>1397</v>
      </c>
      <c r="E245" s="274" t="s">
        <v>3212</v>
      </c>
      <c r="F245" s="275">
        <v>2</v>
      </c>
      <c r="G245" s="266" t="s">
        <v>1093</v>
      </c>
      <c r="H245" s="300">
        <v>879.99</v>
      </c>
      <c r="I245" s="269">
        <f t="shared" si="6"/>
        <v>1121.6400000000001</v>
      </c>
      <c r="J245" s="1114"/>
      <c r="K245" s="270">
        <f t="shared" si="7"/>
        <v>2243.2800000000002</v>
      </c>
    </row>
    <row r="246" spans="2:11" s="989" customFormat="1">
      <c r="B246" s="294" t="s">
        <v>1407</v>
      </c>
      <c r="C246" s="273" t="s">
        <v>1099</v>
      </c>
      <c r="D246" s="264" t="s">
        <v>1408</v>
      </c>
      <c r="E246" s="274" t="s">
        <v>3397</v>
      </c>
      <c r="F246" s="266">
        <v>2</v>
      </c>
      <c r="G246" s="267" t="s">
        <v>1093</v>
      </c>
      <c r="H246" s="284">
        <v>827.51</v>
      </c>
      <c r="I246" s="269">
        <f t="shared" si="6"/>
        <v>1054.74</v>
      </c>
      <c r="J246" s="1114"/>
      <c r="K246" s="270">
        <f t="shared" si="7"/>
        <v>2109.48</v>
      </c>
    </row>
    <row r="247" spans="2:11" s="989" customFormat="1">
      <c r="B247" s="294" t="s">
        <v>1409</v>
      </c>
      <c r="C247" s="273" t="s">
        <v>1092</v>
      </c>
      <c r="D247" s="273" t="s">
        <v>1410</v>
      </c>
      <c r="E247" s="274" t="s">
        <v>3398</v>
      </c>
      <c r="F247" s="275">
        <v>2</v>
      </c>
      <c r="G247" s="266" t="s">
        <v>1093</v>
      </c>
      <c r="H247" s="284">
        <v>1191</v>
      </c>
      <c r="I247" s="269">
        <f t="shared" si="6"/>
        <v>1518.05</v>
      </c>
      <c r="J247" s="1114"/>
      <c r="K247" s="270">
        <f t="shared" si="7"/>
        <v>3036.1</v>
      </c>
    </row>
    <row r="248" spans="2:11" s="989" customFormat="1" ht="51">
      <c r="B248" s="294" t="s">
        <v>1411</v>
      </c>
      <c r="C248" s="273" t="s">
        <v>1099</v>
      </c>
      <c r="D248" s="273" t="s">
        <v>1399</v>
      </c>
      <c r="E248" s="274" t="s">
        <v>3213</v>
      </c>
      <c r="F248" s="275">
        <v>2</v>
      </c>
      <c r="G248" s="266" t="s">
        <v>1093</v>
      </c>
      <c r="H248" s="284">
        <v>1304.93</v>
      </c>
      <c r="I248" s="269">
        <f t="shared" si="6"/>
        <v>1663.26</v>
      </c>
      <c r="J248" s="1114"/>
      <c r="K248" s="270">
        <f t="shared" si="7"/>
        <v>3326.52</v>
      </c>
    </row>
    <row r="249" spans="2:11" s="989" customFormat="1">
      <c r="B249" s="294" t="s">
        <v>1412</v>
      </c>
      <c r="C249" s="273" t="s">
        <v>1099</v>
      </c>
      <c r="D249" s="273" t="s">
        <v>1413</v>
      </c>
      <c r="E249" s="274" t="s">
        <v>3399</v>
      </c>
      <c r="F249" s="275">
        <v>2</v>
      </c>
      <c r="G249" s="266" t="s">
        <v>1093</v>
      </c>
      <c r="H249" s="300">
        <v>923.02</v>
      </c>
      <c r="I249" s="269">
        <f t="shared" si="6"/>
        <v>1176.48</v>
      </c>
      <c r="J249" s="1114"/>
      <c r="K249" s="270">
        <f t="shared" si="7"/>
        <v>2352.96</v>
      </c>
    </row>
    <row r="250" spans="2:11" s="989" customFormat="1">
      <c r="B250" s="294" t="s">
        <v>1414</v>
      </c>
      <c r="C250" s="273" t="s">
        <v>1099</v>
      </c>
      <c r="D250" s="264" t="s">
        <v>1415</v>
      </c>
      <c r="E250" s="274" t="s">
        <v>3218</v>
      </c>
      <c r="F250" s="266">
        <v>2</v>
      </c>
      <c r="G250" s="267" t="s">
        <v>1093</v>
      </c>
      <c r="H250" s="284">
        <v>789.36</v>
      </c>
      <c r="I250" s="269">
        <f t="shared" si="6"/>
        <v>1006.12</v>
      </c>
      <c r="J250" s="1114"/>
      <c r="K250" s="270">
        <f t="shared" si="7"/>
        <v>2012.24</v>
      </c>
    </row>
    <row r="251" spans="2:11" s="989" customFormat="1">
      <c r="B251" s="294" t="s">
        <v>1416</v>
      </c>
      <c r="C251" s="273" t="s">
        <v>1099</v>
      </c>
      <c r="D251" s="273" t="s">
        <v>1417</v>
      </c>
      <c r="E251" s="274" t="s">
        <v>3400</v>
      </c>
      <c r="F251" s="275">
        <v>2</v>
      </c>
      <c r="G251" s="266" t="s">
        <v>1093</v>
      </c>
      <c r="H251" s="284">
        <v>555.46</v>
      </c>
      <c r="I251" s="269">
        <f t="shared" si="6"/>
        <v>707.99</v>
      </c>
      <c r="J251" s="1114"/>
      <c r="K251" s="270">
        <f t="shared" si="7"/>
        <v>1415.98</v>
      </c>
    </row>
    <row r="252" spans="2:11" s="989" customFormat="1" ht="51">
      <c r="B252" s="294" t="s">
        <v>1418</v>
      </c>
      <c r="C252" s="273" t="s">
        <v>1092</v>
      </c>
      <c r="D252" s="273" t="s">
        <v>1419</v>
      </c>
      <c r="E252" s="274" t="s">
        <v>3219</v>
      </c>
      <c r="F252" s="275">
        <v>2</v>
      </c>
      <c r="G252" s="266" t="s">
        <v>1093</v>
      </c>
      <c r="H252" s="284">
        <v>4100</v>
      </c>
      <c r="I252" s="269">
        <f t="shared" si="6"/>
        <v>5225.8599999999997</v>
      </c>
      <c r="J252" s="1114"/>
      <c r="K252" s="270">
        <f t="shared" si="7"/>
        <v>10451.719999999999</v>
      </c>
    </row>
    <row r="253" spans="2:11" s="989" customFormat="1">
      <c r="B253" s="294" t="s">
        <v>1420</v>
      </c>
      <c r="C253" s="273" t="s">
        <v>1099</v>
      </c>
      <c r="D253" s="273" t="s">
        <v>1421</v>
      </c>
      <c r="E253" s="274" t="s">
        <v>3401</v>
      </c>
      <c r="F253" s="275">
        <v>1</v>
      </c>
      <c r="G253" s="266" t="s">
        <v>1093</v>
      </c>
      <c r="H253" s="300">
        <v>2581.3200000000002</v>
      </c>
      <c r="I253" s="269">
        <f t="shared" si="6"/>
        <v>3290.15</v>
      </c>
      <c r="J253" s="1114"/>
      <c r="K253" s="270">
        <f t="shared" si="7"/>
        <v>3290.15</v>
      </c>
    </row>
    <row r="254" spans="2:11" s="989" customFormat="1" ht="51">
      <c r="B254" s="294" t="s">
        <v>1422</v>
      </c>
      <c r="C254" s="273" t="s">
        <v>1092</v>
      </c>
      <c r="D254" s="264" t="s">
        <v>1159</v>
      </c>
      <c r="E254" s="274" t="s">
        <v>3220</v>
      </c>
      <c r="F254" s="266">
        <v>1</v>
      </c>
      <c r="G254" s="267" t="s">
        <v>1093</v>
      </c>
      <c r="H254" s="284">
        <v>1250</v>
      </c>
      <c r="I254" s="269">
        <f t="shared" si="6"/>
        <v>1593.25</v>
      </c>
      <c r="J254" s="1114"/>
      <c r="K254" s="270">
        <f t="shared" si="7"/>
        <v>1593.25</v>
      </c>
    </row>
    <row r="255" spans="2:11" s="989" customFormat="1">
      <c r="B255" s="294" t="s">
        <v>1423</v>
      </c>
      <c r="C255" s="273" t="s">
        <v>1099</v>
      </c>
      <c r="D255" s="273" t="s">
        <v>1143</v>
      </c>
      <c r="E255" s="274" t="s">
        <v>3130</v>
      </c>
      <c r="F255" s="275">
        <v>1</v>
      </c>
      <c r="G255" s="266" t="s">
        <v>1093</v>
      </c>
      <c r="H255" s="284">
        <v>1822.38</v>
      </c>
      <c r="I255" s="269">
        <f t="shared" si="6"/>
        <v>2322.81</v>
      </c>
      <c r="J255" s="1114"/>
      <c r="K255" s="270">
        <f t="shared" si="7"/>
        <v>2322.81</v>
      </c>
    </row>
    <row r="256" spans="2:11" s="989" customFormat="1">
      <c r="B256" s="294" t="s">
        <v>1424</v>
      </c>
      <c r="C256" s="273" t="s">
        <v>1099</v>
      </c>
      <c r="D256" s="273" t="s">
        <v>1425</v>
      </c>
      <c r="E256" s="274" t="s">
        <v>3402</v>
      </c>
      <c r="F256" s="275">
        <v>1</v>
      </c>
      <c r="G256" s="266" t="s">
        <v>1093</v>
      </c>
      <c r="H256" s="284">
        <v>730.14</v>
      </c>
      <c r="I256" s="269">
        <f t="shared" si="6"/>
        <v>930.64</v>
      </c>
      <c r="J256" s="1114"/>
      <c r="K256" s="270">
        <f t="shared" si="7"/>
        <v>930.64</v>
      </c>
    </row>
    <row r="257" spans="2:11" s="989" customFormat="1">
      <c r="B257" s="294" t="s">
        <v>1426</v>
      </c>
      <c r="C257" s="273" t="s">
        <v>1099</v>
      </c>
      <c r="D257" s="273" t="s">
        <v>1427</v>
      </c>
      <c r="E257" s="274" t="s">
        <v>3221</v>
      </c>
      <c r="F257" s="275">
        <v>3</v>
      </c>
      <c r="G257" s="266" t="s">
        <v>1093</v>
      </c>
      <c r="H257" s="300">
        <v>635.27</v>
      </c>
      <c r="I257" s="269">
        <f t="shared" si="6"/>
        <v>809.72</v>
      </c>
      <c r="J257" s="1114"/>
      <c r="K257" s="270">
        <f t="shared" si="7"/>
        <v>2429.16</v>
      </c>
    </row>
    <row r="258" spans="2:11" s="989" customFormat="1">
      <c r="B258" s="294" t="s">
        <v>1428</v>
      </c>
      <c r="C258" s="273" t="s">
        <v>1099</v>
      </c>
      <c r="D258" s="264" t="s">
        <v>1421</v>
      </c>
      <c r="E258" s="274" t="s">
        <v>3401</v>
      </c>
      <c r="F258" s="266">
        <v>1</v>
      </c>
      <c r="G258" s="267" t="s">
        <v>1093</v>
      </c>
      <c r="H258" s="284">
        <v>2581.3200000000002</v>
      </c>
      <c r="I258" s="269">
        <f t="shared" si="6"/>
        <v>3290.15</v>
      </c>
      <c r="J258" s="1114"/>
      <c r="K258" s="270">
        <f t="shared" si="7"/>
        <v>3290.15</v>
      </c>
    </row>
    <row r="259" spans="2:11" s="989" customFormat="1">
      <c r="B259" s="294" t="s">
        <v>1429</v>
      </c>
      <c r="C259" s="273" t="s">
        <v>1092</v>
      </c>
      <c r="D259" s="273" t="s">
        <v>1430</v>
      </c>
      <c r="E259" s="274" t="s">
        <v>3403</v>
      </c>
      <c r="F259" s="275">
        <v>2</v>
      </c>
      <c r="G259" s="266" t="s">
        <v>1093</v>
      </c>
      <c r="H259" s="284">
        <v>959</v>
      </c>
      <c r="I259" s="269">
        <f t="shared" si="6"/>
        <v>1222.3399999999999</v>
      </c>
      <c r="J259" s="1114"/>
      <c r="K259" s="270">
        <f t="shared" si="7"/>
        <v>2444.6799999999998</v>
      </c>
    </row>
    <row r="260" spans="2:11" s="989" customFormat="1" ht="51">
      <c r="B260" s="294" t="s">
        <v>1431</v>
      </c>
      <c r="C260" s="273" t="s">
        <v>1092</v>
      </c>
      <c r="D260" s="273" t="s">
        <v>1432</v>
      </c>
      <c r="E260" s="274" t="s">
        <v>3222</v>
      </c>
      <c r="F260" s="275">
        <v>2</v>
      </c>
      <c r="G260" s="266" t="s">
        <v>1093</v>
      </c>
      <c r="H260" s="284">
        <v>2750</v>
      </c>
      <c r="I260" s="269">
        <f t="shared" si="6"/>
        <v>3505.15</v>
      </c>
      <c r="J260" s="1114"/>
      <c r="K260" s="270">
        <f t="shared" si="7"/>
        <v>7010.3</v>
      </c>
    </row>
    <row r="261" spans="2:11" s="989" customFormat="1" ht="51">
      <c r="B261" s="294" t="s">
        <v>1433</v>
      </c>
      <c r="C261" s="273" t="s">
        <v>1092</v>
      </c>
      <c r="D261" s="273" t="s">
        <v>1434</v>
      </c>
      <c r="E261" s="274" t="s">
        <v>3223</v>
      </c>
      <c r="F261" s="275">
        <v>2</v>
      </c>
      <c r="G261" s="266" t="s">
        <v>1093</v>
      </c>
      <c r="H261" s="300">
        <v>1359</v>
      </c>
      <c r="I261" s="269">
        <f t="shared" si="6"/>
        <v>1732.18</v>
      </c>
      <c r="J261" s="1114"/>
      <c r="K261" s="270">
        <f t="shared" si="7"/>
        <v>3464.36</v>
      </c>
    </row>
    <row r="262" spans="2:11" s="989" customFormat="1">
      <c r="B262" s="294" t="s">
        <v>1435</v>
      </c>
      <c r="C262" s="273" t="s">
        <v>1099</v>
      </c>
      <c r="D262" s="264" t="s">
        <v>1421</v>
      </c>
      <c r="E262" s="274" t="s">
        <v>3404</v>
      </c>
      <c r="F262" s="266">
        <v>1</v>
      </c>
      <c r="G262" s="267" t="s">
        <v>1093</v>
      </c>
      <c r="H262" s="284">
        <v>2581.3200000000002</v>
      </c>
      <c r="I262" s="269">
        <f t="shared" si="6"/>
        <v>3290.15</v>
      </c>
      <c r="J262" s="1114"/>
      <c r="K262" s="270">
        <f t="shared" si="7"/>
        <v>3290.15</v>
      </c>
    </row>
    <row r="263" spans="2:11" s="989" customFormat="1">
      <c r="B263" s="294" t="s">
        <v>1436</v>
      </c>
      <c r="C263" s="273" t="s">
        <v>1099</v>
      </c>
      <c r="D263" s="273" t="s">
        <v>1437</v>
      </c>
      <c r="E263" s="274" t="s">
        <v>3224</v>
      </c>
      <c r="F263" s="275">
        <v>1</v>
      </c>
      <c r="G263" s="266" t="s">
        <v>1093</v>
      </c>
      <c r="H263" s="284">
        <v>801.07</v>
      </c>
      <c r="I263" s="269">
        <f t="shared" si="6"/>
        <v>1021.04</v>
      </c>
      <c r="J263" s="1114"/>
      <c r="K263" s="270">
        <f t="shared" si="7"/>
        <v>1021.04</v>
      </c>
    </row>
    <row r="264" spans="2:11" s="989" customFormat="1">
      <c r="B264" s="294" t="s">
        <v>1438</v>
      </c>
      <c r="C264" s="273" t="s">
        <v>1099</v>
      </c>
      <c r="D264" s="273" t="s">
        <v>1439</v>
      </c>
      <c r="E264" s="274" t="s">
        <v>3405</v>
      </c>
      <c r="F264" s="275">
        <v>2</v>
      </c>
      <c r="G264" s="266" t="s">
        <v>1093</v>
      </c>
      <c r="H264" s="284">
        <v>625.41</v>
      </c>
      <c r="I264" s="269">
        <f t="shared" si="6"/>
        <v>797.15</v>
      </c>
      <c r="J264" s="1114"/>
      <c r="K264" s="270">
        <f t="shared" si="7"/>
        <v>1594.3</v>
      </c>
    </row>
    <row r="265" spans="2:11" s="989" customFormat="1" ht="51">
      <c r="B265" s="294" t="s">
        <v>1440</v>
      </c>
      <c r="C265" s="273" t="s">
        <v>1099</v>
      </c>
      <c r="D265" s="273" t="s">
        <v>1129</v>
      </c>
      <c r="E265" s="274" t="s">
        <v>3406</v>
      </c>
      <c r="F265" s="275">
        <v>2</v>
      </c>
      <c r="G265" s="266" t="s">
        <v>1093</v>
      </c>
      <c r="H265" s="300">
        <v>11738.86</v>
      </c>
      <c r="I265" s="269">
        <f t="shared" si="6"/>
        <v>14962.35</v>
      </c>
      <c r="J265" s="1114"/>
      <c r="K265" s="270">
        <f t="shared" si="7"/>
        <v>29924.7</v>
      </c>
    </row>
    <row r="266" spans="2:11" s="989" customFormat="1">
      <c r="B266" s="294" t="s">
        <v>1441</v>
      </c>
      <c r="C266" s="273" t="s">
        <v>1092</v>
      </c>
      <c r="D266" s="264" t="s">
        <v>1195</v>
      </c>
      <c r="E266" s="274" t="s">
        <v>3150</v>
      </c>
      <c r="F266" s="266">
        <v>1</v>
      </c>
      <c r="G266" s="267" t="s">
        <v>1093</v>
      </c>
      <c r="H266" s="284">
        <v>1900</v>
      </c>
      <c r="I266" s="269">
        <f t="shared" si="6"/>
        <v>2421.7399999999998</v>
      </c>
      <c r="J266" s="1114"/>
      <c r="K266" s="270">
        <f t="shared" si="7"/>
        <v>2421.7399999999998</v>
      </c>
    </row>
    <row r="267" spans="2:11" s="989" customFormat="1">
      <c r="B267" s="294" t="s">
        <v>1442</v>
      </c>
      <c r="C267" s="273" t="s">
        <v>1092</v>
      </c>
      <c r="D267" s="273" t="s">
        <v>1165</v>
      </c>
      <c r="E267" s="274" t="s">
        <v>3136</v>
      </c>
      <c r="F267" s="275">
        <v>2</v>
      </c>
      <c r="G267" s="266" t="s">
        <v>1093</v>
      </c>
      <c r="H267" s="284">
        <v>3500</v>
      </c>
      <c r="I267" s="269">
        <f t="shared" si="6"/>
        <v>4461.1000000000004</v>
      </c>
      <c r="J267" s="1114"/>
      <c r="K267" s="270">
        <f t="shared" si="7"/>
        <v>8922.2000000000007</v>
      </c>
    </row>
    <row r="268" spans="2:11" s="989" customFormat="1">
      <c r="B268" s="294" t="s">
        <v>1443</v>
      </c>
      <c r="C268" s="273"/>
      <c r="D268" s="273"/>
      <c r="E268" s="274" t="s">
        <v>3225</v>
      </c>
      <c r="F268" s="275"/>
      <c r="G268" s="266"/>
      <c r="H268" s="284"/>
      <c r="I268" s="269">
        <f t="shared" si="6"/>
        <v>0</v>
      </c>
      <c r="J268" s="1114"/>
      <c r="K268" s="270">
        <f t="shared" si="7"/>
        <v>0</v>
      </c>
    </row>
    <row r="269" spans="2:11" s="989" customFormat="1" ht="51">
      <c r="B269" s="294" t="s">
        <v>1444</v>
      </c>
      <c r="C269" s="273" t="s">
        <v>184</v>
      </c>
      <c r="D269" s="273" t="s">
        <v>1176</v>
      </c>
      <c r="E269" s="274" t="s">
        <v>3143</v>
      </c>
      <c r="F269" s="275">
        <v>37.799999999999997</v>
      </c>
      <c r="G269" s="266" t="s">
        <v>0</v>
      </c>
      <c r="H269" s="300">
        <v>6.85</v>
      </c>
      <c r="I269" s="269">
        <f t="shared" si="6"/>
        <v>8.73</v>
      </c>
      <c r="J269" s="1114"/>
      <c r="K269" s="270">
        <f t="shared" si="7"/>
        <v>329.99</v>
      </c>
    </row>
    <row r="270" spans="2:11" s="989" customFormat="1" ht="51">
      <c r="B270" s="294" t="s">
        <v>1445</v>
      </c>
      <c r="C270" s="273" t="s">
        <v>184</v>
      </c>
      <c r="D270" s="264" t="s">
        <v>1178</v>
      </c>
      <c r="E270" s="274" t="s">
        <v>3144</v>
      </c>
      <c r="F270" s="266">
        <v>37.06</v>
      </c>
      <c r="G270" s="267" t="s">
        <v>0</v>
      </c>
      <c r="H270" s="284">
        <v>20.21</v>
      </c>
      <c r="I270" s="269">
        <f t="shared" si="6"/>
        <v>25.76</v>
      </c>
      <c r="J270" s="1114"/>
      <c r="K270" s="270">
        <f t="shared" si="7"/>
        <v>954.67</v>
      </c>
    </row>
    <row r="271" spans="2:11" s="989" customFormat="1">
      <c r="B271" s="294" t="s">
        <v>1446</v>
      </c>
      <c r="C271" s="273" t="s">
        <v>184</v>
      </c>
      <c r="D271" s="273" t="s">
        <v>1261</v>
      </c>
      <c r="E271" s="274" t="s">
        <v>3157</v>
      </c>
      <c r="F271" s="275">
        <v>28.93</v>
      </c>
      <c r="G271" s="266" t="s">
        <v>0</v>
      </c>
      <c r="H271" s="284">
        <v>8.83</v>
      </c>
      <c r="I271" s="269">
        <f t="shared" si="6"/>
        <v>11.25</v>
      </c>
      <c r="J271" s="1114"/>
      <c r="K271" s="270">
        <f t="shared" si="7"/>
        <v>325.45999999999998</v>
      </c>
    </row>
    <row r="272" spans="2:11" s="989" customFormat="1">
      <c r="B272" s="294" t="s">
        <v>1447</v>
      </c>
      <c r="C272" s="273" t="s">
        <v>184</v>
      </c>
      <c r="D272" s="273" t="s">
        <v>1182</v>
      </c>
      <c r="E272" s="274" t="s">
        <v>3146</v>
      </c>
      <c r="F272" s="275">
        <v>37.799999999999997</v>
      </c>
      <c r="G272" s="266" t="s">
        <v>2</v>
      </c>
      <c r="H272" s="284">
        <v>5.77</v>
      </c>
      <c r="I272" s="269">
        <f t="shared" si="6"/>
        <v>7.35</v>
      </c>
      <c r="J272" s="1114"/>
      <c r="K272" s="270">
        <f t="shared" si="7"/>
        <v>277.83</v>
      </c>
    </row>
    <row r="273" spans="2:11" s="989" customFormat="1" ht="73.900000000000006" customHeight="1">
      <c r="B273" s="294" t="s">
        <v>1448</v>
      </c>
      <c r="C273" s="273"/>
      <c r="D273" s="273"/>
      <c r="E273" s="274" t="s">
        <v>3147</v>
      </c>
      <c r="F273" s="275"/>
      <c r="G273" s="266"/>
      <c r="H273" s="300"/>
      <c r="I273" s="269">
        <f t="shared" si="6"/>
        <v>0</v>
      </c>
      <c r="J273" s="1114"/>
      <c r="K273" s="270">
        <f t="shared" si="7"/>
        <v>0</v>
      </c>
    </row>
    <row r="274" spans="2:11" s="989" customFormat="1">
      <c r="B274" s="294" t="s">
        <v>1449</v>
      </c>
      <c r="C274" s="273" t="s">
        <v>1099</v>
      </c>
      <c r="D274" s="264" t="s">
        <v>1191</v>
      </c>
      <c r="E274" s="274" t="s">
        <v>3407</v>
      </c>
      <c r="F274" s="266">
        <v>42</v>
      </c>
      <c r="G274" s="267" t="s">
        <v>3</v>
      </c>
      <c r="H274" s="284">
        <v>117.08</v>
      </c>
      <c r="I274" s="269">
        <f t="shared" si="6"/>
        <v>149.22999999999999</v>
      </c>
      <c r="J274" s="1114"/>
      <c r="K274" s="270">
        <f t="shared" si="7"/>
        <v>6267.66</v>
      </c>
    </row>
    <row r="275" spans="2:11" s="989" customFormat="1">
      <c r="B275" s="294" t="s">
        <v>1450</v>
      </c>
      <c r="C275" s="273" t="s">
        <v>1099</v>
      </c>
      <c r="D275" s="273" t="s">
        <v>1451</v>
      </c>
      <c r="E275" s="274" t="s">
        <v>3408</v>
      </c>
      <c r="F275" s="275">
        <v>42</v>
      </c>
      <c r="G275" s="266" t="s">
        <v>3</v>
      </c>
      <c r="H275" s="284">
        <v>3.31</v>
      </c>
      <c r="I275" s="269">
        <f t="shared" si="6"/>
        <v>4.22</v>
      </c>
      <c r="J275" s="1114"/>
      <c r="K275" s="270">
        <f t="shared" si="7"/>
        <v>177.24</v>
      </c>
    </row>
    <row r="276" spans="2:11" s="989" customFormat="1">
      <c r="B276" s="294" t="s">
        <v>1452</v>
      </c>
      <c r="C276" s="273"/>
      <c r="D276" s="273"/>
      <c r="E276" s="274" t="s">
        <v>3148</v>
      </c>
      <c r="F276" s="275"/>
      <c r="G276" s="266"/>
      <c r="H276" s="284"/>
      <c r="I276" s="269">
        <f t="shared" si="6"/>
        <v>0</v>
      </c>
      <c r="J276" s="1114"/>
      <c r="K276" s="270">
        <f t="shared" si="7"/>
        <v>0</v>
      </c>
    </row>
    <row r="277" spans="2:11" s="989" customFormat="1">
      <c r="B277" s="294" t="s">
        <v>1453</v>
      </c>
      <c r="C277" s="273" t="s">
        <v>1099</v>
      </c>
      <c r="D277" s="273" t="s">
        <v>1454</v>
      </c>
      <c r="E277" s="274" t="s">
        <v>3409</v>
      </c>
      <c r="F277" s="275">
        <v>1</v>
      </c>
      <c r="G277" s="266" t="s">
        <v>1093</v>
      </c>
      <c r="H277" s="300">
        <v>1824.99</v>
      </c>
      <c r="I277" s="269">
        <f t="shared" si="6"/>
        <v>2326.13</v>
      </c>
      <c r="J277" s="1114"/>
      <c r="K277" s="270">
        <f t="shared" si="7"/>
        <v>2326.13</v>
      </c>
    </row>
    <row r="278" spans="2:11" s="989" customFormat="1" ht="51">
      <c r="B278" s="294" t="s">
        <v>1455</v>
      </c>
      <c r="C278" s="273" t="s">
        <v>1092</v>
      </c>
      <c r="D278" s="264" t="s">
        <v>1456</v>
      </c>
      <c r="E278" s="274" t="s">
        <v>3410</v>
      </c>
      <c r="F278" s="266">
        <v>2</v>
      </c>
      <c r="G278" s="267" t="s">
        <v>1093</v>
      </c>
      <c r="H278" s="284">
        <v>581</v>
      </c>
      <c r="I278" s="269">
        <f t="shared" si="6"/>
        <v>740.54</v>
      </c>
      <c r="J278" s="1114"/>
      <c r="K278" s="270">
        <f t="shared" si="7"/>
        <v>1481.08</v>
      </c>
    </row>
    <row r="279" spans="2:11" s="989" customFormat="1">
      <c r="B279" s="294" t="s">
        <v>1457</v>
      </c>
      <c r="C279" s="273" t="s">
        <v>1092</v>
      </c>
      <c r="D279" s="273" t="s">
        <v>1195</v>
      </c>
      <c r="E279" s="274" t="s">
        <v>3150</v>
      </c>
      <c r="F279" s="275">
        <v>1</v>
      </c>
      <c r="G279" s="266" t="s">
        <v>1093</v>
      </c>
      <c r="H279" s="284">
        <v>1900</v>
      </c>
      <c r="I279" s="269">
        <f t="shared" ref="I279:I342" si="8">H279*(1+$I$16)</f>
        <v>2421.7399999999998</v>
      </c>
      <c r="J279" s="1114"/>
      <c r="K279" s="270">
        <f t="shared" ref="K279:K342" si="9">I279*F279</f>
        <v>2421.7399999999998</v>
      </c>
    </row>
    <row r="280" spans="2:11" s="989" customFormat="1" ht="51">
      <c r="B280" s="294" t="s">
        <v>1458</v>
      </c>
      <c r="C280" s="273"/>
      <c r="D280" s="273"/>
      <c r="E280" s="274" t="s">
        <v>3226</v>
      </c>
      <c r="F280" s="275"/>
      <c r="G280" s="266"/>
      <c r="H280" s="284"/>
      <c r="I280" s="269">
        <f t="shared" si="8"/>
        <v>0</v>
      </c>
      <c r="J280" s="1114"/>
      <c r="K280" s="270">
        <f t="shared" si="9"/>
        <v>0</v>
      </c>
    </row>
    <row r="281" spans="2:11" s="989" customFormat="1">
      <c r="B281" s="294" t="s">
        <v>1459</v>
      </c>
      <c r="C281" s="273" t="s">
        <v>1092</v>
      </c>
      <c r="D281" s="273" t="s">
        <v>1460</v>
      </c>
      <c r="E281" s="274" t="s">
        <v>3411</v>
      </c>
      <c r="F281" s="275">
        <v>3</v>
      </c>
      <c r="G281" s="266" t="s">
        <v>1093</v>
      </c>
      <c r="H281" s="300">
        <v>1215</v>
      </c>
      <c r="I281" s="269">
        <f t="shared" si="8"/>
        <v>1548.64</v>
      </c>
      <c r="J281" s="1114"/>
      <c r="K281" s="270">
        <f t="shared" si="9"/>
        <v>4645.92</v>
      </c>
    </row>
    <row r="282" spans="2:11" s="989" customFormat="1">
      <c r="B282" s="294" t="s">
        <v>1461</v>
      </c>
      <c r="C282" s="273" t="s">
        <v>1099</v>
      </c>
      <c r="D282" s="264" t="s">
        <v>1408</v>
      </c>
      <c r="E282" s="274" t="s">
        <v>3412</v>
      </c>
      <c r="F282" s="266">
        <v>3</v>
      </c>
      <c r="G282" s="267" t="s">
        <v>1093</v>
      </c>
      <c r="H282" s="284">
        <v>827.51</v>
      </c>
      <c r="I282" s="269">
        <f t="shared" si="8"/>
        <v>1054.74</v>
      </c>
      <c r="J282" s="1114"/>
      <c r="K282" s="270">
        <f t="shared" si="9"/>
        <v>3164.22</v>
      </c>
    </row>
    <row r="283" spans="2:11" s="989" customFormat="1">
      <c r="B283" s="294" t="s">
        <v>1462</v>
      </c>
      <c r="C283" s="273" t="s">
        <v>1099</v>
      </c>
      <c r="D283" s="273" t="s">
        <v>1397</v>
      </c>
      <c r="E283" s="274" t="s">
        <v>3212</v>
      </c>
      <c r="F283" s="275">
        <v>3</v>
      </c>
      <c r="G283" s="266" t="s">
        <v>1093</v>
      </c>
      <c r="H283" s="284">
        <v>879.99</v>
      </c>
      <c r="I283" s="269">
        <f t="shared" si="8"/>
        <v>1121.6400000000001</v>
      </c>
      <c r="J283" s="1114"/>
      <c r="K283" s="270">
        <f t="shared" si="9"/>
        <v>3364.92</v>
      </c>
    </row>
    <row r="284" spans="2:11" s="989" customFormat="1" ht="51">
      <c r="B284" s="294" t="s">
        <v>1463</v>
      </c>
      <c r="C284" s="273" t="s">
        <v>1099</v>
      </c>
      <c r="D284" s="273" t="s">
        <v>1399</v>
      </c>
      <c r="E284" s="274" t="s">
        <v>3213</v>
      </c>
      <c r="F284" s="275">
        <v>3</v>
      </c>
      <c r="G284" s="266" t="s">
        <v>1093</v>
      </c>
      <c r="H284" s="284">
        <v>1304.93</v>
      </c>
      <c r="I284" s="269">
        <f t="shared" si="8"/>
        <v>1663.26</v>
      </c>
      <c r="J284" s="1114"/>
      <c r="K284" s="270">
        <f t="shared" si="9"/>
        <v>4989.78</v>
      </c>
    </row>
    <row r="285" spans="2:11" s="989" customFormat="1">
      <c r="B285" s="294" t="s">
        <v>1464</v>
      </c>
      <c r="C285" s="273" t="s">
        <v>1092</v>
      </c>
      <c r="D285" s="273" t="s">
        <v>1465</v>
      </c>
      <c r="E285" s="274" t="s">
        <v>3227</v>
      </c>
      <c r="F285" s="275">
        <v>3</v>
      </c>
      <c r="G285" s="266" t="s">
        <v>1093</v>
      </c>
      <c r="H285" s="300">
        <v>698</v>
      </c>
      <c r="I285" s="269">
        <f t="shared" si="8"/>
        <v>889.67</v>
      </c>
      <c r="J285" s="1114"/>
      <c r="K285" s="270">
        <f t="shared" si="9"/>
        <v>2669.01</v>
      </c>
    </row>
    <row r="286" spans="2:11" s="989" customFormat="1" ht="51">
      <c r="B286" s="294" t="s">
        <v>1466</v>
      </c>
      <c r="C286" s="273" t="s">
        <v>1092</v>
      </c>
      <c r="D286" s="264" t="s">
        <v>1419</v>
      </c>
      <c r="E286" s="274" t="s">
        <v>3228</v>
      </c>
      <c r="F286" s="266">
        <v>3</v>
      </c>
      <c r="G286" s="267" t="s">
        <v>1093</v>
      </c>
      <c r="H286" s="284">
        <v>4100</v>
      </c>
      <c r="I286" s="269">
        <f t="shared" si="8"/>
        <v>5225.8599999999997</v>
      </c>
      <c r="J286" s="1114"/>
      <c r="K286" s="270">
        <f t="shared" si="9"/>
        <v>15677.58</v>
      </c>
    </row>
    <row r="287" spans="2:11" s="989" customFormat="1">
      <c r="B287" s="294" t="s">
        <v>1467</v>
      </c>
      <c r="C287" s="273" t="s">
        <v>1099</v>
      </c>
      <c r="D287" s="273" t="s">
        <v>1413</v>
      </c>
      <c r="E287" s="274" t="s">
        <v>3399</v>
      </c>
      <c r="F287" s="275">
        <v>3</v>
      </c>
      <c r="G287" s="266" t="s">
        <v>1093</v>
      </c>
      <c r="H287" s="284">
        <v>923.02</v>
      </c>
      <c r="I287" s="269">
        <f t="shared" si="8"/>
        <v>1176.48</v>
      </c>
      <c r="J287" s="1114"/>
      <c r="K287" s="270">
        <f t="shared" si="9"/>
        <v>3529.44</v>
      </c>
    </row>
    <row r="288" spans="2:11" s="989" customFormat="1">
      <c r="B288" s="294" t="s">
        <v>1468</v>
      </c>
      <c r="C288" s="273" t="s">
        <v>1092</v>
      </c>
      <c r="D288" s="273" t="s">
        <v>1469</v>
      </c>
      <c r="E288" s="274" t="s">
        <v>3413</v>
      </c>
      <c r="F288" s="275">
        <v>3</v>
      </c>
      <c r="G288" s="266" t="s">
        <v>1093</v>
      </c>
      <c r="H288" s="284">
        <v>845</v>
      </c>
      <c r="I288" s="269">
        <f t="shared" si="8"/>
        <v>1077.04</v>
      </c>
      <c r="J288" s="1114"/>
      <c r="K288" s="270">
        <f t="shared" si="9"/>
        <v>3231.12</v>
      </c>
    </row>
    <row r="289" spans="2:11" s="989" customFormat="1" ht="51">
      <c r="B289" s="294" t="s">
        <v>1470</v>
      </c>
      <c r="C289" s="273" t="s">
        <v>1092</v>
      </c>
      <c r="D289" s="273" t="s">
        <v>1434</v>
      </c>
      <c r="E289" s="274" t="s">
        <v>3223</v>
      </c>
      <c r="F289" s="275">
        <v>3</v>
      </c>
      <c r="G289" s="266" t="s">
        <v>1093</v>
      </c>
      <c r="H289" s="300">
        <v>1359</v>
      </c>
      <c r="I289" s="269">
        <f t="shared" si="8"/>
        <v>1732.18</v>
      </c>
      <c r="J289" s="1114"/>
      <c r="K289" s="270">
        <f t="shared" si="9"/>
        <v>5196.54</v>
      </c>
    </row>
    <row r="290" spans="2:11" s="989" customFormat="1" ht="51">
      <c r="B290" s="294" t="s">
        <v>1471</v>
      </c>
      <c r="C290" s="273" t="s">
        <v>1092</v>
      </c>
      <c r="D290" s="264" t="s">
        <v>1432</v>
      </c>
      <c r="E290" s="274" t="s">
        <v>3222</v>
      </c>
      <c r="F290" s="266">
        <v>3</v>
      </c>
      <c r="G290" s="267" t="s">
        <v>1093</v>
      </c>
      <c r="H290" s="284">
        <v>2750</v>
      </c>
      <c r="I290" s="269">
        <f t="shared" si="8"/>
        <v>3505.15</v>
      </c>
      <c r="J290" s="1114"/>
      <c r="K290" s="270">
        <f t="shared" si="9"/>
        <v>10515.45</v>
      </c>
    </row>
    <row r="291" spans="2:11" s="989" customFormat="1">
      <c r="B291" s="294" t="s">
        <v>1472</v>
      </c>
      <c r="C291" s="273" t="s">
        <v>1099</v>
      </c>
      <c r="D291" s="273" t="s">
        <v>1427</v>
      </c>
      <c r="E291" s="274" t="s">
        <v>3221</v>
      </c>
      <c r="F291" s="275">
        <v>3</v>
      </c>
      <c r="G291" s="266" t="s">
        <v>1093</v>
      </c>
      <c r="H291" s="284">
        <v>635.27</v>
      </c>
      <c r="I291" s="269">
        <f t="shared" si="8"/>
        <v>809.72</v>
      </c>
      <c r="J291" s="1114"/>
      <c r="K291" s="270">
        <f t="shared" si="9"/>
        <v>2429.16</v>
      </c>
    </row>
    <row r="292" spans="2:11" s="989" customFormat="1">
      <c r="B292" s="294" t="s">
        <v>1473</v>
      </c>
      <c r="C292" s="273" t="s">
        <v>1099</v>
      </c>
      <c r="D292" s="273" t="s">
        <v>1437</v>
      </c>
      <c r="E292" s="274" t="s">
        <v>3229</v>
      </c>
      <c r="F292" s="275">
        <v>2</v>
      </c>
      <c r="G292" s="266" t="s">
        <v>1093</v>
      </c>
      <c r="H292" s="284">
        <v>801.07</v>
      </c>
      <c r="I292" s="269">
        <f t="shared" si="8"/>
        <v>1021.04</v>
      </c>
      <c r="J292" s="1114"/>
      <c r="K292" s="270">
        <f t="shared" si="9"/>
        <v>2042.08</v>
      </c>
    </row>
    <row r="293" spans="2:11" s="989" customFormat="1">
      <c r="B293" s="294" t="s">
        <v>1474</v>
      </c>
      <c r="C293" s="273" t="s">
        <v>1099</v>
      </c>
      <c r="D293" s="273" t="s">
        <v>1421</v>
      </c>
      <c r="E293" s="274" t="s">
        <v>3414</v>
      </c>
      <c r="F293" s="275">
        <v>2</v>
      </c>
      <c r="G293" s="266" t="s">
        <v>1093</v>
      </c>
      <c r="H293" s="300">
        <v>2581.3200000000002</v>
      </c>
      <c r="I293" s="269">
        <f t="shared" si="8"/>
        <v>3290.15</v>
      </c>
      <c r="J293" s="1114"/>
      <c r="K293" s="270">
        <f t="shared" si="9"/>
        <v>6580.3</v>
      </c>
    </row>
    <row r="294" spans="2:11" s="989" customFormat="1">
      <c r="B294" s="294" t="s">
        <v>1475</v>
      </c>
      <c r="C294" s="273" t="s">
        <v>1099</v>
      </c>
      <c r="D294" s="264" t="s">
        <v>1439</v>
      </c>
      <c r="E294" s="274" t="s">
        <v>3405</v>
      </c>
      <c r="F294" s="266">
        <v>3</v>
      </c>
      <c r="G294" s="267" t="s">
        <v>1093</v>
      </c>
      <c r="H294" s="284">
        <v>625.41</v>
      </c>
      <c r="I294" s="269">
        <f t="shared" si="8"/>
        <v>797.15</v>
      </c>
      <c r="J294" s="1114"/>
      <c r="K294" s="270">
        <f t="shared" si="9"/>
        <v>2391.4499999999998</v>
      </c>
    </row>
    <row r="295" spans="2:11" s="989" customFormat="1" ht="51">
      <c r="B295" s="294" t="s">
        <v>1476</v>
      </c>
      <c r="C295" s="273" t="s">
        <v>1092</v>
      </c>
      <c r="D295" s="273" t="s">
        <v>1159</v>
      </c>
      <c r="E295" s="274" t="s">
        <v>3220</v>
      </c>
      <c r="F295" s="275">
        <v>1</v>
      </c>
      <c r="G295" s="266" t="s">
        <v>1093</v>
      </c>
      <c r="H295" s="284">
        <v>1250</v>
      </c>
      <c r="I295" s="269">
        <f t="shared" si="8"/>
        <v>1593.25</v>
      </c>
      <c r="J295" s="1114"/>
      <c r="K295" s="270">
        <f t="shared" si="9"/>
        <v>1593.25</v>
      </c>
    </row>
    <row r="296" spans="2:11" s="989" customFormat="1">
      <c r="B296" s="294" t="s">
        <v>1477</v>
      </c>
      <c r="C296" s="273" t="s">
        <v>1099</v>
      </c>
      <c r="D296" s="273" t="s">
        <v>1143</v>
      </c>
      <c r="E296" s="274" t="s">
        <v>3130</v>
      </c>
      <c r="F296" s="275">
        <v>1</v>
      </c>
      <c r="G296" s="266" t="s">
        <v>1093</v>
      </c>
      <c r="H296" s="284">
        <v>1822.38</v>
      </c>
      <c r="I296" s="269">
        <f t="shared" si="8"/>
        <v>2322.81</v>
      </c>
      <c r="J296" s="1114"/>
      <c r="K296" s="270">
        <f t="shared" si="9"/>
        <v>2322.81</v>
      </c>
    </row>
    <row r="297" spans="2:11" s="989" customFormat="1">
      <c r="B297" s="294" t="s">
        <v>1478</v>
      </c>
      <c r="C297" s="273" t="s">
        <v>1099</v>
      </c>
      <c r="D297" s="273" t="s">
        <v>1425</v>
      </c>
      <c r="E297" s="274" t="s">
        <v>3402</v>
      </c>
      <c r="F297" s="275">
        <v>1</v>
      </c>
      <c r="G297" s="266" t="s">
        <v>1093</v>
      </c>
      <c r="H297" s="300">
        <v>730.14</v>
      </c>
      <c r="I297" s="269">
        <f t="shared" si="8"/>
        <v>930.64</v>
      </c>
      <c r="J297" s="1114"/>
      <c r="K297" s="270">
        <f t="shared" si="9"/>
        <v>930.64</v>
      </c>
    </row>
    <row r="298" spans="2:11" s="989" customFormat="1">
      <c r="B298" s="294" t="s">
        <v>1479</v>
      </c>
      <c r="C298" s="273" t="s">
        <v>1099</v>
      </c>
      <c r="D298" s="264" t="s">
        <v>1421</v>
      </c>
      <c r="E298" s="274" t="s">
        <v>3401</v>
      </c>
      <c r="F298" s="266">
        <v>1</v>
      </c>
      <c r="G298" s="267" t="s">
        <v>1093</v>
      </c>
      <c r="H298" s="284">
        <v>2581.3200000000002</v>
      </c>
      <c r="I298" s="269">
        <f t="shared" si="8"/>
        <v>3290.15</v>
      </c>
      <c r="J298" s="1114"/>
      <c r="K298" s="270">
        <f t="shared" si="9"/>
        <v>3290.15</v>
      </c>
    </row>
    <row r="299" spans="2:11" s="989" customFormat="1">
      <c r="B299" s="294" t="s">
        <v>1480</v>
      </c>
      <c r="C299" s="273" t="s">
        <v>1092</v>
      </c>
      <c r="D299" s="273" t="s">
        <v>1481</v>
      </c>
      <c r="E299" s="274" t="s">
        <v>3415</v>
      </c>
      <c r="F299" s="275">
        <v>1</v>
      </c>
      <c r="G299" s="266" t="s">
        <v>1093</v>
      </c>
      <c r="H299" s="284">
        <v>1021</v>
      </c>
      <c r="I299" s="269">
        <f t="shared" si="8"/>
        <v>1301.3699999999999</v>
      </c>
      <c r="J299" s="1114"/>
      <c r="K299" s="270">
        <f t="shared" si="9"/>
        <v>1301.3699999999999</v>
      </c>
    </row>
    <row r="300" spans="2:11" s="989" customFormat="1" ht="51">
      <c r="B300" s="294" t="s">
        <v>1482</v>
      </c>
      <c r="C300" s="273" t="s">
        <v>1099</v>
      </c>
      <c r="D300" s="273" t="s">
        <v>1129</v>
      </c>
      <c r="E300" s="274" t="s">
        <v>3230</v>
      </c>
      <c r="F300" s="275">
        <v>3</v>
      </c>
      <c r="G300" s="266" t="s">
        <v>1093</v>
      </c>
      <c r="H300" s="284">
        <v>11738.86</v>
      </c>
      <c r="I300" s="269">
        <f t="shared" si="8"/>
        <v>14962.35</v>
      </c>
      <c r="J300" s="1114"/>
      <c r="K300" s="270">
        <f t="shared" si="9"/>
        <v>44887.05</v>
      </c>
    </row>
    <row r="301" spans="2:11" s="989" customFormat="1">
      <c r="B301" s="294" t="s">
        <v>1483</v>
      </c>
      <c r="C301" s="273" t="s">
        <v>1092</v>
      </c>
      <c r="D301" s="273" t="s">
        <v>1195</v>
      </c>
      <c r="E301" s="274" t="s">
        <v>3150</v>
      </c>
      <c r="F301" s="275">
        <v>1</v>
      </c>
      <c r="G301" s="266" t="s">
        <v>1093</v>
      </c>
      <c r="H301" s="300">
        <v>1900</v>
      </c>
      <c r="I301" s="269">
        <f t="shared" si="8"/>
        <v>2421.7399999999998</v>
      </c>
      <c r="J301" s="1114"/>
      <c r="K301" s="270">
        <f t="shared" si="9"/>
        <v>2421.7399999999998</v>
      </c>
    </row>
    <row r="302" spans="2:11" s="989" customFormat="1">
      <c r="B302" s="294" t="s">
        <v>1484</v>
      </c>
      <c r="C302" s="273" t="s">
        <v>1092</v>
      </c>
      <c r="D302" s="264" t="s">
        <v>1165</v>
      </c>
      <c r="E302" s="274" t="s">
        <v>3136</v>
      </c>
      <c r="F302" s="266">
        <v>3</v>
      </c>
      <c r="G302" s="267" t="s">
        <v>1093</v>
      </c>
      <c r="H302" s="284">
        <v>3500</v>
      </c>
      <c r="I302" s="269">
        <f t="shared" si="8"/>
        <v>4461.1000000000004</v>
      </c>
      <c r="J302" s="1114"/>
      <c r="K302" s="270">
        <f t="shared" si="9"/>
        <v>13383.3</v>
      </c>
    </row>
    <row r="303" spans="2:11" s="989" customFormat="1">
      <c r="B303" s="294" t="s">
        <v>1485</v>
      </c>
      <c r="C303" s="273"/>
      <c r="D303" s="273"/>
      <c r="E303" s="274" t="s">
        <v>3231</v>
      </c>
      <c r="F303" s="275"/>
      <c r="G303" s="266"/>
      <c r="H303" s="284"/>
      <c r="I303" s="269">
        <f t="shared" si="8"/>
        <v>0</v>
      </c>
      <c r="J303" s="1114"/>
      <c r="K303" s="270">
        <f t="shared" si="9"/>
        <v>0</v>
      </c>
    </row>
    <row r="304" spans="2:11" s="989" customFormat="1">
      <c r="B304" s="294" t="s">
        <v>1486</v>
      </c>
      <c r="C304" s="273"/>
      <c r="D304" s="273"/>
      <c r="E304" s="274" t="s">
        <v>3142</v>
      </c>
      <c r="F304" s="275"/>
      <c r="G304" s="266"/>
      <c r="H304" s="284"/>
      <c r="I304" s="269">
        <f t="shared" si="8"/>
        <v>0</v>
      </c>
      <c r="J304" s="1114"/>
      <c r="K304" s="270">
        <f t="shared" si="9"/>
        <v>0</v>
      </c>
    </row>
    <row r="305" spans="2:11" s="989" customFormat="1" ht="51">
      <c r="B305" s="294" t="s">
        <v>1487</v>
      </c>
      <c r="C305" s="273" t="s">
        <v>184</v>
      </c>
      <c r="D305" s="273" t="s">
        <v>1176</v>
      </c>
      <c r="E305" s="274" t="s">
        <v>3143</v>
      </c>
      <c r="F305" s="275">
        <v>12.65</v>
      </c>
      <c r="G305" s="266" t="s">
        <v>0</v>
      </c>
      <c r="H305" s="300">
        <v>6.85</v>
      </c>
      <c r="I305" s="269">
        <f t="shared" si="8"/>
        <v>8.73</v>
      </c>
      <c r="J305" s="1114"/>
      <c r="K305" s="270">
        <f t="shared" si="9"/>
        <v>110.43</v>
      </c>
    </row>
    <row r="306" spans="2:11" s="989" customFormat="1" ht="51">
      <c r="B306" s="294" t="s">
        <v>1488</v>
      </c>
      <c r="C306" s="273" t="s">
        <v>184</v>
      </c>
      <c r="D306" s="264" t="s">
        <v>1178</v>
      </c>
      <c r="E306" s="274" t="s">
        <v>3144</v>
      </c>
      <c r="F306" s="266">
        <v>11.96</v>
      </c>
      <c r="G306" s="267" t="s">
        <v>0</v>
      </c>
      <c r="H306" s="284">
        <v>20.21</v>
      </c>
      <c r="I306" s="269">
        <f t="shared" si="8"/>
        <v>25.76</v>
      </c>
      <c r="J306" s="1114"/>
      <c r="K306" s="270">
        <f t="shared" si="9"/>
        <v>308.08999999999997</v>
      </c>
    </row>
    <row r="307" spans="2:11" s="989" customFormat="1">
      <c r="B307" s="294" t="s">
        <v>1489</v>
      </c>
      <c r="C307" s="273" t="s">
        <v>184</v>
      </c>
      <c r="D307" s="273" t="s">
        <v>1261</v>
      </c>
      <c r="E307" s="274" t="s">
        <v>3154</v>
      </c>
      <c r="F307" s="275">
        <v>26.88</v>
      </c>
      <c r="G307" s="266" t="s">
        <v>0</v>
      </c>
      <c r="H307" s="284">
        <v>8.83</v>
      </c>
      <c r="I307" s="269">
        <f t="shared" si="8"/>
        <v>11.25</v>
      </c>
      <c r="J307" s="1114"/>
      <c r="K307" s="270">
        <f t="shared" si="9"/>
        <v>302.39999999999998</v>
      </c>
    </row>
    <row r="308" spans="2:11" s="989" customFormat="1">
      <c r="B308" s="294" t="s">
        <v>1490</v>
      </c>
      <c r="C308" s="273" t="s">
        <v>184</v>
      </c>
      <c r="D308" s="273" t="s">
        <v>1182</v>
      </c>
      <c r="E308" s="274" t="s">
        <v>3146</v>
      </c>
      <c r="F308" s="275">
        <v>12.65</v>
      </c>
      <c r="G308" s="266" t="s">
        <v>2</v>
      </c>
      <c r="H308" s="284">
        <v>5.77</v>
      </c>
      <c r="I308" s="269">
        <f t="shared" si="8"/>
        <v>7.35</v>
      </c>
      <c r="J308" s="1114"/>
      <c r="K308" s="270">
        <f t="shared" si="9"/>
        <v>92.98</v>
      </c>
    </row>
    <row r="309" spans="2:11" s="989" customFormat="1">
      <c r="B309" s="294" t="s">
        <v>1491</v>
      </c>
      <c r="C309" s="273"/>
      <c r="D309" s="273"/>
      <c r="E309" s="274" t="s">
        <v>3148</v>
      </c>
      <c r="F309" s="275"/>
      <c r="G309" s="266"/>
      <c r="H309" s="300"/>
      <c r="I309" s="269">
        <f t="shared" si="8"/>
        <v>0</v>
      </c>
      <c r="J309" s="1114"/>
      <c r="K309" s="270">
        <f t="shared" si="9"/>
        <v>0</v>
      </c>
    </row>
    <row r="310" spans="2:11" s="989" customFormat="1">
      <c r="B310" s="294" t="s">
        <v>1492</v>
      </c>
      <c r="C310" s="273" t="s">
        <v>1099</v>
      </c>
      <c r="D310" s="264" t="s">
        <v>1493</v>
      </c>
      <c r="E310" s="274" t="s">
        <v>3416</v>
      </c>
      <c r="F310" s="266">
        <v>2</v>
      </c>
      <c r="G310" s="267" t="s">
        <v>1093</v>
      </c>
      <c r="H310" s="284">
        <v>2691.93</v>
      </c>
      <c r="I310" s="269">
        <f t="shared" si="8"/>
        <v>3431.13</v>
      </c>
      <c r="J310" s="1114"/>
      <c r="K310" s="270">
        <f t="shared" si="9"/>
        <v>6862.26</v>
      </c>
    </row>
    <row r="311" spans="2:11" s="989" customFormat="1">
      <c r="B311" s="294" t="s">
        <v>1494</v>
      </c>
      <c r="C311" s="273" t="s">
        <v>1099</v>
      </c>
      <c r="D311" s="273" t="s">
        <v>1296</v>
      </c>
      <c r="E311" s="274" t="s">
        <v>3168</v>
      </c>
      <c r="F311" s="275">
        <v>1</v>
      </c>
      <c r="G311" s="266" t="s">
        <v>1093</v>
      </c>
      <c r="H311" s="284">
        <v>1684.08</v>
      </c>
      <c r="I311" s="269">
        <f t="shared" si="8"/>
        <v>2146.5300000000002</v>
      </c>
      <c r="J311" s="1114"/>
      <c r="K311" s="270">
        <f t="shared" si="9"/>
        <v>2146.5300000000002</v>
      </c>
    </row>
    <row r="312" spans="2:11" s="989" customFormat="1">
      <c r="B312" s="294" t="s">
        <v>1495</v>
      </c>
      <c r="C312" s="273" t="s">
        <v>1099</v>
      </c>
      <c r="D312" s="273" t="s">
        <v>1493</v>
      </c>
      <c r="E312" s="274" t="s">
        <v>3417</v>
      </c>
      <c r="F312" s="275">
        <v>1</v>
      </c>
      <c r="G312" s="266" t="s">
        <v>1093</v>
      </c>
      <c r="H312" s="284">
        <v>2691.93</v>
      </c>
      <c r="I312" s="269">
        <f t="shared" si="8"/>
        <v>3431.13</v>
      </c>
      <c r="J312" s="1114"/>
      <c r="K312" s="270">
        <f t="shared" si="9"/>
        <v>3431.13</v>
      </c>
    </row>
    <row r="313" spans="2:11" s="989" customFormat="1">
      <c r="B313" s="294" t="s">
        <v>1496</v>
      </c>
      <c r="C313" s="273" t="s">
        <v>1099</v>
      </c>
      <c r="D313" s="273" t="s">
        <v>1299</v>
      </c>
      <c r="E313" s="274" t="s">
        <v>3169</v>
      </c>
      <c r="F313" s="275">
        <v>1</v>
      </c>
      <c r="G313" s="266" t="s">
        <v>1093</v>
      </c>
      <c r="H313" s="300">
        <v>2265.84</v>
      </c>
      <c r="I313" s="269">
        <f t="shared" si="8"/>
        <v>2888.04</v>
      </c>
      <c r="J313" s="1114"/>
      <c r="K313" s="270">
        <f t="shared" si="9"/>
        <v>2888.04</v>
      </c>
    </row>
    <row r="314" spans="2:11" s="989" customFormat="1">
      <c r="B314" s="294" t="s">
        <v>1497</v>
      </c>
      <c r="C314" s="273" t="s">
        <v>1099</v>
      </c>
      <c r="D314" s="264" t="s">
        <v>1301</v>
      </c>
      <c r="E314" s="274" t="s">
        <v>3232</v>
      </c>
      <c r="F314" s="266">
        <v>1</v>
      </c>
      <c r="G314" s="267" t="s">
        <v>1093</v>
      </c>
      <c r="H314" s="284">
        <v>421.15</v>
      </c>
      <c r="I314" s="269">
        <f t="shared" si="8"/>
        <v>536.79999999999995</v>
      </c>
      <c r="J314" s="1114"/>
      <c r="K314" s="270">
        <f t="shared" si="9"/>
        <v>536.79999999999995</v>
      </c>
    </row>
    <row r="315" spans="2:11" s="989" customFormat="1">
      <c r="B315" s="294" t="s">
        <v>1498</v>
      </c>
      <c r="C315" s="273" t="s">
        <v>1092</v>
      </c>
      <c r="D315" s="273" t="s">
        <v>1195</v>
      </c>
      <c r="E315" s="274" t="s">
        <v>3150</v>
      </c>
      <c r="F315" s="275">
        <v>1</v>
      </c>
      <c r="G315" s="266" t="s">
        <v>1093</v>
      </c>
      <c r="H315" s="284">
        <v>1900</v>
      </c>
      <c r="I315" s="269">
        <f t="shared" si="8"/>
        <v>2421.7399999999998</v>
      </c>
      <c r="J315" s="1114"/>
      <c r="K315" s="270">
        <f t="shared" si="9"/>
        <v>2421.7399999999998</v>
      </c>
    </row>
    <row r="316" spans="2:11" s="989" customFormat="1">
      <c r="B316" s="294" t="s">
        <v>1499</v>
      </c>
      <c r="C316" s="273"/>
      <c r="D316" s="273"/>
      <c r="E316" s="274" t="s">
        <v>3233</v>
      </c>
      <c r="F316" s="275"/>
      <c r="G316" s="266"/>
      <c r="H316" s="284"/>
      <c r="I316" s="269">
        <f t="shared" si="8"/>
        <v>0</v>
      </c>
      <c r="J316" s="1114"/>
      <c r="K316" s="270">
        <f t="shared" si="9"/>
        <v>0</v>
      </c>
    </row>
    <row r="317" spans="2:11" s="989" customFormat="1">
      <c r="B317" s="294" t="s">
        <v>1500</v>
      </c>
      <c r="C317" s="273"/>
      <c r="D317" s="273"/>
      <c r="E317" s="274" t="s">
        <v>3139</v>
      </c>
      <c r="F317" s="275"/>
      <c r="G317" s="266"/>
      <c r="H317" s="300"/>
      <c r="I317" s="269">
        <f t="shared" si="8"/>
        <v>0</v>
      </c>
      <c r="J317" s="1114"/>
      <c r="K317" s="270">
        <f t="shared" si="9"/>
        <v>0</v>
      </c>
    </row>
    <row r="318" spans="2:11" s="989" customFormat="1">
      <c r="B318" s="294" t="s">
        <v>1501</v>
      </c>
      <c r="C318" s="273" t="s">
        <v>182</v>
      </c>
      <c r="D318" s="264" t="s">
        <v>1502</v>
      </c>
      <c r="E318" s="274" t="s">
        <v>3234</v>
      </c>
      <c r="F318" s="266">
        <v>242.58</v>
      </c>
      <c r="G318" s="267" t="s">
        <v>2</v>
      </c>
      <c r="H318" s="284">
        <v>9.1300000000000008</v>
      </c>
      <c r="I318" s="269">
        <f t="shared" si="8"/>
        <v>11.64</v>
      </c>
      <c r="J318" s="1114"/>
      <c r="K318" s="270">
        <f t="shared" si="9"/>
        <v>2823.63</v>
      </c>
    </row>
    <row r="319" spans="2:11" s="989" customFormat="1">
      <c r="B319" s="294" t="s">
        <v>1503</v>
      </c>
      <c r="C319" s="273"/>
      <c r="D319" s="273"/>
      <c r="E319" s="274" t="s">
        <v>3142</v>
      </c>
      <c r="F319" s="275"/>
      <c r="G319" s="266"/>
      <c r="H319" s="284"/>
      <c r="I319" s="269">
        <f t="shared" si="8"/>
        <v>0</v>
      </c>
      <c r="J319" s="1114"/>
      <c r="K319" s="270">
        <f t="shared" si="9"/>
        <v>0</v>
      </c>
    </row>
    <row r="320" spans="2:11" s="989" customFormat="1">
      <c r="B320" s="294" t="s">
        <v>1504</v>
      </c>
      <c r="C320" s="273" t="s">
        <v>1099</v>
      </c>
      <c r="D320" s="273" t="s">
        <v>1308</v>
      </c>
      <c r="E320" s="274" t="s">
        <v>3173</v>
      </c>
      <c r="F320" s="275">
        <v>12.33</v>
      </c>
      <c r="G320" s="266" t="s">
        <v>0</v>
      </c>
      <c r="H320" s="284">
        <v>52.39</v>
      </c>
      <c r="I320" s="269">
        <f t="shared" si="8"/>
        <v>66.78</v>
      </c>
      <c r="J320" s="1114"/>
      <c r="K320" s="270">
        <f t="shared" si="9"/>
        <v>823.4</v>
      </c>
    </row>
    <row r="321" spans="2:11" s="989" customFormat="1">
      <c r="B321" s="294" t="s">
        <v>1505</v>
      </c>
      <c r="C321" s="273" t="s">
        <v>184</v>
      </c>
      <c r="D321" s="273" t="s">
        <v>1180</v>
      </c>
      <c r="E321" s="274" t="s">
        <v>3145</v>
      </c>
      <c r="F321" s="275">
        <v>5.7</v>
      </c>
      <c r="G321" s="266" t="s">
        <v>0</v>
      </c>
      <c r="H321" s="300">
        <v>19.260000000000002</v>
      </c>
      <c r="I321" s="269">
        <f t="shared" si="8"/>
        <v>24.55</v>
      </c>
      <c r="J321" s="1114"/>
      <c r="K321" s="270">
        <f t="shared" si="9"/>
        <v>139.94</v>
      </c>
    </row>
    <row r="322" spans="2:11" s="989" customFormat="1">
      <c r="B322" s="294" t="s">
        <v>1506</v>
      </c>
      <c r="C322" s="273" t="s">
        <v>184</v>
      </c>
      <c r="D322" s="264" t="s">
        <v>1261</v>
      </c>
      <c r="E322" s="274" t="s">
        <v>3178</v>
      </c>
      <c r="F322" s="266">
        <v>258.57</v>
      </c>
      <c r="G322" s="267" t="s">
        <v>1507</v>
      </c>
      <c r="H322" s="284">
        <v>8.83</v>
      </c>
      <c r="I322" s="269">
        <f t="shared" si="8"/>
        <v>11.25</v>
      </c>
      <c r="J322" s="1114"/>
      <c r="K322" s="270">
        <f t="shared" si="9"/>
        <v>2908.91</v>
      </c>
    </row>
    <row r="323" spans="2:11" s="989" customFormat="1">
      <c r="B323" s="294" t="s">
        <v>1508</v>
      </c>
      <c r="C323" s="273"/>
      <c r="D323" s="273"/>
      <c r="E323" s="274" t="s">
        <v>3235</v>
      </c>
      <c r="F323" s="275"/>
      <c r="G323" s="266"/>
      <c r="H323" s="284"/>
      <c r="I323" s="269">
        <f t="shared" si="8"/>
        <v>0</v>
      </c>
      <c r="J323" s="1114"/>
      <c r="K323" s="270">
        <f t="shared" si="9"/>
        <v>0</v>
      </c>
    </row>
    <row r="324" spans="2:11" s="989" customFormat="1" ht="51">
      <c r="B324" s="294" t="s">
        <v>1509</v>
      </c>
      <c r="C324" s="273" t="s">
        <v>1099</v>
      </c>
      <c r="D324" s="273" t="s">
        <v>1339</v>
      </c>
      <c r="E324" s="274" t="s">
        <v>3236</v>
      </c>
      <c r="F324" s="275">
        <v>84</v>
      </c>
      <c r="G324" s="266" t="s">
        <v>3</v>
      </c>
      <c r="H324" s="284">
        <v>162.76</v>
      </c>
      <c r="I324" s="269">
        <f t="shared" si="8"/>
        <v>207.45</v>
      </c>
      <c r="J324" s="1114"/>
      <c r="K324" s="270">
        <f t="shared" si="9"/>
        <v>17425.8</v>
      </c>
    </row>
    <row r="325" spans="2:11" s="989" customFormat="1">
      <c r="B325" s="294" t="s">
        <v>1510</v>
      </c>
      <c r="C325" s="273" t="s">
        <v>182</v>
      </c>
      <c r="D325" s="273" t="s">
        <v>1511</v>
      </c>
      <c r="E325" s="274" t="s">
        <v>3237</v>
      </c>
      <c r="F325" s="275">
        <v>1</v>
      </c>
      <c r="G325" s="266" t="s">
        <v>1507</v>
      </c>
      <c r="H325" s="300">
        <v>903.2</v>
      </c>
      <c r="I325" s="269">
        <f t="shared" si="8"/>
        <v>1151.22</v>
      </c>
      <c r="J325" s="1114"/>
      <c r="K325" s="270">
        <f t="shared" si="9"/>
        <v>1151.22</v>
      </c>
    </row>
    <row r="326" spans="2:11" s="989" customFormat="1">
      <c r="B326" s="294" t="s">
        <v>1512</v>
      </c>
      <c r="C326" s="273" t="s">
        <v>182</v>
      </c>
      <c r="D326" s="264" t="s">
        <v>1330</v>
      </c>
      <c r="E326" s="274" t="s">
        <v>3182</v>
      </c>
      <c r="F326" s="266">
        <v>1015.99</v>
      </c>
      <c r="G326" s="267" t="s">
        <v>1507</v>
      </c>
      <c r="H326" s="284">
        <v>61.27</v>
      </c>
      <c r="I326" s="269">
        <f t="shared" si="8"/>
        <v>78.09</v>
      </c>
      <c r="J326" s="1114"/>
      <c r="K326" s="270">
        <f t="shared" si="9"/>
        <v>79338.66</v>
      </c>
    </row>
    <row r="327" spans="2:11" s="989" customFormat="1" ht="51">
      <c r="B327" s="294" t="s">
        <v>1513</v>
      </c>
      <c r="C327" s="273" t="s">
        <v>1099</v>
      </c>
      <c r="D327" s="273" t="s">
        <v>1269</v>
      </c>
      <c r="E327" s="274" t="s">
        <v>3161</v>
      </c>
      <c r="F327" s="275">
        <v>326.02999999999997</v>
      </c>
      <c r="G327" s="266" t="s">
        <v>2</v>
      </c>
      <c r="H327" s="284">
        <v>97.36</v>
      </c>
      <c r="I327" s="269">
        <f t="shared" si="8"/>
        <v>124.1</v>
      </c>
      <c r="J327" s="1114"/>
      <c r="K327" s="270">
        <f t="shared" si="9"/>
        <v>40460.32</v>
      </c>
    </row>
    <row r="328" spans="2:11" s="989" customFormat="1">
      <c r="B328" s="294" t="s">
        <v>1514</v>
      </c>
      <c r="C328" s="273" t="s">
        <v>1099</v>
      </c>
      <c r="D328" s="273" t="s">
        <v>1515</v>
      </c>
      <c r="E328" s="274" t="s">
        <v>3238</v>
      </c>
      <c r="F328" s="275">
        <v>203</v>
      </c>
      <c r="G328" s="266" t="s">
        <v>737</v>
      </c>
      <c r="H328" s="284">
        <v>125.41</v>
      </c>
      <c r="I328" s="269">
        <f t="shared" si="8"/>
        <v>159.85</v>
      </c>
      <c r="J328" s="1114"/>
      <c r="K328" s="270">
        <f t="shared" si="9"/>
        <v>32449.55</v>
      </c>
    </row>
    <row r="329" spans="2:11" s="989" customFormat="1">
      <c r="B329" s="294" t="s">
        <v>1516</v>
      </c>
      <c r="C329" s="273" t="s">
        <v>1099</v>
      </c>
      <c r="D329" s="273" t="s">
        <v>1267</v>
      </c>
      <c r="E329" s="274" t="s">
        <v>3160</v>
      </c>
      <c r="F329" s="275">
        <v>6186</v>
      </c>
      <c r="G329" s="266" t="s">
        <v>763</v>
      </c>
      <c r="H329" s="300">
        <v>12.75</v>
      </c>
      <c r="I329" s="269">
        <f t="shared" si="8"/>
        <v>16.25</v>
      </c>
      <c r="J329" s="1114"/>
      <c r="K329" s="270">
        <f t="shared" si="9"/>
        <v>100522.5</v>
      </c>
    </row>
    <row r="330" spans="2:11" s="989" customFormat="1">
      <c r="B330" s="294" t="s">
        <v>1517</v>
      </c>
      <c r="C330" s="273" t="s">
        <v>1099</v>
      </c>
      <c r="D330" s="264" t="s">
        <v>1332</v>
      </c>
      <c r="E330" s="274" t="s">
        <v>3163</v>
      </c>
      <c r="F330" s="266">
        <v>238</v>
      </c>
      <c r="G330" s="267" t="s">
        <v>763</v>
      </c>
      <c r="H330" s="284">
        <v>11.88</v>
      </c>
      <c r="I330" s="269">
        <f t="shared" si="8"/>
        <v>15.14</v>
      </c>
      <c r="J330" s="1114"/>
      <c r="K330" s="270">
        <f t="shared" si="9"/>
        <v>3603.32</v>
      </c>
    </row>
    <row r="331" spans="2:11" s="989" customFormat="1">
      <c r="B331" s="294" t="s">
        <v>1518</v>
      </c>
      <c r="C331" s="273" t="s">
        <v>184</v>
      </c>
      <c r="D331" s="273" t="s">
        <v>1321</v>
      </c>
      <c r="E331" s="274" t="s">
        <v>3179</v>
      </c>
      <c r="F331" s="275">
        <v>58.15</v>
      </c>
      <c r="G331" s="266" t="s">
        <v>0</v>
      </c>
      <c r="H331" s="284">
        <v>669.19</v>
      </c>
      <c r="I331" s="269">
        <f t="shared" si="8"/>
        <v>852.95</v>
      </c>
      <c r="J331" s="1114"/>
      <c r="K331" s="270">
        <f t="shared" si="9"/>
        <v>49599.040000000001</v>
      </c>
    </row>
    <row r="332" spans="2:11" s="989" customFormat="1">
      <c r="B332" s="294" t="s">
        <v>1519</v>
      </c>
      <c r="C332" s="273"/>
      <c r="D332" s="273"/>
      <c r="E332" s="274" t="s">
        <v>3239</v>
      </c>
      <c r="F332" s="275"/>
      <c r="G332" s="266"/>
      <c r="H332" s="284"/>
      <c r="I332" s="269">
        <f t="shared" si="8"/>
        <v>0</v>
      </c>
      <c r="J332" s="1114"/>
      <c r="K332" s="270">
        <f t="shared" si="9"/>
        <v>0</v>
      </c>
    </row>
    <row r="333" spans="2:11" s="989" customFormat="1" ht="51">
      <c r="B333" s="294" t="s">
        <v>1520</v>
      </c>
      <c r="C333" s="273" t="s">
        <v>1099</v>
      </c>
      <c r="D333" s="273" t="s">
        <v>1365</v>
      </c>
      <c r="E333" s="274" t="s">
        <v>3196</v>
      </c>
      <c r="F333" s="275">
        <v>367.75</v>
      </c>
      <c r="G333" s="266" t="s">
        <v>737</v>
      </c>
      <c r="H333" s="300">
        <v>19.8</v>
      </c>
      <c r="I333" s="269">
        <f t="shared" si="8"/>
        <v>25.24</v>
      </c>
      <c r="J333" s="1114"/>
      <c r="K333" s="270">
        <f t="shared" si="9"/>
        <v>9282.01</v>
      </c>
    </row>
    <row r="334" spans="2:11" s="989" customFormat="1" ht="73.900000000000006" customHeight="1">
      <c r="B334" s="294" t="s">
        <v>1521</v>
      </c>
      <c r="C334" s="273" t="s">
        <v>1099</v>
      </c>
      <c r="D334" s="264" t="s">
        <v>1522</v>
      </c>
      <c r="E334" s="274" t="s">
        <v>3240</v>
      </c>
      <c r="F334" s="266">
        <v>367.75</v>
      </c>
      <c r="G334" s="267" t="s">
        <v>737</v>
      </c>
      <c r="H334" s="284">
        <v>26.75</v>
      </c>
      <c r="I334" s="269">
        <f t="shared" si="8"/>
        <v>34.1</v>
      </c>
      <c r="J334" s="1114"/>
      <c r="K334" s="270">
        <f t="shared" si="9"/>
        <v>12540.28</v>
      </c>
    </row>
    <row r="335" spans="2:11" s="989" customFormat="1" ht="51">
      <c r="B335" s="294" t="s">
        <v>1523</v>
      </c>
      <c r="C335" s="273" t="s">
        <v>1099</v>
      </c>
      <c r="D335" s="273" t="s">
        <v>1524</v>
      </c>
      <c r="E335" s="274" t="s">
        <v>3241</v>
      </c>
      <c r="F335" s="275">
        <v>36.32</v>
      </c>
      <c r="G335" s="266" t="s">
        <v>737</v>
      </c>
      <c r="H335" s="284">
        <v>55.47</v>
      </c>
      <c r="I335" s="269">
        <f t="shared" si="8"/>
        <v>70.7</v>
      </c>
      <c r="J335" s="1114"/>
      <c r="K335" s="270">
        <f t="shared" si="9"/>
        <v>2567.8200000000002</v>
      </c>
    </row>
    <row r="336" spans="2:11" s="989" customFormat="1">
      <c r="B336" s="294" t="s">
        <v>1525</v>
      </c>
      <c r="C336" s="273" t="s">
        <v>1099</v>
      </c>
      <c r="D336" s="273" t="s">
        <v>1526</v>
      </c>
      <c r="E336" s="274" t="s">
        <v>3242</v>
      </c>
      <c r="F336" s="275">
        <v>116.74</v>
      </c>
      <c r="G336" s="266" t="s">
        <v>737</v>
      </c>
      <c r="H336" s="284">
        <v>125.85</v>
      </c>
      <c r="I336" s="269">
        <f t="shared" si="8"/>
        <v>160.41</v>
      </c>
      <c r="J336" s="1114"/>
      <c r="K336" s="270">
        <f t="shared" si="9"/>
        <v>18726.259999999998</v>
      </c>
    </row>
    <row r="337" spans="2:11" s="989" customFormat="1" ht="51">
      <c r="B337" s="294" t="s">
        <v>1527</v>
      </c>
      <c r="C337" s="273" t="s">
        <v>1099</v>
      </c>
      <c r="D337" s="273" t="s">
        <v>1365</v>
      </c>
      <c r="E337" s="274" t="s">
        <v>3196</v>
      </c>
      <c r="F337" s="275">
        <v>116.74</v>
      </c>
      <c r="G337" s="266" t="s">
        <v>737</v>
      </c>
      <c r="H337" s="300">
        <v>19.8</v>
      </c>
      <c r="I337" s="269">
        <f t="shared" si="8"/>
        <v>25.24</v>
      </c>
      <c r="J337" s="1114"/>
      <c r="K337" s="270">
        <f t="shared" si="9"/>
        <v>2946.52</v>
      </c>
    </row>
    <row r="338" spans="2:11" s="989" customFormat="1" ht="51">
      <c r="B338" s="294" t="s">
        <v>1528</v>
      </c>
      <c r="C338" s="273" t="s">
        <v>184</v>
      </c>
      <c r="D338" s="264" t="s">
        <v>1529</v>
      </c>
      <c r="E338" s="274" t="s">
        <v>3243</v>
      </c>
      <c r="F338" s="266">
        <v>153.06</v>
      </c>
      <c r="G338" s="267" t="s">
        <v>737</v>
      </c>
      <c r="H338" s="284">
        <v>40.36</v>
      </c>
      <c r="I338" s="269">
        <f t="shared" si="8"/>
        <v>51.44</v>
      </c>
      <c r="J338" s="1114"/>
      <c r="K338" s="270">
        <f t="shared" si="9"/>
        <v>7873.41</v>
      </c>
    </row>
    <row r="339" spans="2:11" s="989" customFormat="1">
      <c r="B339" s="294" t="s">
        <v>1530</v>
      </c>
      <c r="C339" s="273" t="s">
        <v>1099</v>
      </c>
      <c r="D339" s="273" t="s">
        <v>1531</v>
      </c>
      <c r="E339" s="274" t="s">
        <v>3244</v>
      </c>
      <c r="F339" s="275">
        <v>3.63</v>
      </c>
      <c r="G339" s="266" t="s">
        <v>1507</v>
      </c>
      <c r="H339" s="284">
        <v>196.5</v>
      </c>
      <c r="I339" s="269">
        <f t="shared" si="8"/>
        <v>250.46</v>
      </c>
      <c r="J339" s="1114"/>
      <c r="K339" s="270">
        <f t="shared" si="9"/>
        <v>909.17</v>
      </c>
    </row>
    <row r="340" spans="2:11" s="989" customFormat="1">
      <c r="B340" s="294" t="s">
        <v>1532</v>
      </c>
      <c r="C340" s="273"/>
      <c r="D340" s="273"/>
      <c r="E340" s="274" t="s">
        <v>3245</v>
      </c>
      <c r="F340" s="275"/>
      <c r="G340" s="266"/>
      <c r="H340" s="284"/>
      <c r="I340" s="269">
        <f t="shared" si="8"/>
        <v>0</v>
      </c>
      <c r="J340" s="1114"/>
      <c r="K340" s="270">
        <f t="shared" si="9"/>
        <v>0</v>
      </c>
    </row>
    <row r="341" spans="2:11" s="989" customFormat="1">
      <c r="B341" s="294" t="s">
        <v>1533</v>
      </c>
      <c r="C341" s="273" t="s">
        <v>1099</v>
      </c>
      <c r="D341" s="273" t="s">
        <v>1534</v>
      </c>
      <c r="E341" s="274" t="s">
        <v>3246</v>
      </c>
      <c r="F341" s="275">
        <v>1</v>
      </c>
      <c r="G341" s="266" t="s">
        <v>704</v>
      </c>
      <c r="H341" s="300">
        <v>1608.45</v>
      </c>
      <c r="I341" s="269">
        <f t="shared" si="8"/>
        <v>2050.13</v>
      </c>
      <c r="J341" s="1114"/>
      <c r="K341" s="270">
        <f t="shared" si="9"/>
        <v>2050.13</v>
      </c>
    </row>
    <row r="342" spans="2:11" s="989" customFormat="1">
      <c r="B342" s="294" t="s">
        <v>1535</v>
      </c>
      <c r="C342" s="273" t="s">
        <v>1099</v>
      </c>
      <c r="D342" s="264" t="s">
        <v>1536</v>
      </c>
      <c r="E342" s="274" t="s">
        <v>3247</v>
      </c>
      <c r="F342" s="266">
        <v>20.3</v>
      </c>
      <c r="G342" s="267" t="s">
        <v>3</v>
      </c>
      <c r="H342" s="284">
        <v>34.76</v>
      </c>
      <c r="I342" s="269">
        <f t="shared" si="8"/>
        <v>44.31</v>
      </c>
      <c r="J342" s="1114"/>
      <c r="K342" s="270">
        <f t="shared" si="9"/>
        <v>899.49</v>
      </c>
    </row>
    <row r="343" spans="2:11" s="989" customFormat="1">
      <c r="B343" s="294" t="s">
        <v>1537</v>
      </c>
      <c r="C343" s="273" t="s">
        <v>1099</v>
      </c>
      <c r="D343" s="273" t="s">
        <v>1538</v>
      </c>
      <c r="E343" s="274" t="s">
        <v>3248</v>
      </c>
      <c r="F343" s="275">
        <v>1</v>
      </c>
      <c r="G343" s="266" t="s">
        <v>704</v>
      </c>
      <c r="H343" s="284">
        <v>1852.89</v>
      </c>
      <c r="I343" s="269">
        <f t="shared" ref="I343:I406" si="10">H343*(1+$I$16)</f>
        <v>2361.69</v>
      </c>
      <c r="J343" s="1114"/>
      <c r="K343" s="270">
        <f t="shared" ref="K343:K406" si="11">I343*F343</f>
        <v>2361.69</v>
      </c>
    </row>
    <row r="344" spans="2:11" s="989" customFormat="1" ht="51">
      <c r="B344" s="294" t="s">
        <v>1539</v>
      </c>
      <c r="C344" s="273" t="s">
        <v>1092</v>
      </c>
      <c r="D344" s="273" t="s">
        <v>1540</v>
      </c>
      <c r="E344" s="274" t="s">
        <v>3249</v>
      </c>
      <c r="F344" s="275">
        <v>1</v>
      </c>
      <c r="G344" s="266" t="s">
        <v>704</v>
      </c>
      <c r="H344" s="284">
        <v>650</v>
      </c>
      <c r="I344" s="269">
        <f t="shared" si="10"/>
        <v>828.49</v>
      </c>
      <c r="J344" s="1114"/>
      <c r="K344" s="270">
        <f t="shared" si="11"/>
        <v>828.49</v>
      </c>
    </row>
    <row r="345" spans="2:11" s="989" customFormat="1">
      <c r="B345" s="294" t="s">
        <v>1541</v>
      </c>
      <c r="C345" s="273"/>
      <c r="D345" s="273"/>
      <c r="E345" s="274" t="s">
        <v>3250</v>
      </c>
      <c r="F345" s="275"/>
      <c r="G345" s="266"/>
      <c r="H345" s="300"/>
      <c r="I345" s="269">
        <f t="shared" si="10"/>
        <v>0</v>
      </c>
      <c r="J345" s="1114"/>
      <c r="K345" s="270">
        <f t="shared" si="11"/>
        <v>0</v>
      </c>
    </row>
    <row r="346" spans="2:11" s="989" customFormat="1">
      <c r="B346" s="294" t="s">
        <v>1542</v>
      </c>
      <c r="C346" s="273" t="s">
        <v>182</v>
      </c>
      <c r="D346" s="264" t="s">
        <v>1543</v>
      </c>
      <c r="E346" s="274" t="s">
        <v>3251</v>
      </c>
      <c r="F346" s="266">
        <v>75.430000000000007</v>
      </c>
      <c r="G346" s="267" t="s">
        <v>737</v>
      </c>
      <c r="H346" s="284">
        <v>7.97</v>
      </c>
      <c r="I346" s="269">
        <f t="shared" si="10"/>
        <v>10.16</v>
      </c>
      <c r="J346" s="1114"/>
      <c r="K346" s="270">
        <f t="shared" si="11"/>
        <v>766.37</v>
      </c>
    </row>
    <row r="347" spans="2:11" s="989" customFormat="1">
      <c r="B347" s="294" t="s">
        <v>1544</v>
      </c>
      <c r="C347" s="273"/>
      <c r="D347" s="273"/>
      <c r="E347" s="274" t="s">
        <v>3252</v>
      </c>
      <c r="F347" s="275"/>
      <c r="G347" s="266"/>
      <c r="H347" s="284"/>
      <c r="I347" s="269">
        <f t="shared" si="10"/>
        <v>0</v>
      </c>
      <c r="J347" s="1114"/>
      <c r="K347" s="270">
        <f t="shared" si="11"/>
        <v>0</v>
      </c>
    </row>
    <row r="348" spans="2:11" s="989" customFormat="1">
      <c r="B348" s="294" t="s">
        <v>1545</v>
      </c>
      <c r="C348" s="273"/>
      <c r="D348" s="273"/>
      <c r="E348" s="274" t="s">
        <v>3253</v>
      </c>
      <c r="F348" s="275"/>
      <c r="G348" s="266"/>
      <c r="H348" s="284"/>
      <c r="I348" s="269">
        <f t="shared" si="10"/>
        <v>0</v>
      </c>
      <c r="J348" s="1114"/>
      <c r="K348" s="270">
        <f t="shared" si="11"/>
        <v>0</v>
      </c>
    </row>
    <row r="349" spans="2:11" s="989" customFormat="1" ht="51">
      <c r="B349" s="294" t="s">
        <v>1546</v>
      </c>
      <c r="C349" s="273" t="s">
        <v>1092</v>
      </c>
      <c r="D349" s="273" t="s">
        <v>1432</v>
      </c>
      <c r="E349" s="274" t="s">
        <v>3222</v>
      </c>
      <c r="F349" s="275">
        <v>1</v>
      </c>
      <c r="G349" s="266" t="s">
        <v>1093</v>
      </c>
      <c r="H349" s="300">
        <v>2750</v>
      </c>
      <c r="I349" s="269">
        <f t="shared" si="10"/>
        <v>3505.15</v>
      </c>
      <c r="J349" s="1114"/>
      <c r="K349" s="270">
        <f t="shared" si="11"/>
        <v>3505.15</v>
      </c>
    </row>
    <row r="350" spans="2:11" s="989" customFormat="1">
      <c r="B350" s="294" t="s">
        <v>1547</v>
      </c>
      <c r="C350" s="273" t="s">
        <v>1099</v>
      </c>
      <c r="D350" s="264" t="s">
        <v>1421</v>
      </c>
      <c r="E350" s="274" t="s">
        <v>3418</v>
      </c>
      <c r="F350" s="266">
        <v>1</v>
      </c>
      <c r="G350" s="267" t="s">
        <v>1093</v>
      </c>
      <c r="H350" s="284">
        <v>2581.3200000000002</v>
      </c>
      <c r="I350" s="269">
        <f t="shared" si="10"/>
        <v>3290.15</v>
      </c>
      <c r="J350" s="1114"/>
      <c r="K350" s="270">
        <f t="shared" si="11"/>
        <v>3290.15</v>
      </c>
    </row>
    <row r="351" spans="2:11" s="989" customFormat="1">
      <c r="B351" s="294" t="s">
        <v>1548</v>
      </c>
      <c r="C351" s="273" t="s">
        <v>1092</v>
      </c>
      <c r="D351" s="273" t="s">
        <v>1549</v>
      </c>
      <c r="E351" s="274" t="s">
        <v>3419</v>
      </c>
      <c r="F351" s="275">
        <v>1</v>
      </c>
      <c r="G351" s="266" t="s">
        <v>1093</v>
      </c>
      <c r="H351" s="284">
        <v>545</v>
      </c>
      <c r="I351" s="269">
        <f t="shared" si="10"/>
        <v>694.66</v>
      </c>
      <c r="J351" s="1114"/>
      <c r="K351" s="270">
        <f t="shared" si="11"/>
        <v>694.66</v>
      </c>
    </row>
    <row r="352" spans="2:11" s="989" customFormat="1">
      <c r="B352" s="294" t="s">
        <v>1550</v>
      </c>
      <c r="C352" s="273" t="s">
        <v>1099</v>
      </c>
      <c r="D352" s="273" t="s">
        <v>1421</v>
      </c>
      <c r="E352" s="274" t="s">
        <v>3420</v>
      </c>
      <c r="F352" s="275">
        <v>2</v>
      </c>
      <c r="G352" s="266" t="s">
        <v>1093</v>
      </c>
      <c r="H352" s="284">
        <v>2581.3200000000002</v>
      </c>
      <c r="I352" s="269">
        <f t="shared" si="10"/>
        <v>3290.15</v>
      </c>
      <c r="J352" s="1114"/>
      <c r="K352" s="270">
        <f t="shared" si="11"/>
        <v>6580.3</v>
      </c>
    </row>
    <row r="353" spans="2:11" s="989" customFormat="1">
      <c r="B353" s="294" t="s">
        <v>1551</v>
      </c>
      <c r="C353" s="273" t="s">
        <v>1099</v>
      </c>
      <c r="D353" s="273" t="s">
        <v>1421</v>
      </c>
      <c r="E353" s="274" t="s">
        <v>3421</v>
      </c>
      <c r="F353" s="275">
        <v>3</v>
      </c>
      <c r="G353" s="266" t="s">
        <v>1093</v>
      </c>
      <c r="H353" s="300">
        <v>2581.3200000000002</v>
      </c>
      <c r="I353" s="269">
        <f t="shared" si="10"/>
        <v>3290.15</v>
      </c>
      <c r="J353" s="1114"/>
      <c r="K353" s="270">
        <f t="shared" si="11"/>
        <v>9870.4500000000007</v>
      </c>
    </row>
    <row r="354" spans="2:11" s="989" customFormat="1">
      <c r="B354" s="294" t="s">
        <v>1552</v>
      </c>
      <c r="C354" s="273" t="s">
        <v>1092</v>
      </c>
      <c r="D354" s="264" t="s">
        <v>1553</v>
      </c>
      <c r="E354" s="274" t="s">
        <v>3422</v>
      </c>
      <c r="F354" s="266">
        <v>1</v>
      </c>
      <c r="G354" s="267" t="s">
        <v>1093</v>
      </c>
      <c r="H354" s="284">
        <v>531</v>
      </c>
      <c r="I354" s="269">
        <f t="shared" si="10"/>
        <v>676.81</v>
      </c>
      <c r="J354" s="1114"/>
      <c r="K354" s="270">
        <f t="shared" si="11"/>
        <v>676.81</v>
      </c>
    </row>
    <row r="355" spans="2:11" s="989" customFormat="1">
      <c r="B355" s="294" t="s">
        <v>1554</v>
      </c>
      <c r="C355" s="273" t="s">
        <v>1099</v>
      </c>
      <c r="D355" s="273" t="s">
        <v>1555</v>
      </c>
      <c r="E355" s="274" t="s">
        <v>3423</v>
      </c>
      <c r="F355" s="275">
        <v>1</v>
      </c>
      <c r="G355" s="266" t="s">
        <v>1093</v>
      </c>
      <c r="H355" s="284">
        <v>1073.03</v>
      </c>
      <c r="I355" s="269">
        <f t="shared" si="10"/>
        <v>1367.68</v>
      </c>
      <c r="J355" s="1114"/>
      <c r="K355" s="270">
        <f t="shared" si="11"/>
        <v>1367.68</v>
      </c>
    </row>
    <row r="356" spans="2:11" s="989" customFormat="1">
      <c r="B356" s="294" t="s">
        <v>1556</v>
      </c>
      <c r="C356" s="273"/>
      <c r="D356" s="273"/>
      <c r="E356" s="274" t="s">
        <v>3254</v>
      </c>
      <c r="F356" s="275">
        <v>1</v>
      </c>
      <c r="G356" s="266" t="s">
        <v>1093</v>
      </c>
      <c r="H356" s="284"/>
      <c r="I356" s="269">
        <f t="shared" si="10"/>
        <v>0</v>
      </c>
      <c r="J356" s="1114"/>
      <c r="K356" s="270">
        <f t="shared" si="11"/>
        <v>0</v>
      </c>
    </row>
    <row r="357" spans="2:11" s="989" customFormat="1">
      <c r="B357" s="294" t="s">
        <v>1557</v>
      </c>
      <c r="C357" s="273"/>
      <c r="D357" s="273"/>
      <c r="E357" s="274" t="s">
        <v>3255</v>
      </c>
      <c r="F357" s="275"/>
      <c r="G357" s="266"/>
      <c r="H357" s="300"/>
      <c r="I357" s="269">
        <f t="shared" si="10"/>
        <v>0</v>
      </c>
      <c r="J357" s="1114"/>
      <c r="K357" s="270">
        <f t="shared" si="11"/>
        <v>0</v>
      </c>
    </row>
    <row r="358" spans="2:11" s="989" customFormat="1" ht="24.95" customHeight="1">
      <c r="B358" s="294" t="s">
        <v>1558</v>
      </c>
      <c r="C358" s="273" t="s">
        <v>1099</v>
      </c>
      <c r="D358" s="264" t="s">
        <v>1559</v>
      </c>
      <c r="E358" s="274" t="s">
        <v>3424</v>
      </c>
      <c r="F358" s="266">
        <v>1</v>
      </c>
      <c r="G358" s="267" t="s">
        <v>1093</v>
      </c>
      <c r="H358" s="284">
        <v>2255.37</v>
      </c>
      <c r="I358" s="269">
        <f t="shared" si="10"/>
        <v>2874.69</v>
      </c>
      <c r="J358" s="1114"/>
      <c r="K358" s="270">
        <f t="shared" si="11"/>
        <v>2874.69</v>
      </c>
    </row>
    <row r="359" spans="2:11" s="989" customFormat="1" ht="51">
      <c r="B359" s="294" t="s">
        <v>1560</v>
      </c>
      <c r="C359" s="273" t="s">
        <v>1092</v>
      </c>
      <c r="D359" s="273" t="s">
        <v>1419</v>
      </c>
      <c r="E359" s="274" t="s">
        <v>3228</v>
      </c>
      <c r="F359" s="275">
        <v>1</v>
      </c>
      <c r="G359" s="266" t="s">
        <v>1093</v>
      </c>
      <c r="H359" s="284">
        <v>4100</v>
      </c>
      <c r="I359" s="269">
        <f t="shared" si="10"/>
        <v>5225.8599999999997</v>
      </c>
      <c r="J359" s="1114"/>
      <c r="K359" s="270">
        <f t="shared" si="11"/>
        <v>5225.8599999999997</v>
      </c>
    </row>
    <row r="360" spans="2:11" s="989" customFormat="1">
      <c r="B360" s="294" t="s">
        <v>1561</v>
      </c>
      <c r="C360" s="273" t="s">
        <v>1099</v>
      </c>
      <c r="D360" s="273" t="s">
        <v>1562</v>
      </c>
      <c r="E360" s="274" t="s">
        <v>3425</v>
      </c>
      <c r="F360" s="275">
        <v>1</v>
      </c>
      <c r="G360" s="266" t="s">
        <v>1093</v>
      </c>
      <c r="H360" s="284">
        <v>3159.85</v>
      </c>
      <c r="I360" s="269">
        <f t="shared" si="10"/>
        <v>4027.54</v>
      </c>
      <c r="J360" s="1114"/>
      <c r="K360" s="270">
        <f t="shared" si="11"/>
        <v>4027.54</v>
      </c>
    </row>
    <row r="361" spans="2:11" s="989" customFormat="1">
      <c r="B361" s="294" t="s">
        <v>1563</v>
      </c>
      <c r="C361" s="273" t="s">
        <v>1092</v>
      </c>
      <c r="D361" s="273" t="s">
        <v>1564</v>
      </c>
      <c r="E361" s="274" t="s">
        <v>3426</v>
      </c>
      <c r="F361" s="275">
        <v>1</v>
      </c>
      <c r="G361" s="266" t="s">
        <v>1093</v>
      </c>
      <c r="H361" s="300">
        <v>781</v>
      </c>
      <c r="I361" s="269">
        <f t="shared" si="10"/>
        <v>995.46</v>
      </c>
      <c r="J361" s="1114"/>
      <c r="K361" s="270">
        <f t="shared" si="11"/>
        <v>995.46</v>
      </c>
    </row>
    <row r="362" spans="2:11" s="989" customFormat="1">
      <c r="B362" s="294" t="s">
        <v>1565</v>
      </c>
      <c r="C362" s="273" t="s">
        <v>1099</v>
      </c>
      <c r="D362" s="264" t="s">
        <v>1562</v>
      </c>
      <c r="E362" s="274" t="s">
        <v>3427</v>
      </c>
      <c r="F362" s="266">
        <v>1</v>
      </c>
      <c r="G362" s="267" t="s">
        <v>1093</v>
      </c>
      <c r="H362" s="284">
        <v>3159.85</v>
      </c>
      <c r="I362" s="269">
        <f t="shared" si="10"/>
        <v>4027.54</v>
      </c>
      <c r="J362" s="1114"/>
      <c r="K362" s="270">
        <f t="shared" si="11"/>
        <v>4027.54</v>
      </c>
    </row>
    <row r="363" spans="2:11" s="989" customFormat="1">
      <c r="B363" s="294" t="s">
        <v>1566</v>
      </c>
      <c r="C363" s="273" t="s">
        <v>1099</v>
      </c>
      <c r="D363" s="273" t="s">
        <v>1562</v>
      </c>
      <c r="E363" s="274" t="s">
        <v>3428</v>
      </c>
      <c r="F363" s="275">
        <v>2</v>
      </c>
      <c r="G363" s="266" t="s">
        <v>1093</v>
      </c>
      <c r="H363" s="284">
        <v>3159.85</v>
      </c>
      <c r="I363" s="269">
        <f t="shared" si="10"/>
        <v>4027.54</v>
      </c>
      <c r="J363" s="1114"/>
      <c r="K363" s="270">
        <f t="shared" si="11"/>
        <v>8055.08</v>
      </c>
    </row>
    <row r="364" spans="2:11" s="989" customFormat="1">
      <c r="B364" s="294" t="s">
        <v>1567</v>
      </c>
      <c r="C364" s="273" t="s">
        <v>1092</v>
      </c>
      <c r="D364" s="273" t="s">
        <v>1568</v>
      </c>
      <c r="E364" s="274" t="s">
        <v>3429</v>
      </c>
      <c r="F364" s="275">
        <v>1</v>
      </c>
      <c r="G364" s="266" t="s">
        <v>1093</v>
      </c>
      <c r="H364" s="284">
        <v>712</v>
      </c>
      <c r="I364" s="269">
        <f t="shared" si="10"/>
        <v>907.52</v>
      </c>
      <c r="J364" s="1114"/>
      <c r="K364" s="270">
        <f t="shared" si="11"/>
        <v>907.52</v>
      </c>
    </row>
    <row r="365" spans="2:11" s="989" customFormat="1">
      <c r="B365" s="294" t="s">
        <v>1569</v>
      </c>
      <c r="C365" s="273" t="s">
        <v>1099</v>
      </c>
      <c r="D365" s="273" t="s">
        <v>1570</v>
      </c>
      <c r="E365" s="274" t="s">
        <v>3430</v>
      </c>
      <c r="F365" s="275">
        <v>1</v>
      </c>
      <c r="G365" s="266" t="s">
        <v>1093</v>
      </c>
      <c r="H365" s="300">
        <v>2418.98</v>
      </c>
      <c r="I365" s="269">
        <f t="shared" si="10"/>
        <v>3083.23</v>
      </c>
      <c r="J365" s="1114"/>
      <c r="K365" s="270">
        <f t="shared" si="11"/>
        <v>3083.23</v>
      </c>
    </row>
    <row r="366" spans="2:11" s="989" customFormat="1">
      <c r="B366" s="294" t="s">
        <v>1571</v>
      </c>
      <c r="C366" s="273"/>
      <c r="D366" s="264"/>
      <c r="E366" s="274" t="s">
        <v>3256</v>
      </c>
      <c r="F366" s="266"/>
      <c r="G366" s="267"/>
      <c r="H366" s="284"/>
      <c r="I366" s="269">
        <f t="shared" si="10"/>
        <v>0</v>
      </c>
      <c r="J366" s="1114"/>
      <c r="K366" s="270">
        <f t="shared" si="11"/>
        <v>0</v>
      </c>
    </row>
    <row r="367" spans="2:11" s="989" customFormat="1">
      <c r="B367" s="294" t="s">
        <v>1572</v>
      </c>
      <c r="C367" s="273" t="s">
        <v>1092</v>
      </c>
      <c r="D367" s="273" t="s">
        <v>1573</v>
      </c>
      <c r="E367" s="274" t="s">
        <v>3431</v>
      </c>
      <c r="F367" s="275">
        <v>1</v>
      </c>
      <c r="G367" s="266" t="s">
        <v>1093</v>
      </c>
      <c r="H367" s="284">
        <v>981</v>
      </c>
      <c r="I367" s="269">
        <f t="shared" si="10"/>
        <v>1250.3800000000001</v>
      </c>
      <c r="J367" s="1114"/>
      <c r="K367" s="270">
        <f t="shared" si="11"/>
        <v>1250.3800000000001</v>
      </c>
    </row>
    <row r="368" spans="2:11" s="989" customFormat="1">
      <c r="B368" s="294" t="s">
        <v>1574</v>
      </c>
      <c r="C368" s="273" t="s">
        <v>1099</v>
      </c>
      <c r="D368" s="273" t="s">
        <v>1421</v>
      </c>
      <c r="E368" s="274" t="s">
        <v>3432</v>
      </c>
      <c r="F368" s="275">
        <v>1</v>
      </c>
      <c r="G368" s="266" t="s">
        <v>1093</v>
      </c>
      <c r="H368" s="284">
        <v>2581.3200000000002</v>
      </c>
      <c r="I368" s="269">
        <f t="shared" si="10"/>
        <v>3290.15</v>
      </c>
      <c r="J368" s="1114"/>
      <c r="K368" s="270">
        <f t="shared" si="11"/>
        <v>3290.15</v>
      </c>
    </row>
    <row r="369" spans="2:11" s="989" customFormat="1">
      <c r="B369" s="294" t="s">
        <v>1575</v>
      </c>
      <c r="C369" s="273" t="s">
        <v>1099</v>
      </c>
      <c r="D369" s="273" t="s">
        <v>1555</v>
      </c>
      <c r="E369" s="274" t="s">
        <v>3423</v>
      </c>
      <c r="F369" s="275">
        <v>1</v>
      </c>
      <c r="G369" s="266" t="s">
        <v>1093</v>
      </c>
      <c r="H369" s="300">
        <v>1073.03</v>
      </c>
      <c r="I369" s="269">
        <f t="shared" si="10"/>
        <v>1367.68</v>
      </c>
      <c r="J369" s="1114"/>
      <c r="K369" s="270">
        <f t="shared" si="11"/>
        <v>1367.68</v>
      </c>
    </row>
    <row r="370" spans="2:11" s="989" customFormat="1">
      <c r="B370" s="294" t="s">
        <v>1576</v>
      </c>
      <c r="C370" s="273" t="s">
        <v>1099</v>
      </c>
      <c r="D370" s="264" t="s">
        <v>1421</v>
      </c>
      <c r="E370" s="274" t="s">
        <v>3421</v>
      </c>
      <c r="F370" s="266">
        <v>2</v>
      </c>
      <c r="G370" s="267" t="s">
        <v>1093</v>
      </c>
      <c r="H370" s="284">
        <v>2581.3200000000002</v>
      </c>
      <c r="I370" s="269">
        <f t="shared" si="10"/>
        <v>3290.15</v>
      </c>
      <c r="J370" s="1114"/>
      <c r="K370" s="270">
        <f t="shared" si="11"/>
        <v>6580.3</v>
      </c>
    </row>
    <row r="371" spans="2:11" s="989" customFormat="1">
      <c r="B371" s="294" t="s">
        <v>1577</v>
      </c>
      <c r="C371" s="273" t="s">
        <v>1099</v>
      </c>
      <c r="D371" s="273" t="s">
        <v>1421</v>
      </c>
      <c r="E371" s="274" t="s">
        <v>3433</v>
      </c>
      <c r="F371" s="275">
        <v>1</v>
      </c>
      <c r="G371" s="266" t="s">
        <v>1093</v>
      </c>
      <c r="H371" s="284">
        <v>2581.3200000000002</v>
      </c>
      <c r="I371" s="269">
        <f t="shared" si="10"/>
        <v>3290.15</v>
      </c>
      <c r="J371" s="1114"/>
      <c r="K371" s="270">
        <f t="shared" si="11"/>
        <v>3290.15</v>
      </c>
    </row>
    <row r="372" spans="2:11" s="989" customFormat="1">
      <c r="B372" s="294" t="s">
        <v>1578</v>
      </c>
      <c r="C372" s="273" t="s">
        <v>1092</v>
      </c>
      <c r="D372" s="273" t="s">
        <v>1579</v>
      </c>
      <c r="E372" s="274" t="s">
        <v>3434</v>
      </c>
      <c r="F372" s="275">
        <v>1</v>
      </c>
      <c r="G372" s="266" t="s">
        <v>1093</v>
      </c>
      <c r="H372" s="284">
        <v>834</v>
      </c>
      <c r="I372" s="269">
        <f t="shared" si="10"/>
        <v>1063.02</v>
      </c>
      <c r="J372" s="1114"/>
      <c r="K372" s="270">
        <f t="shared" si="11"/>
        <v>1063.02</v>
      </c>
    </row>
    <row r="373" spans="2:11" s="989" customFormat="1">
      <c r="B373" s="294" t="s">
        <v>1580</v>
      </c>
      <c r="C373" s="273" t="s">
        <v>1099</v>
      </c>
      <c r="D373" s="273" t="s">
        <v>1421</v>
      </c>
      <c r="E373" s="274" t="s">
        <v>3435</v>
      </c>
      <c r="F373" s="275">
        <v>1</v>
      </c>
      <c r="G373" s="266" t="s">
        <v>1093</v>
      </c>
      <c r="H373" s="300">
        <v>2581.3200000000002</v>
      </c>
      <c r="I373" s="269">
        <f t="shared" si="10"/>
        <v>3290.15</v>
      </c>
      <c r="J373" s="1114"/>
      <c r="K373" s="270">
        <f t="shared" si="11"/>
        <v>3290.15</v>
      </c>
    </row>
    <row r="374" spans="2:11" s="989" customFormat="1">
      <c r="B374" s="294" t="s">
        <v>1581</v>
      </c>
      <c r="C374" s="273" t="s">
        <v>1092</v>
      </c>
      <c r="D374" s="264" t="s">
        <v>1549</v>
      </c>
      <c r="E374" s="274" t="s">
        <v>3419</v>
      </c>
      <c r="F374" s="266">
        <v>1</v>
      </c>
      <c r="G374" s="267" t="s">
        <v>1093</v>
      </c>
      <c r="H374" s="284">
        <v>545</v>
      </c>
      <c r="I374" s="269">
        <f t="shared" si="10"/>
        <v>694.66</v>
      </c>
      <c r="J374" s="1114"/>
      <c r="K374" s="270">
        <f t="shared" si="11"/>
        <v>694.66</v>
      </c>
    </row>
    <row r="375" spans="2:11" s="989" customFormat="1" ht="24.95" customHeight="1">
      <c r="B375" s="294" t="s">
        <v>1582</v>
      </c>
      <c r="C375" s="273" t="s">
        <v>1099</v>
      </c>
      <c r="D375" s="273" t="s">
        <v>1454</v>
      </c>
      <c r="E375" s="274" t="s">
        <v>3436</v>
      </c>
      <c r="F375" s="275">
        <v>1</v>
      </c>
      <c r="G375" s="266" t="s">
        <v>1093</v>
      </c>
      <c r="H375" s="284">
        <v>1824.99</v>
      </c>
      <c r="I375" s="269">
        <f t="shared" si="10"/>
        <v>2326.13</v>
      </c>
      <c r="J375" s="1114"/>
      <c r="K375" s="270">
        <f t="shared" si="11"/>
        <v>2326.13</v>
      </c>
    </row>
    <row r="376" spans="2:11" s="989" customFormat="1">
      <c r="B376" s="294" t="s">
        <v>1583</v>
      </c>
      <c r="C376" s="273"/>
      <c r="D376" s="273"/>
      <c r="E376" s="274" t="s">
        <v>3257</v>
      </c>
      <c r="F376" s="275"/>
      <c r="G376" s="266"/>
      <c r="H376" s="284"/>
      <c r="I376" s="269">
        <f t="shared" si="10"/>
        <v>0</v>
      </c>
      <c r="J376" s="1114"/>
      <c r="K376" s="270">
        <f t="shared" si="11"/>
        <v>0</v>
      </c>
    </row>
    <row r="377" spans="2:11" s="989" customFormat="1">
      <c r="B377" s="294" t="s">
        <v>1584</v>
      </c>
      <c r="C377" s="273" t="s">
        <v>1099</v>
      </c>
      <c r="D377" s="273" t="s">
        <v>1402</v>
      </c>
      <c r="E377" s="274" t="s">
        <v>3437</v>
      </c>
      <c r="F377" s="275">
        <v>1</v>
      </c>
      <c r="G377" s="266" t="s">
        <v>1093</v>
      </c>
      <c r="H377" s="300">
        <v>646.20000000000005</v>
      </c>
      <c r="I377" s="269">
        <f t="shared" si="10"/>
        <v>823.65</v>
      </c>
      <c r="J377" s="1114"/>
      <c r="K377" s="270">
        <f t="shared" si="11"/>
        <v>823.65</v>
      </c>
    </row>
    <row r="378" spans="2:11" s="989" customFormat="1">
      <c r="B378" s="294" t="s">
        <v>1585</v>
      </c>
      <c r="C378" s="273" t="s">
        <v>1099</v>
      </c>
      <c r="D378" s="264" t="s">
        <v>1586</v>
      </c>
      <c r="E378" s="274" t="s">
        <v>3438</v>
      </c>
      <c r="F378" s="266">
        <v>2</v>
      </c>
      <c r="G378" s="267" t="s">
        <v>1093</v>
      </c>
      <c r="H378" s="284">
        <v>1352.36</v>
      </c>
      <c r="I378" s="269">
        <f t="shared" si="10"/>
        <v>1723.72</v>
      </c>
      <c r="J378" s="1114"/>
      <c r="K378" s="270">
        <f t="shared" si="11"/>
        <v>3447.44</v>
      </c>
    </row>
    <row r="379" spans="2:11" s="989" customFormat="1">
      <c r="B379" s="294" t="s">
        <v>1587</v>
      </c>
      <c r="C379" s="273" t="s">
        <v>1099</v>
      </c>
      <c r="D379" s="273" t="s">
        <v>1586</v>
      </c>
      <c r="E379" s="274" t="s">
        <v>3439</v>
      </c>
      <c r="F379" s="275">
        <v>1</v>
      </c>
      <c r="G379" s="266" t="s">
        <v>1093</v>
      </c>
      <c r="H379" s="284">
        <v>1352.36</v>
      </c>
      <c r="I379" s="269">
        <f t="shared" si="10"/>
        <v>1723.72</v>
      </c>
      <c r="J379" s="1114"/>
      <c r="K379" s="270">
        <f t="shared" si="11"/>
        <v>1723.72</v>
      </c>
    </row>
    <row r="380" spans="2:11" s="989" customFormat="1" ht="51">
      <c r="B380" s="294" t="s">
        <v>1588</v>
      </c>
      <c r="C380" s="273" t="s">
        <v>1092</v>
      </c>
      <c r="D380" s="273" t="s">
        <v>1145</v>
      </c>
      <c r="E380" s="274" t="s">
        <v>3214</v>
      </c>
      <c r="F380" s="275">
        <v>1</v>
      </c>
      <c r="G380" s="266" t="s">
        <v>1093</v>
      </c>
      <c r="H380" s="284">
        <v>1700</v>
      </c>
      <c r="I380" s="269">
        <f t="shared" si="10"/>
        <v>2166.8200000000002</v>
      </c>
      <c r="J380" s="1114"/>
      <c r="K380" s="270">
        <f t="shared" si="11"/>
        <v>2166.8200000000002</v>
      </c>
    </row>
    <row r="381" spans="2:11" s="989" customFormat="1">
      <c r="B381" s="294" t="s">
        <v>1589</v>
      </c>
      <c r="C381" s="273" t="s">
        <v>1099</v>
      </c>
      <c r="D381" s="273" t="s">
        <v>1590</v>
      </c>
      <c r="E381" s="274" t="s">
        <v>3440</v>
      </c>
      <c r="F381" s="275">
        <v>1</v>
      </c>
      <c r="G381" s="266" t="s">
        <v>1093</v>
      </c>
      <c r="H381" s="300">
        <v>416.34</v>
      </c>
      <c r="I381" s="269">
        <f t="shared" si="10"/>
        <v>530.66999999999996</v>
      </c>
      <c r="J381" s="1114"/>
      <c r="K381" s="270">
        <f t="shared" si="11"/>
        <v>530.66999999999996</v>
      </c>
    </row>
    <row r="382" spans="2:11" s="989" customFormat="1">
      <c r="B382" s="294" t="s">
        <v>1591</v>
      </c>
      <c r="C382" s="273"/>
      <c r="D382" s="264"/>
      <c r="E382" s="274" t="s">
        <v>3258</v>
      </c>
      <c r="F382" s="266"/>
      <c r="G382" s="267"/>
      <c r="H382" s="284"/>
      <c r="I382" s="269">
        <f t="shared" si="10"/>
        <v>0</v>
      </c>
      <c r="J382" s="1114"/>
      <c r="K382" s="270">
        <f t="shared" si="11"/>
        <v>0</v>
      </c>
    </row>
    <row r="383" spans="2:11" s="989" customFormat="1">
      <c r="B383" s="294" t="s">
        <v>1592</v>
      </c>
      <c r="C383" s="273" t="s">
        <v>1099</v>
      </c>
      <c r="D383" s="273" t="s">
        <v>1593</v>
      </c>
      <c r="E383" s="274" t="s">
        <v>3441</v>
      </c>
      <c r="F383" s="275">
        <v>2</v>
      </c>
      <c r="G383" s="266" t="s">
        <v>1093</v>
      </c>
      <c r="H383" s="284">
        <v>271.41000000000003</v>
      </c>
      <c r="I383" s="269">
        <f t="shared" si="10"/>
        <v>345.94</v>
      </c>
      <c r="J383" s="1114"/>
      <c r="K383" s="270">
        <f t="shared" si="11"/>
        <v>691.88</v>
      </c>
    </row>
    <row r="384" spans="2:11" s="989" customFormat="1">
      <c r="B384" s="294" t="s">
        <v>1594</v>
      </c>
      <c r="C384" s="273" t="s">
        <v>1099</v>
      </c>
      <c r="D384" s="273" t="s">
        <v>1137</v>
      </c>
      <c r="E384" s="274" t="s">
        <v>3442</v>
      </c>
      <c r="F384" s="275">
        <v>4</v>
      </c>
      <c r="G384" s="266" t="s">
        <v>1093</v>
      </c>
      <c r="H384" s="284">
        <v>414.12</v>
      </c>
      <c r="I384" s="269">
        <f t="shared" si="10"/>
        <v>527.84</v>
      </c>
      <c r="J384" s="1114"/>
      <c r="K384" s="270">
        <f t="shared" si="11"/>
        <v>2111.36</v>
      </c>
    </row>
    <row r="385" spans="2:11" s="989" customFormat="1">
      <c r="B385" s="294" t="s">
        <v>1595</v>
      </c>
      <c r="C385" s="273"/>
      <c r="D385" s="273"/>
      <c r="E385" s="274" t="s">
        <v>3259</v>
      </c>
      <c r="F385" s="275"/>
      <c r="G385" s="266"/>
      <c r="H385" s="300"/>
      <c r="I385" s="269">
        <f t="shared" si="10"/>
        <v>0</v>
      </c>
      <c r="J385" s="1114"/>
      <c r="K385" s="270">
        <f t="shared" si="11"/>
        <v>0</v>
      </c>
    </row>
    <row r="386" spans="2:11" s="989" customFormat="1">
      <c r="B386" s="294" t="s">
        <v>1596</v>
      </c>
      <c r="C386" s="273" t="s">
        <v>1099</v>
      </c>
      <c r="D386" s="264" t="s">
        <v>1597</v>
      </c>
      <c r="E386" s="274" t="s">
        <v>3260</v>
      </c>
      <c r="F386" s="266">
        <v>1</v>
      </c>
      <c r="G386" s="267" t="s">
        <v>1093</v>
      </c>
      <c r="H386" s="284">
        <v>19.940000000000001</v>
      </c>
      <c r="I386" s="269">
        <f t="shared" si="10"/>
        <v>25.42</v>
      </c>
      <c r="J386" s="1114"/>
      <c r="K386" s="270">
        <f t="shared" si="11"/>
        <v>25.42</v>
      </c>
    </row>
    <row r="387" spans="2:11" s="989" customFormat="1">
      <c r="B387" s="294" t="s">
        <v>1598</v>
      </c>
      <c r="C387" s="273"/>
      <c r="D387" s="273"/>
      <c r="E387" s="274" t="s">
        <v>3261</v>
      </c>
      <c r="F387" s="275"/>
      <c r="G387" s="266"/>
      <c r="H387" s="284"/>
      <c r="I387" s="269">
        <f t="shared" si="10"/>
        <v>0</v>
      </c>
      <c r="J387" s="1114"/>
      <c r="K387" s="270">
        <f t="shared" si="11"/>
        <v>0</v>
      </c>
    </row>
    <row r="388" spans="2:11" s="989" customFormat="1">
      <c r="B388" s="294" t="s">
        <v>1599</v>
      </c>
      <c r="C388" s="273"/>
      <c r="D388" s="273"/>
      <c r="E388" s="274" t="s">
        <v>3142</v>
      </c>
      <c r="F388" s="275"/>
      <c r="G388" s="266"/>
      <c r="H388" s="284"/>
      <c r="I388" s="269">
        <f t="shared" si="10"/>
        <v>0</v>
      </c>
      <c r="J388" s="1114"/>
      <c r="K388" s="270">
        <f t="shared" si="11"/>
        <v>0</v>
      </c>
    </row>
    <row r="389" spans="2:11" s="989" customFormat="1">
      <c r="B389" s="294" t="s">
        <v>1600</v>
      </c>
      <c r="C389" s="273" t="s">
        <v>1099</v>
      </c>
      <c r="D389" s="273" t="s">
        <v>1308</v>
      </c>
      <c r="E389" s="274" t="s">
        <v>3173</v>
      </c>
      <c r="F389" s="275">
        <v>7.3</v>
      </c>
      <c r="G389" s="266" t="s">
        <v>0</v>
      </c>
      <c r="H389" s="300">
        <v>52.39</v>
      </c>
      <c r="I389" s="269">
        <f t="shared" si="10"/>
        <v>66.78</v>
      </c>
      <c r="J389" s="1114"/>
      <c r="K389" s="270">
        <f t="shared" si="11"/>
        <v>487.49</v>
      </c>
    </row>
    <row r="390" spans="2:11" s="989" customFormat="1">
      <c r="B390" s="294" t="s">
        <v>1601</v>
      </c>
      <c r="C390" s="273" t="s">
        <v>184</v>
      </c>
      <c r="D390" s="264" t="s">
        <v>1180</v>
      </c>
      <c r="E390" s="274" t="s">
        <v>3145</v>
      </c>
      <c r="F390" s="266">
        <v>4.17</v>
      </c>
      <c r="G390" s="267" t="s">
        <v>0</v>
      </c>
      <c r="H390" s="284">
        <v>19.260000000000002</v>
      </c>
      <c r="I390" s="269">
        <f t="shared" si="10"/>
        <v>24.55</v>
      </c>
      <c r="J390" s="1114"/>
      <c r="K390" s="270">
        <f t="shared" si="11"/>
        <v>102.37</v>
      </c>
    </row>
    <row r="391" spans="2:11" s="989" customFormat="1">
      <c r="B391" s="294" t="s">
        <v>1602</v>
      </c>
      <c r="C391" s="273" t="s">
        <v>184</v>
      </c>
      <c r="D391" s="273" t="s">
        <v>1311</v>
      </c>
      <c r="E391" s="274" t="s">
        <v>3174</v>
      </c>
      <c r="F391" s="275">
        <v>3.13</v>
      </c>
      <c r="G391" s="266" t="s">
        <v>0</v>
      </c>
      <c r="H391" s="284">
        <v>1.43</v>
      </c>
      <c r="I391" s="269">
        <f t="shared" si="10"/>
        <v>1.82</v>
      </c>
      <c r="J391" s="1114"/>
      <c r="K391" s="270">
        <f t="shared" si="11"/>
        <v>5.7</v>
      </c>
    </row>
    <row r="392" spans="2:11" s="989" customFormat="1" ht="24.95" customHeight="1">
      <c r="B392" s="294" t="s">
        <v>1603</v>
      </c>
      <c r="C392" s="273" t="s">
        <v>184</v>
      </c>
      <c r="D392" s="273" t="s">
        <v>1261</v>
      </c>
      <c r="E392" s="274" t="s">
        <v>3262</v>
      </c>
      <c r="F392" s="275">
        <v>122.07</v>
      </c>
      <c r="G392" s="266" t="s">
        <v>0</v>
      </c>
      <c r="H392" s="284">
        <v>8.83</v>
      </c>
      <c r="I392" s="269">
        <f t="shared" si="10"/>
        <v>11.25</v>
      </c>
      <c r="J392" s="1114"/>
      <c r="K392" s="270">
        <f t="shared" si="11"/>
        <v>1373.29</v>
      </c>
    </row>
    <row r="393" spans="2:11" s="989" customFormat="1">
      <c r="B393" s="294" t="s">
        <v>1604</v>
      </c>
      <c r="C393" s="273"/>
      <c r="D393" s="273"/>
      <c r="E393" s="274" t="s">
        <v>3263</v>
      </c>
      <c r="F393" s="275"/>
      <c r="G393" s="266"/>
      <c r="H393" s="300"/>
      <c r="I393" s="269">
        <f t="shared" si="10"/>
        <v>0</v>
      </c>
      <c r="J393" s="1114"/>
      <c r="K393" s="270">
        <f t="shared" si="11"/>
        <v>0</v>
      </c>
    </row>
    <row r="394" spans="2:11" s="989" customFormat="1">
      <c r="B394" s="294" t="s">
        <v>1605</v>
      </c>
      <c r="C394" s="273" t="s">
        <v>184</v>
      </c>
      <c r="D394" s="264" t="s">
        <v>1337</v>
      </c>
      <c r="E394" s="274" t="s">
        <v>3184</v>
      </c>
      <c r="F394" s="266">
        <v>3.8</v>
      </c>
      <c r="G394" s="267" t="s">
        <v>0</v>
      </c>
      <c r="H394" s="284">
        <v>574.73</v>
      </c>
      <c r="I394" s="269">
        <f t="shared" si="10"/>
        <v>732.55</v>
      </c>
      <c r="J394" s="1114"/>
      <c r="K394" s="270">
        <f t="shared" si="11"/>
        <v>2783.69</v>
      </c>
    </row>
    <row r="395" spans="2:11" s="989" customFormat="1">
      <c r="B395" s="294" t="s">
        <v>1606</v>
      </c>
      <c r="C395" s="273" t="s">
        <v>184</v>
      </c>
      <c r="D395" s="273" t="s">
        <v>1321</v>
      </c>
      <c r="E395" s="274" t="s">
        <v>3179</v>
      </c>
      <c r="F395" s="275">
        <v>5.55</v>
      </c>
      <c r="G395" s="266" t="s">
        <v>0</v>
      </c>
      <c r="H395" s="284">
        <v>669.19</v>
      </c>
      <c r="I395" s="269">
        <f t="shared" si="10"/>
        <v>852.95</v>
      </c>
      <c r="J395" s="1114"/>
      <c r="K395" s="270">
        <f t="shared" si="11"/>
        <v>4733.87</v>
      </c>
    </row>
    <row r="396" spans="2:11" s="989" customFormat="1">
      <c r="B396" s="294" t="s">
        <v>1607</v>
      </c>
      <c r="C396" s="273" t="s">
        <v>1099</v>
      </c>
      <c r="D396" s="273" t="s">
        <v>1267</v>
      </c>
      <c r="E396" s="274" t="s">
        <v>3264</v>
      </c>
      <c r="F396" s="275">
        <v>309</v>
      </c>
      <c r="G396" s="266" t="s">
        <v>747</v>
      </c>
      <c r="H396" s="284">
        <v>12.75</v>
      </c>
      <c r="I396" s="269">
        <f t="shared" si="10"/>
        <v>16.25</v>
      </c>
      <c r="J396" s="1114"/>
      <c r="K396" s="270">
        <f t="shared" si="11"/>
        <v>5021.25</v>
      </c>
    </row>
    <row r="397" spans="2:11" s="989" customFormat="1">
      <c r="B397" s="294" t="s">
        <v>1608</v>
      </c>
      <c r="C397" s="273" t="s">
        <v>1099</v>
      </c>
      <c r="D397" s="273" t="s">
        <v>1332</v>
      </c>
      <c r="E397" s="274" t="s">
        <v>3265</v>
      </c>
      <c r="F397" s="275">
        <v>24</v>
      </c>
      <c r="G397" s="266" t="s">
        <v>747</v>
      </c>
      <c r="H397" s="300">
        <v>11.88</v>
      </c>
      <c r="I397" s="269">
        <f t="shared" si="10"/>
        <v>15.14</v>
      </c>
      <c r="J397" s="1114"/>
      <c r="K397" s="270">
        <f t="shared" si="11"/>
        <v>363.36</v>
      </c>
    </row>
    <row r="398" spans="2:11" s="989" customFormat="1" ht="51">
      <c r="B398" s="294" t="s">
        <v>1609</v>
      </c>
      <c r="C398" s="273" t="s">
        <v>1099</v>
      </c>
      <c r="D398" s="264" t="s">
        <v>1269</v>
      </c>
      <c r="E398" s="274" t="s">
        <v>3161</v>
      </c>
      <c r="F398" s="266">
        <v>65.5</v>
      </c>
      <c r="G398" s="267" t="s">
        <v>2</v>
      </c>
      <c r="H398" s="284">
        <v>97.36</v>
      </c>
      <c r="I398" s="269">
        <f t="shared" si="10"/>
        <v>124.1</v>
      </c>
      <c r="J398" s="1114"/>
      <c r="K398" s="270">
        <f t="shared" si="11"/>
        <v>8128.55</v>
      </c>
    </row>
    <row r="399" spans="2:11" s="989" customFormat="1">
      <c r="B399" s="294" t="s">
        <v>1610</v>
      </c>
      <c r="C399" s="273" t="s">
        <v>182</v>
      </c>
      <c r="D399" s="273" t="s">
        <v>1275</v>
      </c>
      <c r="E399" s="274" t="s">
        <v>3164</v>
      </c>
      <c r="F399" s="275">
        <v>35.700000000000003</v>
      </c>
      <c r="G399" s="266" t="s">
        <v>2</v>
      </c>
      <c r="H399" s="284">
        <v>5.91</v>
      </c>
      <c r="I399" s="269">
        <f t="shared" si="10"/>
        <v>7.53</v>
      </c>
      <c r="J399" s="1114"/>
      <c r="K399" s="270">
        <f t="shared" si="11"/>
        <v>268.82</v>
      </c>
    </row>
    <row r="400" spans="2:11" s="989" customFormat="1">
      <c r="B400" s="294" t="s">
        <v>1611</v>
      </c>
      <c r="C400" s="273" t="s">
        <v>1092</v>
      </c>
      <c r="D400" s="273" t="s">
        <v>1335</v>
      </c>
      <c r="E400" s="274" t="s">
        <v>3183</v>
      </c>
      <c r="F400" s="275">
        <v>29.8</v>
      </c>
      <c r="G400" s="266" t="s">
        <v>2</v>
      </c>
      <c r="H400" s="284">
        <v>7.21</v>
      </c>
      <c r="I400" s="269">
        <f t="shared" si="10"/>
        <v>9.19</v>
      </c>
      <c r="J400" s="1114"/>
      <c r="K400" s="270">
        <f t="shared" si="11"/>
        <v>273.86</v>
      </c>
    </row>
    <row r="401" spans="2:11" s="989" customFormat="1">
      <c r="B401" s="294" t="s">
        <v>1612</v>
      </c>
      <c r="C401" s="273" t="s">
        <v>184</v>
      </c>
      <c r="D401" s="273" t="s">
        <v>1271</v>
      </c>
      <c r="E401" s="274" t="s">
        <v>3162</v>
      </c>
      <c r="F401" s="275">
        <v>6.58</v>
      </c>
      <c r="G401" s="266" t="s">
        <v>0</v>
      </c>
      <c r="H401" s="300">
        <v>269.99</v>
      </c>
      <c r="I401" s="269">
        <f t="shared" si="10"/>
        <v>344.13</v>
      </c>
      <c r="J401" s="1114"/>
      <c r="K401" s="270">
        <f t="shared" si="11"/>
        <v>2264.38</v>
      </c>
    </row>
    <row r="402" spans="2:11" s="989" customFormat="1" ht="51">
      <c r="B402" s="294" t="s">
        <v>1613</v>
      </c>
      <c r="C402" s="273" t="s">
        <v>184</v>
      </c>
      <c r="D402" s="264" t="s">
        <v>1328</v>
      </c>
      <c r="E402" s="274" t="s">
        <v>3181</v>
      </c>
      <c r="F402" s="266">
        <v>2.77</v>
      </c>
      <c r="G402" s="267" t="s">
        <v>0</v>
      </c>
      <c r="H402" s="284">
        <v>37.97</v>
      </c>
      <c r="I402" s="269">
        <f t="shared" si="10"/>
        <v>48.4</v>
      </c>
      <c r="J402" s="1114"/>
      <c r="K402" s="270">
        <f t="shared" si="11"/>
        <v>134.07</v>
      </c>
    </row>
    <row r="403" spans="2:11" s="989" customFormat="1">
      <c r="B403" s="294" t="s">
        <v>1614</v>
      </c>
      <c r="C403" s="273"/>
      <c r="D403" s="273"/>
      <c r="E403" s="274" t="s">
        <v>3186</v>
      </c>
      <c r="F403" s="275"/>
      <c r="G403" s="266"/>
      <c r="H403" s="284"/>
      <c r="I403" s="269">
        <f t="shared" si="10"/>
        <v>0</v>
      </c>
      <c r="J403" s="1114"/>
      <c r="K403" s="270">
        <f t="shared" si="11"/>
        <v>0</v>
      </c>
    </row>
    <row r="404" spans="2:11" s="989" customFormat="1">
      <c r="B404" s="294" t="s">
        <v>1615</v>
      </c>
      <c r="C404" s="273" t="s">
        <v>1092</v>
      </c>
      <c r="D404" s="273" t="s">
        <v>1616</v>
      </c>
      <c r="E404" s="274" t="s">
        <v>3266</v>
      </c>
      <c r="F404" s="275">
        <v>3.5</v>
      </c>
      <c r="G404" s="266" t="s">
        <v>2</v>
      </c>
      <c r="H404" s="284">
        <v>462</v>
      </c>
      <c r="I404" s="269">
        <f t="shared" si="10"/>
        <v>588.87</v>
      </c>
      <c r="J404" s="1114"/>
      <c r="K404" s="270">
        <f t="shared" si="11"/>
        <v>2061.0500000000002</v>
      </c>
    </row>
    <row r="405" spans="2:11" s="989" customFormat="1">
      <c r="B405" s="294" t="s">
        <v>1617</v>
      </c>
      <c r="C405" s="273" t="s">
        <v>1092</v>
      </c>
      <c r="D405" s="273" t="s">
        <v>1618</v>
      </c>
      <c r="E405" s="274" t="s">
        <v>3267</v>
      </c>
      <c r="F405" s="275">
        <v>3.5</v>
      </c>
      <c r="G405" s="266" t="s">
        <v>2</v>
      </c>
      <c r="H405" s="300">
        <v>310</v>
      </c>
      <c r="I405" s="269">
        <f t="shared" si="10"/>
        <v>395.13</v>
      </c>
      <c r="J405" s="1114"/>
      <c r="K405" s="270">
        <f t="shared" si="11"/>
        <v>1382.96</v>
      </c>
    </row>
    <row r="406" spans="2:11" s="989" customFormat="1">
      <c r="B406" s="294" t="s">
        <v>1619</v>
      </c>
      <c r="C406" s="273" t="s">
        <v>1092</v>
      </c>
      <c r="D406" s="264" t="s">
        <v>1620</v>
      </c>
      <c r="E406" s="274" t="s">
        <v>3268</v>
      </c>
      <c r="F406" s="266">
        <v>5</v>
      </c>
      <c r="G406" s="267" t="s">
        <v>2</v>
      </c>
      <c r="H406" s="284">
        <v>511</v>
      </c>
      <c r="I406" s="269">
        <f t="shared" si="10"/>
        <v>651.32000000000005</v>
      </c>
      <c r="J406" s="1114"/>
      <c r="K406" s="270">
        <f t="shared" si="11"/>
        <v>3256.6</v>
      </c>
    </row>
    <row r="407" spans="2:11" s="989" customFormat="1">
      <c r="B407" s="294" t="s">
        <v>1621</v>
      </c>
      <c r="C407" s="273" t="s">
        <v>184</v>
      </c>
      <c r="D407" s="273" t="s">
        <v>1358</v>
      </c>
      <c r="E407" s="274" t="s">
        <v>3194</v>
      </c>
      <c r="F407" s="275">
        <v>117.69</v>
      </c>
      <c r="G407" s="266" t="s">
        <v>2</v>
      </c>
      <c r="H407" s="284">
        <v>112.78</v>
      </c>
      <c r="I407" s="269">
        <f t="shared" ref="I407:I470" si="12">H407*(1+$I$16)</f>
        <v>143.75</v>
      </c>
      <c r="J407" s="1114"/>
      <c r="K407" s="270">
        <f t="shared" ref="K407:K470" si="13">I407*F407</f>
        <v>16917.939999999999</v>
      </c>
    </row>
    <row r="408" spans="2:11" s="989" customFormat="1" ht="51">
      <c r="B408" s="294" t="s">
        <v>1622</v>
      </c>
      <c r="C408" s="273" t="s">
        <v>1099</v>
      </c>
      <c r="D408" s="273" t="s">
        <v>1365</v>
      </c>
      <c r="E408" s="274" t="s">
        <v>3196</v>
      </c>
      <c r="F408" s="275">
        <v>235.38</v>
      </c>
      <c r="G408" s="266" t="s">
        <v>2</v>
      </c>
      <c r="H408" s="284">
        <v>19.8</v>
      </c>
      <c r="I408" s="269">
        <f t="shared" si="12"/>
        <v>25.24</v>
      </c>
      <c r="J408" s="1114"/>
      <c r="K408" s="270">
        <f t="shared" si="13"/>
        <v>5940.99</v>
      </c>
    </row>
    <row r="409" spans="2:11" s="989" customFormat="1">
      <c r="B409" s="294" t="s">
        <v>1623</v>
      </c>
      <c r="C409" s="273" t="s">
        <v>182</v>
      </c>
      <c r="D409" s="273" t="s">
        <v>1367</v>
      </c>
      <c r="E409" s="274" t="s">
        <v>3197</v>
      </c>
      <c r="F409" s="275">
        <v>21.16</v>
      </c>
      <c r="G409" s="266" t="s">
        <v>2</v>
      </c>
      <c r="H409" s="300">
        <v>37.07</v>
      </c>
      <c r="I409" s="269">
        <f t="shared" si="12"/>
        <v>47.25</v>
      </c>
      <c r="J409" s="1114"/>
      <c r="K409" s="270">
        <f t="shared" si="13"/>
        <v>999.81</v>
      </c>
    </row>
    <row r="410" spans="2:11" s="989" customFormat="1" ht="51">
      <c r="B410" s="294" t="s">
        <v>1624</v>
      </c>
      <c r="C410" s="273" t="s">
        <v>1092</v>
      </c>
      <c r="D410" s="264" t="s">
        <v>1625</v>
      </c>
      <c r="E410" s="274" t="s">
        <v>3269</v>
      </c>
      <c r="F410" s="266">
        <v>21.16</v>
      </c>
      <c r="G410" s="267" t="s">
        <v>2</v>
      </c>
      <c r="H410" s="284">
        <v>191</v>
      </c>
      <c r="I410" s="269">
        <f t="shared" si="12"/>
        <v>243.45</v>
      </c>
      <c r="J410" s="1114"/>
      <c r="K410" s="270">
        <f t="shared" si="13"/>
        <v>5151.3999999999996</v>
      </c>
    </row>
    <row r="411" spans="2:11" s="989" customFormat="1">
      <c r="B411" s="294" t="s">
        <v>1626</v>
      </c>
      <c r="C411" s="273" t="s">
        <v>184</v>
      </c>
      <c r="D411" s="273" t="s">
        <v>1627</v>
      </c>
      <c r="E411" s="274" t="s">
        <v>3270</v>
      </c>
      <c r="F411" s="275">
        <v>15.6</v>
      </c>
      <c r="G411" s="266" t="s">
        <v>2</v>
      </c>
      <c r="H411" s="284">
        <v>41.13</v>
      </c>
      <c r="I411" s="269">
        <f t="shared" si="12"/>
        <v>52.42</v>
      </c>
      <c r="J411" s="1114"/>
      <c r="K411" s="270">
        <f t="shared" si="13"/>
        <v>817.75</v>
      </c>
    </row>
    <row r="412" spans="2:11" s="989" customFormat="1">
      <c r="B412" s="294" t="s">
        <v>1628</v>
      </c>
      <c r="C412" s="273" t="s">
        <v>182</v>
      </c>
      <c r="D412" s="273" t="s">
        <v>1629</v>
      </c>
      <c r="E412" s="274" t="s">
        <v>3271</v>
      </c>
      <c r="F412" s="275">
        <v>8.49</v>
      </c>
      <c r="G412" s="266" t="s">
        <v>2</v>
      </c>
      <c r="H412" s="284">
        <v>63.79</v>
      </c>
      <c r="I412" s="269">
        <f t="shared" si="12"/>
        <v>81.31</v>
      </c>
      <c r="J412" s="1114"/>
      <c r="K412" s="270">
        <f t="shared" si="13"/>
        <v>690.32</v>
      </c>
    </row>
    <row r="413" spans="2:11" s="989" customFormat="1" ht="51">
      <c r="B413" s="294" t="s">
        <v>1630</v>
      </c>
      <c r="C413" s="273" t="s">
        <v>184</v>
      </c>
      <c r="D413" s="273" t="s">
        <v>1631</v>
      </c>
      <c r="E413" s="274" t="s">
        <v>3272</v>
      </c>
      <c r="F413" s="275">
        <v>15.66</v>
      </c>
      <c r="G413" s="266" t="s">
        <v>2</v>
      </c>
      <c r="H413" s="300">
        <v>85.55</v>
      </c>
      <c r="I413" s="269">
        <f t="shared" si="12"/>
        <v>109.04</v>
      </c>
      <c r="J413" s="1114"/>
      <c r="K413" s="270">
        <f t="shared" si="13"/>
        <v>1707.57</v>
      </c>
    </row>
    <row r="414" spans="2:11" s="989" customFormat="1" ht="50.1" customHeight="1">
      <c r="B414" s="294" t="s">
        <v>1632</v>
      </c>
      <c r="C414" s="273" t="s">
        <v>1099</v>
      </c>
      <c r="D414" s="264" t="s">
        <v>1522</v>
      </c>
      <c r="E414" s="274" t="s">
        <v>3240</v>
      </c>
      <c r="F414" s="266">
        <v>214.22</v>
      </c>
      <c r="G414" s="267" t="s">
        <v>2</v>
      </c>
      <c r="H414" s="284">
        <v>26.75</v>
      </c>
      <c r="I414" s="269">
        <f t="shared" si="12"/>
        <v>34.1</v>
      </c>
      <c r="J414" s="1114"/>
      <c r="K414" s="270">
        <f t="shared" si="13"/>
        <v>7304.9</v>
      </c>
    </row>
    <row r="415" spans="2:11" s="989" customFormat="1">
      <c r="B415" s="294" t="s">
        <v>1633</v>
      </c>
      <c r="C415" s="273"/>
      <c r="D415" s="273"/>
      <c r="E415" s="274" t="s">
        <v>3273</v>
      </c>
      <c r="F415" s="275"/>
      <c r="G415" s="266"/>
      <c r="H415" s="284"/>
      <c r="I415" s="269">
        <f t="shared" si="12"/>
        <v>0</v>
      </c>
      <c r="J415" s="1114"/>
      <c r="K415" s="270">
        <f t="shared" si="13"/>
        <v>0</v>
      </c>
    </row>
    <row r="416" spans="2:11" s="989" customFormat="1">
      <c r="B416" s="294" t="s">
        <v>1634</v>
      </c>
      <c r="C416" s="273" t="s">
        <v>184</v>
      </c>
      <c r="D416" s="273" t="s">
        <v>1377</v>
      </c>
      <c r="E416" s="274" t="s">
        <v>3202</v>
      </c>
      <c r="F416" s="275">
        <v>45.23</v>
      </c>
      <c r="G416" s="266" t="s">
        <v>2</v>
      </c>
      <c r="H416" s="284">
        <v>21.05</v>
      </c>
      <c r="I416" s="269">
        <f t="shared" si="12"/>
        <v>26.83</v>
      </c>
      <c r="J416" s="1114"/>
      <c r="K416" s="270">
        <f t="shared" si="13"/>
        <v>1213.52</v>
      </c>
    </row>
    <row r="417" spans="2:11" s="989" customFormat="1">
      <c r="B417" s="294" t="s">
        <v>1635</v>
      </c>
      <c r="C417" s="273" t="s">
        <v>184</v>
      </c>
      <c r="D417" s="273" t="s">
        <v>1379</v>
      </c>
      <c r="E417" s="274" t="s">
        <v>3274</v>
      </c>
      <c r="F417" s="275">
        <v>45.23</v>
      </c>
      <c r="G417" s="266" t="s">
        <v>2</v>
      </c>
      <c r="H417" s="300">
        <v>76.67</v>
      </c>
      <c r="I417" s="269">
        <f t="shared" si="12"/>
        <v>97.72</v>
      </c>
      <c r="J417" s="1114"/>
      <c r="K417" s="270">
        <f t="shared" si="13"/>
        <v>4419.88</v>
      </c>
    </row>
    <row r="418" spans="2:11" s="989" customFormat="1">
      <c r="B418" s="294" t="s">
        <v>1636</v>
      </c>
      <c r="C418" s="273"/>
      <c r="D418" s="264"/>
      <c r="E418" s="274" t="s">
        <v>3275</v>
      </c>
      <c r="F418" s="266"/>
      <c r="G418" s="267"/>
      <c r="H418" s="284"/>
      <c r="I418" s="269">
        <f t="shared" si="12"/>
        <v>0</v>
      </c>
      <c r="J418" s="1114"/>
      <c r="K418" s="270">
        <f t="shared" si="13"/>
        <v>0</v>
      </c>
    </row>
    <row r="419" spans="2:11" s="989" customFormat="1">
      <c r="B419" s="294" t="s">
        <v>1637</v>
      </c>
      <c r="C419" s="273" t="s">
        <v>184</v>
      </c>
      <c r="D419" s="273" t="s">
        <v>1369</v>
      </c>
      <c r="E419" s="274" t="s">
        <v>3198</v>
      </c>
      <c r="F419" s="275">
        <v>160</v>
      </c>
      <c r="G419" s="266" t="s">
        <v>2</v>
      </c>
      <c r="H419" s="284">
        <v>13.48</v>
      </c>
      <c r="I419" s="269">
        <f t="shared" si="12"/>
        <v>17.18</v>
      </c>
      <c r="J419" s="1114"/>
      <c r="K419" s="270">
        <f t="shared" si="13"/>
        <v>2748.8</v>
      </c>
    </row>
    <row r="420" spans="2:11" s="989" customFormat="1">
      <c r="B420" s="294" t="s">
        <v>1638</v>
      </c>
      <c r="C420" s="273" t="s">
        <v>184</v>
      </c>
      <c r="D420" s="273" t="s">
        <v>1371</v>
      </c>
      <c r="E420" s="274" t="s">
        <v>3276</v>
      </c>
      <c r="F420" s="275">
        <v>9.24</v>
      </c>
      <c r="G420" s="266" t="s">
        <v>2</v>
      </c>
      <c r="H420" s="284">
        <v>16.46</v>
      </c>
      <c r="I420" s="269">
        <f t="shared" si="12"/>
        <v>20.98</v>
      </c>
      <c r="J420" s="1114"/>
      <c r="K420" s="270">
        <f t="shared" si="13"/>
        <v>193.86</v>
      </c>
    </row>
    <row r="421" spans="2:11" s="989" customFormat="1">
      <c r="B421" s="294" t="s">
        <v>1639</v>
      </c>
      <c r="C421" s="273" t="s">
        <v>184</v>
      </c>
      <c r="D421" s="273" t="s">
        <v>1373</v>
      </c>
      <c r="E421" s="274" t="s">
        <v>3277</v>
      </c>
      <c r="F421" s="275">
        <v>6.48</v>
      </c>
      <c r="G421" s="266" t="s">
        <v>2</v>
      </c>
      <c r="H421" s="300">
        <v>27.29</v>
      </c>
      <c r="I421" s="269">
        <f t="shared" si="12"/>
        <v>34.78</v>
      </c>
      <c r="J421" s="1114"/>
      <c r="K421" s="270">
        <f t="shared" si="13"/>
        <v>225.37</v>
      </c>
    </row>
    <row r="422" spans="2:11" s="989" customFormat="1">
      <c r="B422" s="294" t="s">
        <v>1640</v>
      </c>
      <c r="C422" s="273"/>
      <c r="D422" s="264"/>
      <c r="E422" s="274" t="s">
        <v>3278</v>
      </c>
      <c r="F422" s="266"/>
      <c r="G422" s="267"/>
      <c r="H422" s="284"/>
      <c r="I422" s="269">
        <f t="shared" si="12"/>
        <v>0</v>
      </c>
      <c r="J422" s="1114"/>
      <c r="K422" s="270">
        <f t="shared" si="13"/>
        <v>0</v>
      </c>
    </row>
    <row r="423" spans="2:11" s="989" customFormat="1">
      <c r="B423" s="294" t="s">
        <v>1641</v>
      </c>
      <c r="C423" s="273" t="s">
        <v>182</v>
      </c>
      <c r="D423" s="273" t="s">
        <v>1543</v>
      </c>
      <c r="E423" s="274" t="s">
        <v>3279</v>
      </c>
      <c r="F423" s="275">
        <v>29.21</v>
      </c>
      <c r="G423" s="266" t="s">
        <v>2</v>
      </c>
      <c r="H423" s="284">
        <v>7.97</v>
      </c>
      <c r="I423" s="269">
        <f t="shared" si="12"/>
        <v>10.16</v>
      </c>
      <c r="J423" s="1114"/>
      <c r="K423" s="270">
        <f t="shared" si="13"/>
        <v>296.77</v>
      </c>
    </row>
    <row r="424" spans="2:11" s="989" customFormat="1">
      <c r="B424" s="294" t="s">
        <v>1642</v>
      </c>
      <c r="C424" s="273"/>
      <c r="D424" s="273"/>
      <c r="E424" s="274" t="s">
        <v>3280</v>
      </c>
      <c r="F424" s="275"/>
      <c r="G424" s="266"/>
      <c r="H424" s="284"/>
      <c r="I424" s="269">
        <f t="shared" si="12"/>
        <v>0</v>
      </c>
      <c r="J424" s="1114"/>
      <c r="K424" s="270">
        <f t="shared" si="13"/>
        <v>0</v>
      </c>
    </row>
    <row r="425" spans="2:11" s="989" customFormat="1">
      <c r="B425" s="294" t="s">
        <v>1643</v>
      </c>
      <c r="C425" s="273"/>
      <c r="D425" s="273"/>
      <c r="E425" s="274" t="s">
        <v>3281</v>
      </c>
      <c r="F425" s="275"/>
      <c r="G425" s="266"/>
      <c r="H425" s="300"/>
      <c r="I425" s="269">
        <f t="shared" si="12"/>
        <v>0</v>
      </c>
      <c r="J425" s="1114"/>
      <c r="K425" s="270">
        <f t="shared" si="13"/>
        <v>0</v>
      </c>
    </row>
    <row r="426" spans="2:11" s="989" customFormat="1">
      <c r="B426" s="294" t="s">
        <v>1644</v>
      </c>
      <c r="C426" s="273" t="s">
        <v>184</v>
      </c>
      <c r="D426" s="264" t="s">
        <v>1645</v>
      </c>
      <c r="E426" s="274" t="s">
        <v>3282</v>
      </c>
      <c r="F426" s="266">
        <v>1</v>
      </c>
      <c r="G426" s="267" t="s">
        <v>1093</v>
      </c>
      <c r="H426" s="284">
        <v>2646.49</v>
      </c>
      <c r="I426" s="269">
        <f t="shared" si="12"/>
        <v>3373.22</v>
      </c>
      <c r="J426" s="1114"/>
      <c r="K426" s="270">
        <f t="shared" si="13"/>
        <v>3373.22</v>
      </c>
    </row>
    <row r="427" spans="2:11" s="989" customFormat="1">
      <c r="B427" s="294" t="s">
        <v>1646</v>
      </c>
      <c r="C427" s="273" t="s">
        <v>184</v>
      </c>
      <c r="D427" s="273" t="s">
        <v>1647</v>
      </c>
      <c r="E427" s="274" t="s">
        <v>3283</v>
      </c>
      <c r="F427" s="275">
        <v>1</v>
      </c>
      <c r="G427" s="266" t="s">
        <v>1093</v>
      </c>
      <c r="H427" s="284">
        <v>3941.26</v>
      </c>
      <c r="I427" s="269">
        <f t="shared" si="12"/>
        <v>5023.53</v>
      </c>
      <c r="J427" s="1114"/>
      <c r="K427" s="270">
        <f t="shared" si="13"/>
        <v>5023.53</v>
      </c>
    </row>
    <row r="428" spans="2:11" s="989" customFormat="1">
      <c r="B428" s="294" t="s">
        <v>1648</v>
      </c>
      <c r="C428" s="273" t="s">
        <v>184</v>
      </c>
      <c r="D428" s="273" t="s">
        <v>1649</v>
      </c>
      <c r="E428" s="274" t="s">
        <v>3284</v>
      </c>
      <c r="F428" s="275">
        <v>1</v>
      </c>
      <c r="G428" s="266" t="s">
        <v>1093</v>
      </c>
      <c r="H428" s="284">
        <v>5093.87</v>
      </c>
      <c r="I428" s="269">
        <f t="shared" si="12"/>
        <v>6492.65</v>
      </c>
      <c r="J428" s="1114"/>
      <c r="K428" s="270">
        <f t="shared" si="13"/>
        <v>6492.65</v>
      </c>
    </row>
    <row r="429" spans="2:11" s="989" customFormat="1" ht="51">
      <c r="B429" s="294" t="s">
        <v>1650</v>
      </c>
      <c r="C429" s="273"/>
      <c r="D429" s="273"/>
      <c r="E429" s="274" t="s">
        <v>3285</v>
      </c>
      <c r="F429" s="275"/>
      <c r="G429" s="266"/>
      <c r="H429" s="300"/>
      <c r="I429" s="269">
        <f t="shared" si="12"/>
        <v>0</v>
      </c>
      <c r="J429" s="1114"/>
      <c r="K429" s="270">
        <f t="shared" si="13"/>
        <v>0</v>
      </c>
    </row>
    <row r="430" spans="2:11" s="989" customFormat="1">
      <c r="B430" s="294" t="s">
        <v>1651</v>
      </c>
      <c r="C430" s="273" t="s">
        <v>184</v>
      </c>
      <c r="D430" s="264" t="s">
        <v>1652</v>
      </c>
      <c r="E430" s="274" t="s">
        <v>3286</v>
      </c>
      <c r="F430" s="266">
        <v>1</v>
      </c>
      <c r="G430" s="267" t="s">
        <v>1653</v>
      </c>
      <c r="H430" s="284">
        <v>378.51</v>
      </c>
      <c r="I430" s="269">
        <f t="shared" si="12"/>
        <v>482.45</v>
      </c>
      <c r="J430" s="1114"/>
      <c r="K430" s="270">
        <f t="shared" si="13"/>
        <v>482.45</v>
      </c>
    </row>
    <row r="431" spans="2:11" s="989" customFormat="1">
      <c r="B431" s="294" t="s">
        <v>1654</v>
      </c>
      <c r="C431" s="273" t="s">
        <v>184</v>
      </c>
      <c r="D431" s="273" t="s">
        <v>1655</v>
      </c>
      <c r="E431" s="274" t="s">
        <v>3287</v>
      </c>
      <c r="F431" s="275">
        <v>1</v>
      </c>
      <c r="G431" s="266" t="s">
        <v>1093</v>
      </c>
      <c r="H431" s="284">
        <v>180.71</v>
      </c>
      <c r="I431" s="269">
        <f t="shared" si="12"/>
        <v>230.33</v>
      </c>
      <c r="J431" s="1114"/>
      <c r="K431" s="270">
        <f t="shared" si="13"/>
        <v>230.33</v>
      </c>
    </row>
    <row r="432" spans="2:11" s="989" customFormat="1">
      <c r="B432" s="294" t="s">
        <v>1656</v>
      </c>
      <c r="C432" s="273" t="s">
        <v>184</v>
      </c>
      <c r="D432" s="273" t="s">
        <v>1657</v>
      </c>
      <c r="E432" s="274" t="s">
        <v>3288</v>
      </c>
      <c r="F432" s="275">
        <v>1</v>
      </c>
      <c r="G432" s="266" t="s">
        <v>1093</v>
      </c>
      <c r="H432" s="284">
        <v>312</v>
      </c>
      <c r="I432" s="269">
        <f t="shared" si="12"/>
        <v>397.68</v>
      </c>
      <c r="J432" s="1114"/>
      <c r="K432" s="270">
        <f t="shared" si="13"/>
        <v>397.68</v>
      </c>
    </row>
    <row r="433" spans="2:11" s="989" customFormat="1">
      <c r="B433" s="294" t="s">
        <v>1658</v>
      </c>
      <c r="C433" s="273" t="s">
        <v>1092</v>
      </c>
      <c r="D433" s="273" t="s">
        <v>1659</v>
      </c>
      <c r="E433" s="274" t="s">
        <v>3443</v>
      </c>
      <c r="F433" s="275">
        <v>1</v>
      </c>
      <c r="G433" s="266" t="s">
        <v>1093</v>
      </c>
      <c r="H433" s="300">
        <v>11</v>
      </c>
      <c r="I433" s="269">
        <f t="shared" si="12"/>
        <v>14.02</v>
      </c>
      <c r="J433" s="1114"/>
      <c r="K433" s="270">
        <f t="shared" si="13"/>
        <v>14.02</v>
      </c>
    </row>
    <row r="434" spans="2:11" s="989" customFormat="1">
      <c r="B434" s="294" t="s">
        <v>1660</v>
      </c>
      <c r="C434" s="273" t="s">
        <v>1092</v>
      </c>
      <c r="D434" s="264" t="s">
        <v>1661</v>
      </c>
      <c r="E434" s="274" t="s">
        <v>3289</v>
      </c>
      <c r="F434" s="266">
        <v>24</v>
      </c>
      <c r="G434" s="267" t="s">
        <v>3</v>
      </c>
      <c r="H434" s="284">
        <v>80</v>
      </c>
      <c r="I434" s="269">
        <f t="shared" si="12"/>
        <v>101.97</v>
      </c>
      <c r="J434" s="1114"/>
      <c r="K434" s="270">
        <f t="shared" si="13"/>
        <v>2447.2800000000002</v>
      </c>
    </row>
    <row r="435" spans="2:11" s="989" customFormat="1">
      <c r="B435" s="294" t="s">
        <v>1662</v>
      </c>
      <c r="C435" s="273" t="s">
        <v>1092</v>
      </c>
      <c r="D435" s="273" t="s">
        <v>1663</v>
      </c>
      <c r="E435" s="274" t="s">
        <v>3290</v>
      </c>
      <c r="F435" s="275">
        <v>24</v>
      </c>
      <c r="G435" s="266" t="s">
        <v>3</v>
      </c>
      <c r="H435" s="284">
        <v>45.85</v>
      </c>
      <c r="I435" s="269">
        <f t="shared" si="12"/>
        <v>58.44</v>
      </c>
      <c r="J435" s="1114"/>
      <c r="K435" s="270">
        <f t="shared" si="13"/>
        <v>1402.56</v>
      </c>
    </row>
    <row r="436" spans="2:11" s="989" customFormat="1">
      <c r="B436" s="294" t="s">
        <v>1664</v>
      </c>
      <c r="C436" s="273" t="s">
        <v>1092</v>
      </c>
      <c r="D436" s="273" t="s">
        <v>1665</v>
      </c>
      <c r="E436" s="274" t="s">
        <v>3444</v>
      </c>
      <c r="F436" s="275">
        <v>2</v>
      </c>
      <c r="G436" s="266" t="s">
        <v>1093</v>
      </c>
      <c r="H436" s="284">
        <v>8</v>
      </c>
      <c r="I436" s="269">
        <f t="shared" si="12"/>
        <v>10.199999999999999</v>
      </c>
      <c r="J436" s="1114"/>
      <c r="K436" s="270">
        <f t="shared" si="13"/>
        <v>20.399999999999999</v>
      </c>
    </row>
    <row r="437" spans="2:11" s="989" customFormat="1">
      <c r="B437" s="294" t="s">
        <v>1666</v>
      </c>
      <c r="C437" s="273" t="s">
        <v>1092</v>
      </c>
      <c r="D437" s="273" t="s">
        <v>1667</v>
      </c>
      <c r="E437" s="274" t="s">
        <v>3291</v>
      </c>
      <c r="F437" s="275">
        <v>1</v>
      </c>
      <c r="G437" s="266" t="s">
        <v>1093</v>
      </c>
      <c r="H437" s="300">
        <v>250</v>
      </c>
      <c r="I437" s="269">
        <f t="shared" si="12"/>
        <v>318.64999999999998</v>
      </c>
      <c r="J437" s="1114"/>
      <c r="K437" s="270">
        <f t="shared" si="13"/>
        <v>318.64999999999998</v>
      </c>
    </row>
    <row r="438" spans="2:11" s="989" customFormat="1">
      <c r="B438" s="294" t="s">
        <v>1668</v>
      </c>
      <c r="C438" s="273" t="s">
        <v>1092</v>
      </c>
      <c r="D438" s="264" t="s">
        <v>1669</v>
      </c>
      <c r="E438" s="274" t="s">
        <v>3292</v>
      </c>
      <c r="F438" s="266">
        <v>1</v>
      </c>
      <c r="G438" s="267" t="s">
        <v>1093</v>
      </c>
      <c r="H438" s="284">
        <v>210</v>
      </c>
      <c r="I438" s="269">
        <f t="shared" si="12"/>
        <v>267.67</v>
      </c>
      <c r="J438" s="1114"/>
      <c r="K438" s="270">
        <f t="shared" si="13"/>
        <v>267.67</v>
      </c>
    </row>
    <row r="439" spans="2:11" s="989" customFormat="1">
      <c r="B439" s="294" t="s">
        <v>1670</v>
      </c>
      <c r="C439" s="273" t="s">
        <v>1092</v>
      </c>
      <c r="D439" s="273" t="s">
        <v>1671</v>
      </c>
      <c r="E439" s="274" t="s">
        <v>3293</v>
      </c>
      <c r="F439" s="275">
        <v>6</v>
      </c>
      <c r="G439" s="266" t="s">
        <v>3</v>
      </c>
      <c r="H439" s="284">
        <v>28.9</v>
      </c>
      <c r="I439" s="269">
        <f t="shared" si="12"/>
        <v>36.840000000000003</v>
      </c>
      <c r="J439" s="1114"/>
      <c r="K439" s="270">
        <f t="shared" si="13"/>
        <v>221.04</v>
      </c>
    </row>
    <row r="440" spans="2:11" s="989" customFormat="1">
      <c r="B440" s="294" t="s">
        <v>1672</v>
      </c>
      <c r="C440" s="273" t="s">
        <v>1092</v>
      </c>
      <c r="D440" s="273" t="s">
        <v>1673</v>
      </c>
      <c r="E440" s="274" t="s">
        <v>3445</v>
      </c>
      <c r="F440" s="275">
        <v>2</v>
      </c>
      <c r="G440" s="266" t="s">
        <v>1093</v>
      </c>
      <c r="H440" s="284">
        <v>1.9</v>
      </c>
      <c r="I440" s="269">
        <f t="shared" si="12"/>
        <v>2.42</v>
      </c>
      <c r="J440" s="1114"/>
      <c r="K440" s="270">
        <f t="shared" si="13"/>
        <v>4.84</v>
      </c>
    </row>
    <row r="441" spans="2:11" s="989" customFormat="1">
      <c r="B441" s="294" t="s">
        <v>1674</v>
      </c>
      <c r="C441" s="273" t="s">
        <v>1092</v>
      </c>
      <c r="D441" s="273" t="s">
        <v>1675</v>
      </c>
      <c r="E441" s="274" t="s">
        <v>3446</v>
      </c>
      <c r="F441" s="275">
        <v>2</v>
      </c>
      <c r="G441" s="266" t="s">
        <v>1093</v>
      </c>
      <c r="H441" s="300">
        <v>3.3</v>
      </c>
      <c r="I441" s="269">
        <f t="shared" si="12"/>
        <v>4.21</v>
      </c>
      <c r="J441" s="1114"/>
      <c r="K441" s="270">
        <f t="shared" si="13"/>
        <v>8.42</v>
      </c>
    </row>
    <row r="442" spans="2:11" s="989" customFormat="1">
      <c r="B442" s="294" t="s">
        <v>1676</v>
      </c>
      <c r="C442" s="273" t="s">
        <v>1092</v>
      </c>
      <c r="D442" s="264" t="s">
        <v>1677</v>
      </c>
      <c r="E442" s="274" t="s">
        <v>3447</v>
      </c>
      <c r="F442" s="266">
        <v>1</v>
      </c>
      <c r="G442" s="267" t="s">
        <v>1093</v>
      </c>
      <c r="H442" s="284">
        <v>39.89</v>
      </c>
      <c r="I442" s="269">
        <f t="shared" si="12"/>
        <v>50.84</v>
      </c>
      <c r="J442" s="1114"/>
      <c r="K442" s="270">
        <f t="shared" si="13"/>
        <v>50.84</v>
      </c>
    </row>
    <row r="443" spans="2:11" s="989" customFormat="1">
      <c r="B443" s="294" t="s">
        <v>1678</v>
      </c>
      <c r="C443" s="273" t="s">
        <v>1092</v>
      </c>
      <c r="D443" s="273" t="s">
        <v>1679</v>
      </c>
      <c r="E443" s="274" t="s">
        <v>3294</v>
      </c>
      <c r="F443" s="275">
        <v>1</v>
      </c>
      <c r="G443" s="266" t="s">
        <v>1093</v>
      </c>
      <c r="H443" s="284">
        <v>20.49</v>
      </c>
      <c r="I443" s="269">
        <f t="shared" si="12"/>
        <v>26.12</v>
      </c>
      <c r="J443" s="1114"/>
      <c r="K443" s="270">
        <f t="shared" si="13"/>
        <v>26.12</v>
      </c>
    </row>
    <row r="444" spans="2:11" s="989" customFormat="1">
      <c r="B444" s="294" t="s">
        <v>1680</v>
      </c>
      <c r="C444" s="273" t="s">
        <v>1092</v>
      </c>
      <c r="D444" s="273" t="s">
        <v>1681</v>
      </c>
      <c r="E444" s="274" t="s">
        <v>3295</v>
      </c>
      <c r="F444" s="275">
        <v>4</v>
      </c>
      <c r="G444" s="266" t="s">
        <v>1093</v>
      </c>
      <c r="H444" s="284">
        <v>8.1999999999999993</v>
      </c>
      <c r="I444" s="269">
        <f t="shared" si="12"/>
        <v>10.45</v>
      </c>
      <c r="J444" s="1114"/>
      <c r="K444" s="270">
        <f t="shared" si="13"/>
        <v>41.8</v>
      </c>
    </row>
    <row r="445" spans="2:11" s="989" customFormat="1">
      <c r="B445" s="294" t="s">
        <v>1682</v>
      </c>
      <c r="C445" s="273" t="s">
        <v>1092</v>
      </c>
      <c r="D445" s="273" t="s">
        <v>1683</v>
      </c>
      <c r="E445" s="274" t="s">
        <v>3448</v>
      </c>
      <c r="F445" s="275">
        <v>4</v>
      </c>
      <c r="G445" s="266" t="s">
        <v>1093</v>
      </c>
      <c r="H445" s="300">
        <v>0.75</v>
      </c>
      <c r="I445" s="269">
        <f t="shared" si="12"/>
        <v>0.96</v>
      </c>
      <c r="J445" s="1114"/>
      <c r="K445" s="270">
        <f t="shared" si="13"/>
        <v>3.84</v>
      </c>
    </row>
    <row r="446" spans="2:11" s="989" customFormat="1">
      <c r="B446" s="294" t="s">
        <v>1684</v>
      </c>
      <c r="C446" s="273" t="s">
        <v>1092</v>
      </c>
      <c r="D446" s="264" t="s">
        <v>1685</v>
      </c>
      <c r="E446" s="274" t="s">
        <v>3449</v>
      </c>
      <c r="F446" s="266">
        <v>1</v>
      </c>
      <c r="G446" s="267" t="s">
        <v>1093</v>
      </c>
      <c r="H446" s="284">
        <v>12</v>
      </c>
      <c r="I446" s="269">
        <f t="shared" si="12"/>
        <v>15.3</v>
      </c>
      <c r="J446" s="1114"/>
      <c r="K446" s="270">
        <f t="shared" si="13"/>
        <v>15.3</v>
      </c>
    </row>
    <row r="447" spans="2:11" s="989" customFormat="1">
      <c r="B447" s="294" t="s">
        <v>1686</v>
      </c>
      <c r="C447" s="273" t="s">
        <v>1092</v>
      </c>
      <c r="D447" s="273" t="s">
        <v>1687</v>
      </c>
      <c r="E447" s="274" t="s">
        <v>3296</v>
      </c>
      <c r="F447" s="275">
        <v>1</v>
      </c>
      <c r="G447" s="266" t="s">
        <v>1093</v>
      </c>
      <c r="H447" s="284">
        <v>4.0999999999999996</v>
      </c>
      <c r="I447" s="269">
        <f t="shared" si="12"/>
        <v>5.23</v>
      </c>
      <c r="J447" s="1114"/>
      <c r="K447" s="270">
        <f t="shared" si="13"/>
        <v>5.23</v>
      </c>
    </row>
    <row r="448" spans="2:11" s="989" customFormat="1">
      <c r="B448" s="294" t="s">
        <v>1688</v>
      </c>
      <c r="C448" s="273" t="s">
        <v>1092</v>
      </c>
      <c r="D448" s="273" t="s">
        <v>1689</v>
      </c>
      <c r="E448" s="274" t="s">
        <v>3450</v>
      </c>
      <c r="F448" s="275">
        <v>1</v>
      </c>
      <c r="G448" s="266" t="s">
        <v>1093</v>
      </c>
      <c r="H448" s="284">
        <v>1.24</v>
      </c>
      <c r="I448" s="269">
        <f t="shared" si="12"/>
        <v>1.58</v>
      </c>
      <c r="J448" s="1114"/>
      <c r="K448" s="270">
        <f t="shared" si="13"/>
        <v>1.58</v>
      </c>
    </row>
    <row r="449" spans="2:11" s="989" customFormat="1">
      <c r="B449" s="294" t="s">
        <v>1690</v>
      </c>
      <c r="C449" s="273" t="s">
        <v>1092</v>
      </c>
      <c r="D449" s="273" t="s">
        <v>1691</v>
      </c>
      <c r="E449" s="274" t="s">
        <v>3451</v>
      </c>
      <c r="F449" s="275">
        <v>2</v>
      </c>
      <c r="G449" s="266" t="s">
        <v>1093</v>
      </c>
      <c r="H449" s="300">
        <v>9.2799999999999994</v>
      </c>
      <c r="I449" s="269">
        <f t="shared" si="12"/>
        <v>11.83</v>
      </c>
      <c r="J449" s="1114"/>
      <c r="K449" s="270">
        <f t="shared" si="13"/>
        <v>23.66</v>
      </c>
    </row>
    <row r="450" spans="2:11" s="989" customFormat="1">
      <c r="B450" s="294" t="s">
        <v>1692</v>
      </c>
      <c r="C450" s="273" t="s">
        <v>1092</v>
      </c>
      <c r="D450" s="264" t="s">
        <v>1693</v>
      </c>
      <c r="E450" s="274" t="s">
        <v>3297</v>
      </c>
      <c r="F450" s="266">
        <v>1</v>
      </c>
      <c r="G450" s="267" t="s">
        <v>1093</v>
      </c>
      <c r="H450" s="284">
        <v>250</v>
      </c>
      <c r="I450" s="269">
        <f t="shared" si="12"/>
        <v>318.64999999999998</v>
      </c>
      <c r="J450" s="1114"/>
      <c r="K450" s="270">
        <f t="shared" si="13"/>
        <v>318.64999999999998</v>
      </c>
    </row>
    <row r="451" spans="2:11" s="989" customFormat="1">
      <c r="B451" s="294" t="s">
        <v>1694</v>
      </c>
      <c r="C451" s="273" t="s">
        <v>1092</v>
      </c>
      <c r="D451" s="273" t="s">
        <v>1695</v>
      </c>
      <c r="E451" s="274" t="s">
        <v>3298</v>
      </c>
      <c r="F451" s="275">
        <v>1</v>
      </c>
      <c r="G451" s="266" t="s">
        <v>1093</v>
      </c>
      <c r="H451" s="284">
        <v>114.38</v>
      </c>
      <c r="I451" s="269">
        <f t="shared" si="12"/>
        <v>145.79</v>
      </c>
      <c r="J451" s="1114"/>
      <c r="K451" s="270">
        <f t="shared" si="13"/>
        <v>145.79</v>
      </c>
    </row>
    <row r="452" spans="2:11" s="989" customFormat="1">
      <c r="B452" s="294" t="s">
        <v>1696</v>
      </c>
      <c r="C452" s="273" t="s">
        <v>1092</v>
      </c>
      <c r="D452" s="273" t="s">
        <v>1697</v>
      </c>
      <c r="E452" s="274" t="s">
        <v>3299</v>
      </c>
      <c r="F452" s="275">
        <v>1</v>
      </c>
      <c r="G452" s="266" t="s">
        <v>1093</v>
      </c>
      <c r="H452" s="284">
        <v>47.9</v>
      </c>
      <c r="I452" s="269">
        <f t="shared" si="12"/>
        <v>61.05</v>
      </c>
      <c r="J452" s="1114"/>
      <c r="K452" s="270">
        <f t="shared" si="13"/>
        <v>61.05</v>
      </c>
    </row>
    <row r="453" spans="2:11" s="989" customFormat="1">
      <c r="B453" s="294" t="s">
        <v>1698</v>
      </c>
      <c r="C453" s="273" t="s">
        <v>1092</v>
      </c>
      <c r="D453" s="273" t="s">
        <v>1699</v>
      </c>
      <c r="E453" s="274" t="s">
        <v>3452</v>
      </c>
      <c r="F453" s="275">
        <v>3</v>
      </c>
      <c r="G453" s="266" t="s">
        <v>1093</v>
      </c>
      <c r="H453" s="300">
        <v>3.43</v>
      </c>
      <c r="I453" s="269">
        <f t="shared" si="12"/>
        <v>4.37</v>
      </c>
      <c r="J453" s="1114"/>
      <c r="K453" s="270">
        <f t="shared" si="13"/>
        <v>13.11</v>
      </c>
    </row>
    <row r="454" spans="2:11" s="989" customFormat="1">
      <c r="B454" s="294" t="s">
        <v>1700</v>
      </c>
      <c r="C454" s="273" t="s">
        <v>1092</v>
      </c>
      <c r="D454" s="264" t="s">
        <v>1701</v>
      </c>
      <c r="E454" s="274" t="s">
        <v>3300</v>
      </c>
      <c r="F454" s="266">
        <v>1</v>
      </c>
      <c r="G454" s="267" t="s">
        <v>1093</v>
      </c>
      <c r="H454" s="284">
        <v>13.76</v>
      </c>
      <c r="I454" s="269">
        <f t="shared" si="12"/>
        <v>17.54</v>
      </c>
      <c r="J454" s="1114"/>
      <c r="K454" s="270">
        <f t="shared" si="13"/>
        <v>17.54</v>
      </c>
    </row>
    <row r="455" spans="2:11" s="989" customFormat="1">
      <c r="B455" s="294" t="s">
        <v>1702</v>
      </c>
      <c r="C455" s="273" t="s">
        <v>1092</v>
      </c>
      <c r="D455" s="273" t="s">
        <v>1703</v>
      </c>
      <c r="E455" s="274" t="s">
        <v>3453</v>
      </c>
      <c r="F455" s="275">
        <v>1</v>
      </c>
      <c r="G455" s="266" t="s">
        <v>1093</v>
      </c>
      <c r="H455" s="284">
        <v>14.26</v>
      </c>
      <c r="I455" s="269">
        <f t="shared" si="12"/>
        <v>18.18</v>
      </c>
      <c r="J455" s="1114"/>
      <c r="K455" s="270">
        <f t="shared" si="13"/>
        <v>18.18</v>
      </c>
    </row>
    <row r="456" spans="2:11" s="989" customFormat="1">
      <c r="B456" s="294" t="s">
        <v>1704</v>
      </c>
      <c r="C456" s="273" t="s">
        <v>1092</v>
      </c>
      <c r="D456" s="273" t="s">
        <v>1705</v>
      </c>
      <c r="E456" s="274" t="s">
        <v>3301</v>
      </c>
      <c r="F456" s="275">
        <v>1</v>
      </c>
      <c r="G456" s="266" t="s">
        <v>1093</v>
      </c>
      <c r="H456" s="284">
        <v>38.9</v>
      </c>
      <c r="I456" s="269">
        <f t="shared" si="12"/>
        <v>49.58</v>
      </c>
      <c r="J456" s="1114"/>
      <c r="K456" s="270">
        <f t="shared" si="13"/>
        <v>49.58</v>
      </c>
    </row>
    <row r="457" spans="2:11" s="989" customFormat="1">
      <c r="B457" s="294" t="s">
        <v>1706</v>
      </c>
      <c r="C457" s="273" t="s">
        <v>1092</v>
      </c>
      <c r="D457" s="273" t="s">
        <v>1707</v>
      </c>
      <c r="E457" s="274" t="s">
        <v>3302</v>
      </c>
      <c r="F457" s="275">
        <v>47</v>
      </c>
      <c r="G457" s="266" t="s">
        <v>3</v>
      </c>
      <c r="H457" s="300">
        <v>3.3</v>
      </c>
      <c r="I457" s="269">
        <f t="shared" si="12"/>
        <v>4.21</v>
      </c>
      <c r="J457" s="1114"/>
      <c r="K457" s="270">
        <f t="shared" si="13"/>
        <v>197.87</v>
      </c>
    </row>
    <row r="458" spans="2:11" s="989" customFormat="1">
      <c r="B458" s="294" t="s">
        <v>1708</v>
      </c>
      <c r="C458" s="273" t="s">
        <v>1092</v>
      </c>
      <c r="D458" s="264" t="s">
        <v>1709</v>
      </c>
      <c r="E458" s="274" t="s">
        <v>3303</v>
      </c>
      <c r="F458" s="266">
        <v>6</v>
      </c>
      <c r="G458" s="267" t="s">
        <v>3</v>
      </c>
      <c r="H458" s="284">
        <v>13.09</v>
      </c>
      <c r="I458" s="269">
        <f t="shared" si="12"/>
        <v>16.68</v>
      </c>
      <c r="J458" s="1114"/>
      <c r="K458" s="270">
        <f t="shared" si="13"/>
        <v>100.08</v>
      </c>
    </row>
    <row r="459" spans="2:11" s="989" customFormat="1">
      <c r="B459" s="294" t="s">
        <v>1710</v>
      </c>
      <c r="C459" s="273" t="s">
        <v>1092</v>
      </c>
      <c r="D459" s="273" t="s">
        <v>1711</v>
      </c>
      <c r="E459" s="274" t="s">
        <v>3454</v>
      </c>
      <c r="F459" s="275">
        <v>3</v>
      </c>
      <c r="G459" s="266" t="s">
        <v>1093</v>
      </c>
      <c r="H459" s="284">
        <v>16.64</v>
      </c>
      <c r="I459" s="269">
        <f t="shared" si="12"/>
        <v>21.21</v>
      </c>
      <c r="J459" s="1114"/>
      <c r="K459" s="270">
        <f t="shared" si="13"/>
        <v>63.63</v>
      </c>
    </row>
    <row r="460" spans="2:11" s="989" customFormat="1">
      <c r="B460" s="294" t="s">
        <v>1712</v>
      </c>
      <c r="C460" s="273" t="s">
        <v>1092</v>
      </c>
      <c r="D460" s="273" t="s">
        <v>1713</v>
      </c>
      <c r="E460" s="274" t="s">
        <v>3455</v>
      </c>
      <c r="F460" s="275">
        <v>2</v>
      </c>
      <c r="G460" s="266" t="s">
        <v>1093</v>
      </c>
      <c r="H460" s="284">
        <v>28.94</v>
      </c>
      <c r="I460" s="269">
        <f t="shared" si="12"/>
        <v>36.89</v>
      </c>
      <c r="J460" s="1114"/>
      <c r="K460" s="270">
        <f t="shared" si="13"/>
        <v>73.78</v>
      </c>
    </row>
    <row r="461" spans="2:11" s="989" customFormat="1">
      <c r="B461" s="294" t="s">
        <v>1714</v>
      </c>
      <c r="C461" s="273" t="s">
        <v>1092</v>
      </c>
      <c r="D461" s="273" t="s">
        <v>1715</v>
      </c>
      <c r="E461" s="274" t="s">
        <v>3456</v>
      </c>
      <c r="F461" s="275">
        <v>4</v>
      </c>
      <c r="G461" s="266" t="s">
        <v>1093</v>
      </c>
      <c r="H461" s="300">
        <v>5.6</v>
      </c>
      <c r="I461" s="269">
        <f t="shared" si="12"/>
        <v>7.14</v>
      </c>
      <c r="J461" s="1114"/>
      <c r="K461" s="270">
        <f t="shared" si="13"/>
        <v>28.56</v>
      </c>
    </row>
    <row r="462" spans="2:11" s="989" customFormat="1">
      <c r="B462" s="294" t="s">
        <v>1716</v>
      </c>
      <c r="C462" s="273" t="s">
        <v>1092</v>
      </c>
      <c r="D462" s="264" t="s">
        <v>1269</v>
      </c>
      <c r="E462" s="274" t="s">
        <v>3304</v>
      </c>
      <c r="F462" s="266">
        <v>1</v>
      </c>
      <c r="G462" s="267" t="s">
        <v>1093</v>
      </c>
      <c r="H462" s="284">
        <v>15.9</v>
      </c>
      <c r="I462" s="269">
        <f t="shared" si="12"/>
        <v>20.27</v>
      </c>
      <c r="J462" s="1114"/>
      <c r="K462" s="270">
        <f t="shared" si="13"/>
        <v>20.27</v>
      </c>
    </row>
    <row r="463" spans="2:11" s="989" customFormat="1">
      <c r="B463" s="294" t="s">
        <v>1717</v>
      </c>
      <c r="C463" s="273" t="s">
        <v>1092</v>
      </c>
      <c r="D463" s="273" t="s">
        <v>1718</v>
      </c>
      <c r="E463" s="274" t="s">
        <v>3305</v>
      </c>
      <c r="F463" s="275">
        <v>1</v>
      </c>
      <c r="G463" s="266" t="s">
        <v>1093</v>
      </c>
      <c r="H463" s="284">
        <v>393.04</v>
      </c>
      <c r="I463" s="269">
        <f t="shared" si="12"/>
        <v>500.97</v>
      </c>
      <c r="J463" s="1114"/>
      <c r="K463" s="270">
        <f t="shared" si="13"/>
        <v>500.97</v>
      </c>
    </row>
    <row r="464" spans="2:11" s="989" customFormat="1">
      <c r="B464" s="294" t="s">
        <v>1719</v>
      </c>
      <c r="C464" s="273" t="s">
        <v>1092</v>
      </c>
      <c r="D464" s="273" t="s">
        <v>1720</v>
      </c>
      <c r="E464" s="274" t="s">
        <v>3457</v>
      </c>
      <c r="F464" s="275">
        <v>2</v>
      </c>
      <c r="G464" s="266" t="s">
        <v>1093</v>
      </c>
      <c r="H464" s="284">
        <v>0.85</v>
      </c>
      <c r="I464" s="269">
        <f t="shared" si="12"/>
        <v>1.08</v>
      </c>
      <c r="J464" s="1114"/>
      <c r="K464" s="270">
        <f t="shared" si="13"/>
        <v>2.16</v>
      </c>
    </row>
    <row r="465" spans="2:12" s="989" customFormat="1">
      <c r="B465" s="294" t="s">
        <v>1721</v>
      </c>
      <c r="C465" s="273" t="s">
        <v>1092</v>
      </c>
      <c r="D465" s="273" t="s">
        <v>1722</v>
      </c>
      <c r="E465" s="274" t="s">
        <v>3306</v>
      </c>
      <c r="F465" s="275">
        <v>2</v>
      </c>
      <c r="G465" s="266" t="s">
        <v>1093</v>
      </c>
      <c r="H465" s="300">
        <v>37.29</v>
      </c>
      <c r="I465" s="269">
        <f t="shared" si="12"/>
        <v>47.53</v>
      </c>
      <c r="J465" s="1114"/>
      <c r="K465" s="270">
        <f t="shared" si="13"/>
        <v>95.06</v>
      </c>
    </row>
    <row r="466" spans="2:12" s="989" customFormat="1">
      <c r="B466" s="294" t="s">
        <v>1723</v>
      </c>
      <c r="C466" s="273" t="s">
        <v>1092</v>
      </c>
      <c r="D466" s="264" t="s">
        <v>1724</v>
      </c>
      <c r="E466" s="274" t="s">
        <v>3307</v>
      </c>
      <c r="F466" s="266">
        <v>1</v>
      </c>
      <c r="G466" s="267" t="s">
        <v>1093</v>
      </c>
      <c r="H466" s="284">
        <v>1650</v>
      </c>
      <c r="I466" s="269">
        <f t="shared" si="12"/>
        <v>2103.09</v>
      </c>
      <c r="J466" s="1114"/>
      <c r="K466" s="270">
        <f t="shared" si="13"/>
        <v>2103.09</v>
      </c>
    </row>
    <row r="467" spans="2:12" s="989" customFormat="1">
      <c r="B467" s="294" t="s">
        <v>1725</v>
      </c>
      <c r="C467" s="273"/>
      <c r="D467" s="273"/>
      <c r="E467" s="274" t="s">
        <v>3308</v>
      </c>
      <c r="F467" s="275"/>
      <c r="G467" s="266"/>
      <c r="H467" s="284"/>
      <c r="I467" s="269">
        <f t="shared" si="12"/>
        <v>0</v>
      </c>
      <c r="J467" s="1114"/>
      <c r="K467" s="270">
        <f t="shared" si="13"/>
        <v>0</v>
      </c>
    </row>
    <row r="468" spans="2:12" s="989" customFormat="1">
      <c r="B468" s="294" t="s">
        <v>1726</v>
      </c>
      <c r="C468" s="273" t="s">
        <v>1099</v>
      </c>
      <c r="D468" s="273" t="s">
        <v>1727</v>
      </c>
      <c r="E468" s="274" t="s">
        <v>3309</v>
      </c>
      <c r="F468" s="275">
        <v>4.9000000000000004</v>
      </c>
      <c r="G468" s="266" t="s">
        <v>2</v>
      </c>
      <c r="H468" s="284">
        <v>558.9</v>
      </c>
      <c r="I468" s="269">
        <f t="shared" si="12"/>
        <v>712.37</v>
      </c>
      <c r="J468" s="1114"/>
      <c r="K468" s="270">
        <f t="shared" si="13"/>
        <v>3490.61</v>
      </c>
    </row>
    <row r="469" spans="2:12" s="989" customFormat="1">
      <c r="B469" s="294" t="s">
        <v>1728</v>
      </c>
      <c r="C469" s="273"/>
      <c r="D469" s="273"/>
      <c r="E469" s="274" t="s">
        <v>3310</v>
      </c>
      <c r="F469" s="275"/>
      <c r="G469" s="266"/>
      <c r="H469" s="300"/>
      <c r="I469" s="269">
        <f t="shared" si="12"/>
        <v>0</v>
      </c>
      <c r="J469" s="1114"/>
      <c r="K469" s="270">
        <f t="shared" si="13"/>
        <v>0</v>
      </c>
    </row>
    <row r="470" spans="2:12" s="989" customFormat="1">
      <c r="B470" s="294" t="s">
        <v>1729</v>
      </c>
      <c r="C470" s="273"/>
      <c r="D470" s="264"/>
      <c r="E470" s="274" t="s">
        <v>3139</v>
      </c>
      <c r="F470" s="266"/>
      <c r="G470" s="267"/>
      <c r="H470" s="284"/>
      <c r="I470" s="269">
        <f t="shared" si="12"/>
        <v>0</v>
      </c>
      <c r="J470" s="1114"/>
      <c r="K470" s="270">
        <f t="shared" si="13"/>
        <v>0</v>
      </c>
    </row>
    <row r="471" spans="2:12" s="989" customFormat="1">
      <c r="B471" s="294" t="s">
        <v>1729</v>
      </c>
      <c r="C471" s="273" t="s">
        <v>184</v>
      </c>
      <c r="D471" s="273" t="s">
        <v>1171</v>
      </c>
      <c r="E471" s="274" t="s">
        <v>3140</v>
      </c>
      <c r="F471" s="275">
        <v>6912</v>
      </c>
      <c r="G471" s="266" t="s">
        <v>3</v>
      </c>
      <c r="H471" s="284">
        <v>8.26</v>
      </c>
      <c r="I471" s="269">
        <f t="shared" ref="I471:I525" si="14">H471*(1+$I$16)</f>
        <v>10.53</v>
      </c>
      <c r="J471" s="1114"/>
      <c r="K471" s="270">
        <f t="shared" ref="K471:K525" si="15">I471*F471</f>
        <v>72783.360000000001</v>
      </c>
    </row>
    <row r="472" spans="2:12" s="989" customFormat="1">
      <c r="B472" s="294" t="s">
        <v>1730</v>
      </c>
      <c r="C472" s="273"/>
      <c r="D472" s="273"/>
      <c r="E472" s="274" t="s">
        <v>3142</v>
      </c>
      <c r="F472" s="275"/>
      <c r="G472" s="266"/>
      <c r="H472" s="284"/>
      <c r="I472" s="269">
        <f t="shared" si="14"/>
        <v>0</v>
      </c>
      <c r="J472" s="1114"/>
      <c r="K472" s="270">
        <f t="shared" si="15"/>
        <v>0</v>
      </c>
    </row>
    <row r="473" spans="2:12" s="989" customFormat="1" ht="99.95" customHeight="1">
      <c r="B473" s="294" t="s">
        <v>1731</v>
      </c>
      <c r="C473" s="273" t="s">
        <v>184</v>
      </c>
      <c r="D473" s="273" t="s">
        <v>1732</v>
      </c>
      <c r="E473" s="274" t="s">
        <v>3311</v>
      </c>
      <c r="F473" s="275">
        <f>'MC ÁGUA PARTE 2'!L86</f>
        <v>1749.46</v>
      </c>
      <c r="G473" s="266" t="s">
        <v>0</v>
      </c>
      <c r="H473" s="300">
        <v>5.96</v>
      </c>
      <c r="I473" s="269">
        <f t="shared" si="14"/>
        <v>7.6</v>
      </c>
      <c r="J473" s="1114"/>
      <c r="K473" s="270">
        <f t="shared" si="15"/>
        <v>13295.9</v>
      </c>
      <c r="L473" s="1308"/>
    </row>
    <row r="474" spans="2:12" s="989" customFormat="1">
      <c r="B474" s="294" t="s">
        <v>1733</v>
      </c>
      <c r="C474" s="273" t="s">
        <v>184</v>
      </c>
      <c r="D474" s="264" t="s">
        <v>1180</v>
      </c>
      <c r="E474" s="274" t="s">
        <v>3145</v>
      </c>
      <c r="F474" s="266">
        <f>'MC ÁGUA PARTE 2'!N86</f>
        <v>1710.97</v>
      </c>
      <c r="G474" s="267" t="s">
        <v>0</v>
      </c>
      <c r="H474" s="284">
        <v>19.260000000000002</v>
      </c>
      <c r="I474" s="269">
        <f t="shared" si="14"/>
        <v>24.55</v>
      </c>
      <c r="J474" s="1114"/>
      <c r="K474" s="270">
        <f t="shared" si="15"/>
        <v>42004.31</v>
      </c>
      <c r="L474" s="1308"/>
    </row>
    <row r="475" spans="2:12" s="989" customFormat="1">
      <c r="B475" s="294" t="s">
        <v>1734</v>
      </c>
      <c r="C475" s="273" t="s">
        <v>184</v>
      </c>
      <c r="D475" s="273" t="s">
        <v>1261</v>
      </c>
      <c r="E475" s="274" t="s">
        <v>3312</v>
      </c>
      <c r="F475" s="275">
        <v>1500.33</v>
      </c>
      <c r="G475" s="266" t="s">
        <v>0</v>
      </c>
      <c r="H475" s="284">
        <v>8.83</v>
      </c>
      <c r="I475" s="269">
        <f t="shared" si="14"/>
        <v>11.25</v>
      </c>
      <c r="J475" s="1114"/>
      <c r="K475" s="270">
        <f t="shared" si="15"/>
        <v>16878.71</v>
      </c>
      <c r="L475" s="1308"/>
    </row>
    <row r="476" spans="2:12" s="989" customFormat="1">
      <c r="B476" s="294" t="s">
        <v>1735</v>
      </c>
      <c r="C476" s="273" t="s">
        <v>184</v>
      </c>
      <c r="D476" s="273" t="s">
        <v>1311</v>
      </c>
      <c r="E476" s="274" t="s">
        <v>3174</v>
      </c>
      <c r="F476" s="275">
        <v>1500.33</v>
      </c>
      <c r="G476" s="266" t="s">
        <v>0</v>
      </c>
      <c r="H476" s="284">
        <v>1.43</v>
      </c>
      <c r="I476" s="269">
        <f t="shared" si="14"/>
        <v>1.82</v>
      </c>
      <c r="J476" s="1114"/>
      <c r="K476" s="270">
        <f t="shared" si="15"/>
        <v>2730.6</v>
      </c>
    </row>
    <row r="477" spans="2:12" s="989" customFormat="1">
      <c r="B477" s="294" t="s">
        <v>1736</v>
      </c>
      <c r="C477" s="273" t="s">
        <v>184</v>
      </c>
      <c r="D477" s="273" t="s">
        <v>1317</v>
      </c>
      <c r="E477" s="274" t="s">
        <v>3177</v>
      </c>
      <c r="F477" s="275">
        <v>120</v>
      </c>
      <c r="G477" s="266" t="s">
        <v>40</v>
      </c>
      <c r="H477" s="300">
        <v>26.05</v>
      </c>
      <c r="I477" s="269">
        <f t="shared" si="14"/>
        <v>33.200000000000003</v>
      </c>
      <c r="J477" s="1114"/>
      <c r="K477" s="270">
        <f t="shared" si="15"/>
        <v>3984</v>
      </c>
    </row>
    <row r="478" spans="2:12" s="989" customFormat="1" ht="50.1" customHeight="1">
      <c r="B478" s="294" t="s">
        <v>1737</v>
      </c>
      <c r="C478" s="273"/>
      <c r="D478" s="264"/>
      <c r="E478" s="274" t="s">
        <v>3147</v>
      </c>
      <c r="F478" s="266"/>
      <c r="G478" s="267"/>
      <c r="H478" s="284"/>
      <c r="I478" s="269">
        <f t="shared" si="14"/>
        <v>0</v>
      </c>
      <c r="J478" s="1114"/>
      <c r="K478" s="270">
        <f t="shared" si="15"/>
        <v>0</v>
      </c>
    </row>
    <row r="479" spans="2:12" s="989" customFormat="1">
      <c r="B479" s="294" t="s">
        <v>1738</v>
      </c>
      <c r="C479" s="273" t="s">
        <v>1099</v>
      </c>
      <c r="D479" s="273" t="s">
        <v>1191</v>
      </c>
      <c r="E479" s="274" t="s">
        <v>3407</v>
      </c>
      <c r="F479" s="275">
        <v>1456</v>
      </c>
      <c r="G479" s="266" t="s">
        <v>3</v>
      </c>
      <c r="H479" s="284">
        <v>117.08</v>
      </c>
      <c r="I479" s="269">
        <f t="shared" si="14"/>
        <v>149.22999999999999</v>
      </c>
      <c r="J479" s="1114"/>
      <c r="K479" s="270">
        <f t="shared" si="15"/>
        <v>217278.88</v>
      </c>
    </row>
    <row r="480" spans="2:12" s="989" customFormat="1" ht="51">
      <c r="B480" s="294" t="s">
        <v>1739</v>
      </c>
      <c r="C480" s="273" t="s">
        <v>184</v>
      </c>
      <c r="D480" s="273" t="s">
        <v>1740</v>
      </c>
      <c r="E480" s="274" t="s">
        <v>3313</v>
      </c>
      <c r="F480" s="275">
        <v>237</v>
      </c>
      <c r="G480" s="266" t="s">
        <v>3</v>
      </c>
      <c r="H480" s="284">
        <v>54.62</v>
      </c>
      <c r="I480" s="269">
        <f t="shared" si="14"/>
        <v>69.62</v>
      </c>
      <c r="J480" s="1114"/>
      <c r="K480" s="270">
        <f t="shared" si="15"/>
        <v>16499.939999999999</v>
      </c>
    </row>
    <row r="481" spans="2:11" s="989" customFormat="1" ht="51">
      <c r="B481" s="294" t="s">
        <v>1741</v>
      </c>
      <c r="C481" s="273" t="s">
        <v>184</v>
      </c>
      <c r="D481" s="273" t="s">
        <v>1742</v>
      </c>
      <c r="E481" s="274" t="s">
        <v>3314</v>
      </c>
      <c r="F481" s="275">
        <v>264</v>
      </c>
      <c r="G481" s="266" t="s">
        <v>3</v>
      </c>
      <c r="H481" s="300">
        <v>32.69</v>
      </c>
      <c r="I481" s="269">
        <f t="shared" si="14"/>
        <v>41.67</v>
      </c>
      <c r="J481" s="1114"/>
      <c r="K481" s="270">
        <f t="shared" si="15"/>
        <v>11000.88</v>
      </c>
    </row>
    <row r="482" spans="2:11" s="989" customFormat="1" ht="51">
      <c r="B482" s="294" t="s">
        <v>1743</v>
      </c>
      <c r="C482" s="273" t="s">
        <v>184</v>
      </c>
      <c r="D482" s="264" t="s">
        <v>1744</v>
      </c>
      <c r="E482" s="274" t="s">
        <v>3315</v>
      </c>
      <c r="F482" s="266">
        <v>4955</v>
      </c>
      <c r="G482" s="267" t="s">
        <v>3</v>
      </c>
      <c r="H482" s="284">
        <v>16.64</v>
      </c>
      <c r="I482" s="269">
        <f t="shared" si="14"/>
        <v>21.21</v>
      </c>
      <c r="J482" s="1114"/>
      <c r="K482" s="270">
        <f t="shared" si="15"/>
        <v>105095.55</v>
      </c>
    </row>
    <row r="483" spans="2:11" s="989" customFormat="1">
      <c r="B483" s="294" t="s">
        <v>1745</v>
      </c>
      <c r="C483" s="273" t="s">
        <v>1099</v>
      </c>
      <c r="D483" s="273" t="s">
        <v>1451</v>
      </c>
      <c r="E483" s="274" t="s">
        <v>3408</v>
      </c>
      <c r="F483" s="275">
        <f>1456+136</f>
        <v>1592</v>
      </c>
      <c r="G483" s="266" t="s">
        <v>3</v>
      </c>
      <c r="H483" s="284">
        <v>3.31</v>
      </c>
      <c r="I483" s="269">
        <f t="shared" si="14"/>
        <v>4.22</v>
      </c>
      <c r="J483" s="1114"/>
      <c r="K483" s="270">
        <f t="shared" si="15"/>
        <v>6718.24</v>
      </c>
    </row>
    <row r="484" spans="2:11" s="989" customFormat="1" ht="51">
      <c r="B484" s="294" t="s">
        <v>1746</v>
      </c>
      <c r="C484" s="273" t="s">
        <v>184</v>
      </c>
      <c r="D484" s="273" t="s">
        <v>1747</v>
      </c>
      <c r="E484" s="274" t="s">
        <v>3316</v>
      </c>
      <c r="F484" s="275">
        <v>237</v>
      </c>
      <c r="G484" s="266" t="s">
        <v>3</v>
      </c>
      <c r="H484" s="284">
        <v>1.36</v>
      </c>
      <c r="I484" s="269">
        <f t="shared" si="14"/>
        <v>1.73</v>
      </c>
      <c r="J484" s="1114"/>
      <c r="K484" s="270">
        <f t="shared" si="15"/>
        <v>410.01</v>
      </c>
    </row>
    <row r="485" spans="2:11" s="989" customFormat="1" ht="51">
      <c r="B485" s="294" t="s">
        <v>1748</v>
      </c>
      <c r="C485" s="273" t="s">
        <v>184</v>
      </c>
      <c r="D485" s="273" t="s">
        <v>1749</v>
      </c>
      <c r="E485" s="274" t="s">
        <v>3317</v>
      </c>
      <c r="F485" s="275">
        <v>264</v>
      </c>
      <c r="G485" s="266" t="s">
        <v>3</v>
      </c>
      <c r="H485" s="300">
        <v>1.07</v>
      </c>
      <c r="I485" s="269">
        <f t="shared" si="14"/>
        <v>1.36</v>
      </c>
      <c r="J485" s="1114"/>
      <c r="K485" s="270">
        <f t="shared" si="15"/>
        <v>359.04</v>
      </c>
    </row>
    <row r="486" spans="2:11" s="989" customFormat="1" ht="51">
      <c r="B486" s="294" t="s">
        <v>1750</v>
      </c>
      <c r="C486" s="273" t="s">
        <v>184</v>
      </c>
      <c r="D486" s="264" t="s">
        <v>1751</v>
      </c>
      <c r="E486" s="274" t="s">
        <v>3318</v>
      </c>
      <c r="F486" s="266">
        <v>4955</v>
      </c>
      <c r="G486" s="267" t="s">
        <v>3</v>
      </c>
      <c r="H486" s="284">
        <v>0.75</v>
      </c>
      <c r="I486" s="269">
        <f t="shared" si="14"/>
        <v>0.96</v>
      </c>
      <c r="J486" s="1114"/>
      <c r="K486" s="270">
        <f t="shared" si="15"/>
        <v>4756.8</v>
      </c>
    </row>
    <row r="487" spans="2:11" s="989" customFormat="1">
      <c r="B487" s="294" t="s">
        <v>1752</v>
      </c>
      <c r="C487" s="273"/>
      <c r="D487" s="273"/>
      <c r="E487" s="274" t="s">
        <v>3319</v>
      </c>
      <c r="F487" s="275"/>
      <c r="G487" s="266"/>
      <c r="H487" s="284"/>
      <c r="I487" s="269">
        <f t="shared" si="14"/>
        <v>0</v>
      </c>
      <c r="J487" s="1114"/>
      <c r="K487" s="270">
        <f t="shared" si="15"/>
        <v>0</v>
      </c>
    </row>
    <row r="488" spans="2:11" s="989" customFormat="1">
      <c r="B488" s="294" t="s">
        <v>1753</v>
      </c>
      <c r="C488" s="273" t="s">
        <v>1092</v>
      </c>
      <c r="D488" s="273" t="s">
        <v>1754</v>
      </c>
      <c r="E488" s="274" t="s">
        <v>3320</v>
      </c>
      <c r="F488" s="275">
        <v>10</v>
      </c>
      <c r="G488" s="266" t="s">
        <v>1093</v>
      </c>
      <c r="H488" s="284">
        <v>985</v>
      </c>
      <c r="I488" s="269">
        <f t="shared" si="14"/>
        <v>1255.48</v>
      </c>
      <c r="J488" s="1114"/>
      <c r="K488" s="270">
        <f t="shared" si="15"/>
        <v>12554.8</v>
      </c>
    </row>
    <row r="489" spans="2:11" s="989" customFormat="1" ht="51">
      <c r="B489" s="294" t="s">
        <v>1755</v>
      </c>
      <c r="C489" s="273" t="s">
        <v>1092</v>
      </c>
      <c r="D489" s="273" t="s">
        <v>1756</v>
      </c>
      <c r="E489" s="274" t="s">
        <v>3458</v>
      </c>
      <c r="F489" s="275">
        <v>3</v>
      </c>
      <c r="G489" s="266" t="s">
        <v>1093</v>
      </c>
      <c r="H489" s="300">
        <v>1300</v>
      </c>
      <c r="I489" s="269">
        <f t="shared" si="14"/>
        <v>1656.98</v>
      </c>
      <c r="J489" s="1114"/>
      <c r="K489" s="270">
        <f t="shared" si="15"/>
        <v>4970.9399999999996</v>
      </c>
    </row>
    <row r="490" spans="2:11" s="989" customFormat="1">
      <c r="B490" s="294" t="s">
        <v>1757</v>
      </c>
      <c r="C490" s="273" t="s">
        <v>1092</v>
      </c>
      <c r="D490" s="264" t="s">
        <v>1758</v>
      </c>
      <c r="E490" s="274" t="s">
        <v>3321</v>
      </c>
      <c r="F490" s="266">
        <v>19</v>
      </c>
      <c r="G490" s="267" t="s">
        <v>1093</v>
      </c>
      <c r="H490" s="284">
        <v>12.15</v>
      </c>
      <c r="I490" s="269">
        <f t="shared" si="14"/>
        <v>15.49</v>
      </c>
      <c r="J490" s="1114"/>
      <c r="K490" s="270">
        <f t="shared" si="15"/>
        <v>294.31</v>
      </c>
    </row>
    <row r="491" spans="2:11" s="989" customFormat="1">
      <c r="B491" s="294" t="s">
        <v>1759</v>
      </c>
      <c r="C491" s="273" t="s">
        <v>1092</v>
      </c>
      <c r="D491" s="273" t="s">
        <v>1760</v>
      </c>
      <c r="E491" s="274" t="s">
        <v>3322</v>
      </c>
      <c r="F491" s="275">
        <v>3</v>
      </c>
      <c r="G491" s="266" t="s">
        <v>1093</v>
      </c>
      <c r="H491" s="284">
        <v>1450</v>
      </c>
      <c r="I491" s="269">
        <f t="shared" si="14"/>
        <v>1848.17</v>
      </c>
      <c r="J491" s="1114"/>
      <c r="K491" s="270">
        <f t="shared" si="15"/>
        <v>5544.51</v>
      </c>
    </row>
    <row r="492" spans="2:11" s="989" customFormat="1" ht="51">
      <c r="B492" s="294" t="s">
        <v>1761</v>
      </c>
      <c r="C492" s="273" t="s">
        <v>1092</v>
      </c>
      <c r="D492" s="273" t="s">
        <v>1762</v>
      </c>
      <c r="E492" s="274" t="s">
        <v>3459</v>
      </c>
      <c r="F492" s="275">
        <v>3</v>
      </c>
      <c r="G492" s="266" t="s">
        <v>1093</v>
      </c>
      <c r="H492" s="284">
        <v>2469</v>
      </c>
      <c r="I492" s="269">
        <f t="shared" si="14"/>
        <v>3146.99</v>
      </c>
      <c r="J492" s="1114"/>
      <c r="K492" s="270">
        <f t="shared" si="15"/>
        <v>9440.9699999999993</v>
      </c>
    </row>
    <row r="493" spans="2:11" s="989" customFormat="1" ht="51">
      <c r="B493" s="294" t="s">
        <v>1763</v>
      </c>
      <c r="C493" s="273" t="s">
        <v>1092</v>
      </c>
      <c r="D493" s="273" t="s">
        <v>1764</v>
      </c>
      <c r="E493" s="274" t="s">
        <v>3460</v>
      </c>
      <c r="F493" s="275">
        <v>3</v>
      </c>
      <c r="G493" s="266" t="s">
        <v>1093</v>
      </c>
      <c r="H493" s="300">
        <v>690</v>
      </c>
      <c r="I493" s="269">
        <f t="shared" si="14"/>
        <v>879.47</v>
      </c>
      <c r="J493" s="1114"/>
      <c r="K493" s="270">
        <f t="shared" si="15"/>
        <v>2638.41</v>
      </c>
    </row>
    <row r="494" spans="2:11" s="989" customFormat="1">
      <c r="B494" s="294" t="s">
        <v>1765</v>
      </c>
      <c r="C494" s="273" t="s">
        <v>1092</v>
      </c>
      <c r="D494" s="264" t="s">
        <v>1766</v>
      </c>
      <c r="E494" s="274" t="s">
        <v>3461</v>
      </c>
      <c r="F494" s="266">
        <v>1</v>
      </c>
      <c r="G494" s="267" t="s">
        <v>1093</v>
      </c>
      <c r="H494" s="284">
        <v>110</v>
      </c>
      <c r="I494" s="269">
        <f t="shared" si="14"/>
        <v>140.21</v>
      </c>
      <c r="J494" s="1114"/>
      <c r="K494" s="270">
        <f t="shared" si="15"/>
        <v>140.21</v>
      </c>
    </row>
    <row r="495" spans="2:11" s="989" customFormat="1" ht="24.95" customHeight="1">
      <c r="B495" s="294" t="s">
        <v>1767</v>
      </c>
      <c r="C495" s="273" t="s">
        <v>1092</v>
      </c>
      <c r="D495" s="273" t="s">
        <v>1768</v>
      </c>
      <c r="E495" s="274" t="s">
        <v>3462</v>
      </c>
      <c r="F495" s="275">
        <v>2</v>
      </c>
      <c r="G495" s="266" t="s">
        <v>1093</v>
      </c>
      <c r="H495" s="284">
        <v>49.26</v>
      </c>
      <c r="I495" s="269">
        <f t="shared" si="14"/>
        <v>62.79</v>
      </c>
      <c r="J495" s="1114"/>
      <c r="K495" s="270">
        <f t="shared" si="15"/>
        <v>125.58</v>
      </c>
    </row>
    <row r="496" spans="2:11" s="989" customFormat="1">
      <c r="B496" s="294" t="s">
        <v>1769</v>
      </c>
      <c r="C496" s="273" t="s">
        <v>1092</v>
      </c>
      <c r="D496" s="273" t="s">
        <v>1770</v>
      </c>
      <c r="E496" s="274" t="s">
        <v>3463</v>
      </c>
      <c r="F496" s="275">
        <v>3</v>
      </c>
      <c r="G496" s="266" t="s">
        <v>1093</v>
      </c>
      <c r="H496" s="284">
        <v>64.260000000000005</v>
      </c>
      <c r="I496" s="269">
        <f t="shared" si="14"/>
        <v>81.91</v>
      </c>
      <c r="J496" s="1114"/>
      <c r="K496" s="270">
        <f t="shared" si="15"/>
        <v>245.73</v>
      </c>
    </row>
    <row r="497" spans="2:11" s="989" customFormat="1">
      <c r="B497" s="294" t="s">
        <v>1771</v>
      </c>
      <c r="C497" s="273" t="s">
        <v>1092</v>
      </c>
      <c r="D497" s="273" t="s">
        <v>1772</v>
      </c>
      <c r="E497" s="274" t="s">
        <v>3464</v>
      </c>
      <c r="F497" s="275">
        <v>3</v>
      </c>
      <c r="G497" s="266" t="s">
        <v>1093</v>
      </c>
      <c r="H497" s="300">
        <v>33</v>
      </c>
      <c r="I497" s="269">
        <f t="shared" si="14"/>
        <v>42.06</v>
      </c>
      <c r="J497" s="1114"/>
      <c r="K497" s="270">
        <f t="shared" si="15"/>
        <v>126.18</v>
      </c>
    </row>
    <row r="498" spans="2:11" s="989" customFormat="1">
      <c r="B498" s="294" t="s">
        <v>1773</v>
      </c>
      <c r="C498" s="273" t="s">
        <v>1092</v>
      </c>
      <c r="D498" s="273" t="s">
        <v>1776</v>
      </c>
      <c r="E498" s="274" t="s">
        <v>3323</v>
      </c>
      <c r="F498" s="275">
        <v>3</v>
      </c>
      <c r="G498" s="266" t="s">
        <v>1093</v>
      </c>
      <c r="H498" s="284">
        <v>35.35</v>
      </c>
      <c r="I498" s="269">
        <f t="shared" si="14"/>
        <v>45.06</v>
      </c>
      <c r="J498" s="1114"/>
      <c r="K498" s="270">
        <f t="shared" si="15"/>
        <v>135.18</v>
      </c>
    </row>
    <row r="499" spans="2:11" s="989" customFormat="1">
      <c r="B499" s="294" t="s">
        <v>1774</v>
      </c>
      <c r="C499" s="273" t="s">
        <v>1092</v>
      </c>
      <c r="D499" s="273" t="s">
        <v>1780</v>
      </c>
      <c r="E499" s="274" t="s">
        <v>3324</v>
      </c>
      <c r="F499" s="275">
        <v>2</v>
      </c>
      <c r="G499" s="266" t="s">
        <v>1093</v>
      </c>
      <c r="H499" s="284">
        <v>28.8</v>
      </c>
      <c r="I499" s="269">
        <f t="shared" si="14"/>
        <v>36.71</v>
      </c>
      <c r="J499" s="1114"/>
      <c r="K499" s="270">
        <f t="shared" si="15"/>
        <v>73.42</v>
      </c>
    </row>
    <row r="500" spans="2:11" s="989" customFormat="1">
      <c r="B500" s="294" t="s">
        <v>1775</v>
      </c>
      <c r="C500" s="273" t="s">
        <v>1092</v>
      </c>
      <c r="D500" s="264" t="s">
        <v>1784</v>
      </c>
      <c r="E500" s="274" t="s">
        <v>3325</v>
      </c>
      <c r="F500" s="266">
        <v>4</v>
      </c>
      <c r="G500" s="267" t="s">
        <v>1093</v>
      </c>
      <c r="H500" s="284">
        <v>28</v>
      </c>
      <c r="I500" s="269">
        <f t="shared" si="14"/>
        <v>35.69</v>
      </c>
      <c r="J500" s="1114"/>
      <c r="K500" s="270">
        <f t="shared" si="15"/>
        <v>142.76</v>
      </c>
    </row>
    <row r="501" spans="2:11" s="989" customFormat="1" ht="51">
      <c r="B501" s="294" t="s">
        <v>1777</v>
      </c>
      <c r="C501" s="273" t="s">
        <v>1092</v>
      </c>
      <c r="D501" s="273" t="s">
        <v>1785</v>
      </c>
      <c r="E501" s="274" t="s">
        <v>3465</v>
      </c>
      <c r="F501" s="275">
        <v>3</v>
      </c>
      <c r="G501" s="266" t="s">
        <v>1093</v>
      </c>
      <c r="H501" s="284">
        <v>480</v>
      </c>
      <c r="I501" s="269">
        <f t="shared" si="14"/>
        <v>611.80999999999995</v>
      </c>
      <c r="J501" s="1114"/>
      <c r="K501" s="270">
        <f t="shared" si="15"/>
        <v>1835.43</v>
      </c>
    </row>
    <row r="502" spans="2:11" s="989" customFormat="1">
      <c r="B502" s="294" t="s">
        <v>1778</v>
      </c>
      <c r="C502" s="273" t="s">
        <v>1092</v>
      </c>
      <c r="D502" s="273" t="s">
        <v>1786</v>
      </c>
      <c r="E502" s="274" t="s">
        <v>3326</v>
      </c>
      <c r="F502" s="275">
        <v>1</v>
      </c>
      <c r="G502" s="266" t="s">
        <v>1093</v>
      </c>
      <c r="H502" s="284">
        <v>144.69999999999999</v>
      </c>
      <c r="I502" s="269">
        <f t="shared" si="14"/>
        <v>184.43</v>
      </c>
      <c r="J502" s="1114"/>
      <c r="K502" s="270">
        <f t="shared" si="15"/>
        <v>184.43</v>
      </c>
    </row>
    <row r="503" spans="2:11" s="989" customFormat="1">
      <c r="B503" s="294" t="s">
        <v>1779</v>
      </c>
      <c r="C503" s="273" t="s">
        <v>1092</v>
      </c>
      <c r="D503" s="273" t="s">
        <v>1787</v>
      </c>
      <c r="E503" s="274" t="s">
        <v>3327</v>
      </c>
      <c r="F503" s="275">
        <v>4</v>
      </c>
      <c r="G503" s="266" t="s">
        <v>1093</v>
      </c>
      <c r="H503" s="284">
        <v>32</v>
      </c>
      <c r="I503" s="269">
        <f t="shared" si="14"/>
        <v>40.79</v>
      </c>
      <c r="J503" s="1114"/>
      <c r="K503" s="270">
        <f t="shared" si="15"/>
        <v>163.16</v>
      </c>
    </row>
    <row r="504" spans="2:11" s="989" customFormat="1">
      <c r="B504" s="294" t="s">
        <v>1781</v>
      </c>
      <c r="C504" s="273" t="s">
        <v>1092</v>
      </c>
      <c r="D504" s="273" t="s">
        <v>1432</v>
      </c>
      <c r="E504" s="274" t="s">
        <v>3328</v>
      </c>
      <c r="F504" s="275">
        <v>2</v>
      </c>
      <c r="G504" s="266" t="s">
        <v>1093</v>
      </c>
      <c r="H504" s="284">
        <v>2750</v>
      </c>
      <c r="I504" s="269">
        <f t="shared" si="14"/>
        <v>3505.15</v>
      </c>
      <c r="J504" s="1114"/>
      <c r="K504" s="270">
        <f t="shared" si="15"/>
        <v>7010.3</v>
      </c>
    </row>
    <row r="505" spans="2:11" s="989" customFormat="1">
      <c r="B505" s="294" t="s">
        <v>1782</v>
      </c>
      <c r="C505" s="273" t="s">
        <v>1092</v>
      </c>
      <c r="D505" s="264" t="s">
        <v>1788</v>
      </c>
      <c r="E505" s="274" t="s">
        <v>3329</v>
      </c>
      <c r="F505" s="266">
        <v>8</v>
      </c>
      <c r="G505" s="267" t="s">
        <v>1093</v>
      </c>
      <c r="H505" s="284">
        <v>35.26</v>
      </c>
      <c r="I505" s="269">
        <f t="shared" si="14"/>
        <v>44.94</v>
      </c>
      <c r="J505" s="1114"/>
      <c r="K505" s="270">
        <f t="shared" si="15"/>
        <v>359.52</v>
      </c>
    </row>
    <row r="506" spans="2:11" s="989" customFormat="1">
      <c r="B506" s="294" t="s">
        <v>1783</v>
      </c>
      <c r="C506" s="273" t="s">
        <v>1092</v>
      </c>
      <c r="D506" s="273" t="s">
        <v>1789</v>
      </c>
      <c r="E506" s="274" t="s">
        <v>3330</v>
      </c>
      <c r="F506" s="275">
        <v>2</v>
      </c>
      <c r="G506" s="266" t="s">
        <v>1093</v>
      </c>
      <c r="H506" s="284">
        <v>49.41</v>
      </c>
      <c r="I506" s="269">
        <f t="shared" si="14"/>
        <v>62.98</v>
      </c>
      <c r="J506" s="1114"/>
      <c r="K506" s="270">
        <f t="shared" si="15"/>
        <v>125.96</v>
      </c>
    </row>
    <row r="507" spans="2:11" s="989" customFormat="1">
      <c r="B507" s="294" t="s">
        <v>1790</v>
      </c>
      <c r="C507" s="273"/>
      <c r="D507" s="273"/>
      <c r="E507" s="274" t="s">
        <v>3331</v>
      </c>
      <c r="F507" s="275"/>
      <c r="G507" s="266"/>
      <c r="H507" s="284"/>
      <c r="I507" s="269">
        <f t="shared" si="14"/>
        <v>0</v>
      </c>
      <c r="J507" s="1114"/>
      <c r="K507" s="270">
        <f t="shared" si="15"/>
        <v>0</v>
      </c>
    </row>
    <row r="508" spans="2:11" s="989" customFormat="1">
      <c r="B508" s="294" t="s">
        <v>1791</v>
      </c>
      <c r="C508" s="273" t="s">
        <v>1099</v>
      </c>
      <c r="D508" s="273" t="s">
        <v>1792</v>
      </c>
      <c r="E508" s="274" t="s">
        <v>3332</v>
      </c>
      <c r="F508" s="275">
        <v>6912</v>
      </c>
      <c r="G508" s="266" t="s">
        <v>3</v>
      </c>
      <c r="H508" s="300">
        <v>0.5</v>
      </c>
      <c r="I508" s="269">
        <f t="shared" si="14"/>
        <v>0.64</v>
      </c>
      <c r="J508" s="1114"/>
      <c r="K508" s="270">
        <f t="shared" si="15"/>
        <v>4423.68</v>
      </c>
    </row>
    <row r="509" spans="2:11" s="989" customFormat="1">
      <c r="B509" s="294" t="s">
        <v>1793</v>
      </c>
      <c r="C509" s="273" t="s">
        <v>1099</v>
      </c>
      <c r="D509" s="264" t="s">
        <v>1794</v>
      </c>
      <c r="E509" s="274" t="s">
        <v>3333</v>
      </c>
      <c r="F509" s="266">
        <v>6912</v>
      </c>
      <c r="G509" s="267" t="s">
        <v>3</v>
      </c>
      <c r="H509" s="284">
        <v>2.5</v>
      </c>
      <c r="I509" s="269">
        <f t="shared" si="14"/>
        <v>3.19</v>
      </c>
      <c r="J509" s="1114"/>
      <c r="K509" s="270">
        <f t="shared" si="15"/>
        <v>22049.279999999999</v>
      </c>
    </row>
    <row r="510" spans="2:11" s="989" customFormat="1">
      <c r="B510" s="294" t="s">
        <v>1795</v>
      </c>
      <c r="C510" s="273" t="s">
        <v>1099</v>
      </c>
      <c r="D510" s="273" t="s">
        <v>1796</v>
      </c>
      <c r="E510" s="274" t="s">
        <v>3334</v>
      </c>
      <c r="F510" s="275">
        <v>6912</v>
      </c>
      <c r="G510" s="266" t="s">
        <v>3</v>
      </c>
      <c r="H510" s="284">
        <v>1.41</v>
      </c>
      <c r="I510" s="269">
        <f t="shared" si="14"/>
        <v>1.8</v>
      </c>
      <c r="J510" s="1114"/>
      <c r="K510" s="270">
        <f t="shared" si="15"/>
        <v>12441.6</v>
      </c>
    </row>
    <row r="511" spans="2:11" s="989" customFormat="1" ht="51">
      <c r="B511" s="294" t="s">
        <v>1797</v>
      </c>
      <c r="C511" s="273" t="s">
        <v>184</v>
      </c>
      <c r="D511" s="273" t="s">
        <v>612</v>
      </c>
      <c r="E511" s="274" t="s">
        <v>613</v>
      </c>
      <c r="F511" s="275">
        <v>933.6</v>
      </c>
      <c r="G511" s="266" t="s">
        <v>2</v>
      </c>
      <c r="H511" s="284">
        <v>21.09</v>
      </c>
      <c r="I511" s="269">
        <f t="shared" si="14"/>
        <v>26.88</v>
      </c>
      <c r="J511" s="1114"/>
      <c r="K511" s="270">
        <f t="shared" si="15"/>
        <v>25095.17</v>
      </c>
    </row>
    <row r="512" spans="2:11" s="989" customFormat="1">
      <c r="B512" s="294" t="s">
        <v>1798</v>
      </c>
      <c r="C512" s="273" t="s">
        <v>1099</v>
      </c>
      <c r="D512" s="273" t="s">
        <v>1799</v>
      </c>
      <c r="E512" s="274" t="s">
        <v>3335</v>
      </c>
      <c r="F512" s="275">
        <v>933.6</v>
      </c>
      <c r="G512" s="266" t="s">
        <v>2</v>
      </c>
      <c r="H512" s="300">
        <v>68.569999999999993</v>
      </c>
      <c r="I512" s="269">
        <f t="shared" si="14"/>
        <v>87.4</v>
      </c>
      <c r="J512" s="1114"/>
      <c r="K512" s="270">
        <f t="shared" si="15"/>
        <v>81596.639999999999</v>
      </c>
    </row>
    <row r="513" spans="2:11" s="989" customFormat="1" ht="76.5">
      <c r="B513" s="294" t="s">
        <v>1800</v>
      </c>
      <c r="C513" s="273" t="s">
        <v>182</v>
      </c>
      <c r="D513" s="264" t="s">
        <v>1801</v>
      </c>
      <c r="E513" s="274" t="s">
        <v>3466</v>
      </c>
      <c r="F513" s="266">
        <v>2</v>
      </c>
      <c r="G513" s="267" t="s">
        <v>1093</v>
      </c>
      <c r="H513" s="284">
        <v>1073.24</v>
      </c>
      <c r="I513" s="269">
        <f t="shared" si="14"/>
        <v>1367.95</v>
      </c>
      <c r="J513" s="1114"/>
      <c r="K513" s="270">
        <f t="shared" si="15"/>
        <v>2735.9</v>
      </c>
    </row>
    <row r="514" spans="2:11" s="989" customFormat="1">
      <c r="B514" s="294" t="s">
        <v>1802</v>
      </c>
      <c r="C514" s="273"/>
      <c r="D514" s="273"/>
      <c r="E514" s="274" t="s">
        <v>3336</v>
      </c>
      <c r="F514" s="275"/>
      <c r="G514" s="266"/>
      <c r="H514" s="284"/>
      <c r="I514" s="269">
        <f t="shared" si="14"/>
        <v>0</v>
      </c>
      <c r="J514" s="1114"/>
      <c r="K514" s="270">
        <f t="shared" si="15"/>
        <v>0</v>
      </c>
    </row>
    <row r="515" spans="2:11" s="989" customFormat="1">
      <c r="B515" s="294" t="s">
        <v>1803</v>
      </c>
      <c r="C515" s="273"/>
      <c r="D515" s="273"/>
      <c r="E515" s="274" t="s">
        <v>3142</v>
      </c>
      <c r="F515" s="275"/>
      <c r="G515" s="266"/>
      <c r="H515" s="284"/>
      <c r="I515" s="269">
        <f t="shared" si="14"/>
        <v>0</v>
      </c>
      <c r="J515" s="1114"/>
      <c r="K515" s="270">
        <f t="shared" si="15"/>
        <v>0</v>
      </c>
    </row>
    <row r="516" spans="2:11" s="989" customFormat="1">
      <c r="B516" s="294" t="s">
        <v>1804</v>
      </c>
      <c r="C516" s="273" t="s">
        <v>1099</v>
      </c>
      <c r="D516" s="273" t="s">
        <v>1308</v>
      </c>
      <c r="E516" s="274" t="s">
        <v>3173</v>
      </c>
      <c r="F516" s="275">
        <v>1950</v>
      </c>
      <c r="G516" s="266" t="s">
        <v>0</v>
      </c>
      <c r="H516" s="300">
        <v>52.39</v>
      </c>
      <c r="I516" s="269">
        <f t="shared" si="14"/>
        <v>66.78</v>
      </c>
      <c r="J516" s="1114"/>
      <c r="K516" s="270">
        <f t="shared" si="15"/>
        <v>130221</v>
      </c>
    </row>
    <row r="517" spans="2:11" s="989" customFormat="1">
      <c r="B517" s="294" t="s">
        <v>1805</v>
      </c>
      <c r="C517" s="273" t="s">
        <v>184</v>
      </c>
      <c r="D517" s="264" t="s">
        <v>1180</v>
      </c>
      <c r="E517" s="274" t="s">
        <v>3145</v>
      </c>
      <c r="F517" s="266">
        <v>1948.09</v>
      </c>
      <c r="G517" s="267" t="s">
        <v>0</v>
      </c>
      <c r="H517" s="284">
        <v>19.260000000000002</v>
      </c>
      <c r="I517" s="269">
        <f t="shared" si="14"/>
        <v>24.55</v>
      </c>
      <c r="J517" s="1114"/>
      <c r="K517" s="270">
        <f t="shared" si="15"/>
        <v>47825.61</v>
      </c>
    </row>
    <row r="518" spans="2:11" s="989" customFormat="1">
      <c r="B518" s="294"/>
      <c r="C518" s="273"/>
      <c r="D518" s="273"/>
      <c r="E518" s="274"/>
      <c r="F518" s="275"/>
      <c r="G518" s="266"/>
      <c r="H518" s="284"/>
      <c r="I518" s="269">
        <f t="shared" si="14"/>
        <v>0</v>
      </c>
      <c r="J518" s="1114"/>
      <c r="K518" s="270">
        <f t="shared" si="15"/>
        <v>0</v>
      </c>
    </row>
    <row r="519" spans="2:11" s="989" customFormat="1" ht="51">
      <c r="B519" s="294" t="s">
        <v>1806</v>
      </c>
      <c r="C519" s="273"/>
      <c r="D519" s="273"/>
      <c r="E519" s="274" t="s">
        <v>3337</v>
      </c>
      <c r="F519" s="275"/>
      <c r="G519" s="266"/>
      <c r="H519" s="284"/>
      <c r="I519" s="269">
        <f t="shared" si="14"/>
        <v>0</v>
      </c>
      <c r="J519" s="1114"/>
      <c r="K519" s="270">
        <f t="shared" si="15"/>
        <v>0</v>
      </c>
    </row>
    <row r="520" spans="2:11" s="989" customFormat="1" ht="51">
      <c r="B520" s="294" t="s">
        <v>1807</v>
      </c>
      <c r="C520" s="273" t="s">
        <v>1092</v>
      </c>
      <c r="D520" s="273" t="s">
        <v>1808</v>
      </c>
      <c r="E520" s="274" t="s">
        <v>3338</v>
      </c>
      <c r="F520" s="275">
        <v>650</v>
      </c>
      <c r="G520" s="266" t="s">
        <v>1093</v>
      </c>
      <c r="H520" s="300">
        <v>68</v>
      </c>
      <c r="I520" s="269">
        <f t="shared" si="14"/>
        <v>86.67</v>
      </c>
      <c r="J520" s="1114"/>
      <c r="K520" s="270">
        <f t="shared" si="15"/>
        <v>56335.5</v>
      </c>
    </row>
    <row r="521" spans="2:11" s="989" customFormat="1" ht="51">
      <c r="B521" s="294" t="s">
        <v>1809</v>
      </c>
      <c r="C521" s="273" t="s">
        <v>1092</v>
      </c>
      <c r="D521" s="264" t="s">
        <v>1810</v>
      </c>
      <c r="E521" s="274" t="s">
        <v>3339</v>
      </c>
      <c r="F521" s="266">
        <v>650</v>
      </c>
      <c r="G521" s="267" t="s">
        <v>1093</v>
      </c>
      <c r="H521" s="284">
        <v>44</v>
      </c>
      <c r="I521" s="269">
        <f t="shared" si="14"/>
        <v>56.08</v>
      </c>
      <c r="J521" s="1114"/>
      <c r="K521" s="270">
        <f t="shared" si="15"/>
        <v>36452</v>
      </c>
    </row>
    <row r="522" spans="2:11" s="989" customFormat="1" ht="51">
      <c r="B522" s="294" t="s">
        <v>1811</v>
      </c>
      <c r="C522" s="273" t="s">
        <v>1092</v>
      </c>
      <c r="D522" s="273" t="s">
        <v>1812</v>
      </c>
      <c r="E522" s="274" t="s">
        <v>3467</v>
      </c>
      <c r="F522" s="275">
        <v>650</v>
      </c>
      <c r="G522" s="266" t="s">
        <v>3</v>
      </c>
      <c r="H522" s="284">
        <v>119</v>
      </c>
      <c r="I522" s="269">
        <f t="shared" si="14"/>
        <v>151.68</v>
      </c>
      <c r="J522" s="1114"/>
      <c r="K522" s="270">
        <f t="shared" si="15"/>
        <v>98592</v>
      </c>
    </row>
    <row r="523" spans="2:11" s="989" customFormat="1">
      <c r="B523" s="294" t="s">
        <v>1813</v>
      </c>
      <c r="C523" s="273"/>
      <c r="D523" s="273"/>
      <c r="E523" s="274" t="s">
        <v>3340</v>
      </c>
      <c r="F523" s="275">
        <v>650</v>
      </c>
      <c r="G523" s="266" t="s">
        <v>1093</v>
      </c>
      <c r="H523" s="284"/>
      <c r="I523" s="269">
        <f t="shared" si="14"/>
        <v>0</v>
      </c>
      <c r="J523" s="1114"/>
      <c r="K523" s="270">
        <f t="shared" si="15"/>
        <v>0</v>
      </c>
    </row>
    <row r="524" spans="2:11" s="989" customFormat="1">
      <c r="B524" s="294" t="s">
        <v>1814</v>
      </c>
      <c r="C524" s="273" t="s">
        <v>1092</v>
      </c>
      <c r="D524" s="273" t="s">
        <v>1815</v>
      </c>
      <c r="E524" s="274" t="s">
        <v>3341</v>
      </c>
      <c r="F524" s="275">
        <v>1300</v>
      </c>
      <c r="G524" s="266" t="s">
        <v>1093</v>
      </c>
      <c r="H524" s="300">
        <v>37.4</v>
      </c>
      <c r="I524" s="269">
        <f t="shared" si="14"/>
        <v>47.67</v>
      </c>
      <c r="J524" s="1114"/>
      <c r="K524" s="270">
        <f t="shared" si="15"/>
        <v>61971</v>
      </c>
    </row>
    <row r="525" spans="2:11" s="989" customFormat="1">
      <c r="B525" s="294" t="s">
        <v>1816</v>
      </c>
      <c r="C525" s="273" t="s">
        <v>1092</v>
      </c>
      <c r="D525" s="264" t="s">
        <v>1817</v>
      </c>
      <c r="E525" s="274" t="s">
        <v>3342</v>
      </c>
      <c r="F525" s="266">
        <v>1300</v>
      </c>
      <c r="G525" s="267" t="s">
        <v>1093</v>
      </c>
      <c r="H525" s="284">
        <v>5.89</v>
      </c>
      <c r="I525" s="269">
        <f t="shared" si="14"/>
        <v>7.51</v>
      </c>
      <c r="J525" s="1114"/>
      <c r="K525" s="270">
        <f t="shared" si="15"/>
        <v>9763</v>
      </c>
    </row>
    <row r="526" spans="2:11" s="989" customFormat="1">
      <c r="B526" s="294" t="s">
        <v>1818</v>
      </c>
      <c r="C526" s="273" t="s">
        <v>1092</v>
      </c>
      <c r="D526" s="273" t="s">
        <v>1819</v>
      </c>
      <c r="E526" s="274" t="s">
        <v>3468</v>
      </c>
      <c r="F526" s="275">
        <v>650</v>
      </c>
      <c r="G526" s="266" t="s">
        <v>1093</v>
      </c>
      <c r="H526" s="284">
        <v>7.94</v>
      </c>
      <c r="I526" s="269">
        <f t="shared" ref="I526:I589" si="16">H526*(1+$I$16)</f>
        <v>10.119999999999999</v>
      </c>
      <c r="J526" s="1114"/>
      <c r="K526" s="270">
        <f t="shared" ref="K526:K571" si="17">I526*F526</f>
        <v>6578</v>
      </c>
    </row>
    <row r="527" spans="2:11" s="989" customFormat="1">
      <c r="B527" s="294" t="s">
        <v>1820</v>
      </c>
      <c r="C527" s="273" t="s">
        <v>1092</v>
      </c>
      <c r="D527" s="273" t="s">
        <v>1821</v>
      </c>
      <c r="E527" s="274" t="s">
        <v>3469</v>
      </c>
      <c r="F527" s="275">
        <v>650</v>
      </c>
      <c r="G527" s="266" t="s">
        <v>1093</v>
      </c>
      <c r="H527" s="284">
        <v>7.94</v>
      </c>
      <c r="I527" s="269">
        <f t="shared" si="16"/>
        <v>10.119999999999999</v>
      </c>
      <c r="J527" s="1114"/>
      <c r="K527" s="270">
        <f t="shared" si="17"/>
        <v>6578</v>
      </c>
    </row>
    <row r="528" spans="2:11" s="989" customFormat="1">
      <c r="B528" s="294" t="s">
        <v>1822</v>
      </c>
      <c r="C528" s="273" t="s">
        <v>1092</v>
      </c>
      <c r="D528" s="273" t="s">
        <v>1823</v>
      </c>
      <c r="E528" s="274" t="s">
        <v>3470</v>
      </c>
      <c r="F528" s="275">
        <v>650</v>
      </c>
      <c r="G528" s="266" t="s">
        <v>1093</v>
      </c>
      <c r="H528" s="300">
        <v>0.85</v>
      </c>
      <c r="I528" s="269">
        <f t="shared" si="16"/>
        <v>1.08</v>
      </c>
      <c r="J528" s="1114"/>
      <c r="K528" s="270">
        <f t="shared" si="17"/>
        <v>702</v>
      </c>
    </row>
    <row r="529" spans="2:11" s="989" customFormat="1">
      <c r="B529" s="294" t="s">
        <v>1824</v>
      </c>
      <c r="C529" s="273" t="s">
        <v>1092</v>
      </c>
      <c r="D529" s="264" t="s">
        <v>1825</v>
      </c>
      <c r="E529" s="274" t="s">
        <v>3343</v>
      </c>
      <c r="F529" s="266">
        <v>650</v>
      </c>
      <c r="G529" s="267" t="s">
        <v>3</v>
      </c>
      <c r="H529" s="284">
        <v>19.8</v>
      </c>
      <c r="I529" s="269">
        <f t="shared" si="16"/>
        <v>25.24</v>
      </c>
      <c r="J529" s="1114"/>
      <c r="K529" s="270">
        <f t="shared" si="17"/>
        <v>16406</v>
      </c>
    </row>
    <row r="530" spans="2:11" s="989" customFormat="1">
      <c r="B530" s="294" t="s">
        <v>1826</v>
      </c>
      <c r="C530" s="273" t="s">
        <v>1092</v>
      </c>
      <c r="D530" s="273" t="s">
        <v>1827</v>
      </c>
      <c r="E530" s="274" t="s">
        <v>3344</v>
      </c>
      <c r="F530" s="275">
        <v>3900</v>
      </c>
      <c r="G530" s="266" t="s">
        <v>3</v>
      </c>
      <c r="H530" s="284">
        <v>5.65</v>
      </c>
      <c r="I530" s="269">
        <f t="shared" si="16"/>
        <v>7.2</v>
      </c>
      <c r="J530" s="1114"/>
      <c r="K530" s="270">
        <f t="shared" si="17"/>
        <v>28080</v>
      </c>
    </row>
    <row r="531" spans="2:11" s="989" customFormat="1">
      <c r="B531" s="294" t="s">
        <v>1828</v>
      </c>
      <c r="C531" s="273" t="s">
        <v>1092</v>
      </c>
      <c r="D531" s="273" t="s">
        <v>1829</v>
      </c>
      <c r="E531" s="274" t="s">
        <v>3345</v>
      </c>
      <c r="F531" s="275">
        <v>650</v>
      </c>
      <c r="G531" s="266" t="s">
        <v>1093</v>
      </c>
      <c r="H531" s="284">
        <v>6.9</v>
      </c>
      <c r="I531" s="269">
        <f t="shared" si="16"/>
        <v>8.7899999999999991</v>
      </c>
      <c r="J531" s="1114"/>
      <c r="K531" s="270">
        <f t="shared" si="17"/>
        <v>5713.5</v>
      </c>
    </row>
    <row r="532" spans="2:11" s="989" customFormat="1">
      <c r="B532" s="294" t="s">
        <v>1830</v>
      </c>
      <c r="C532" s="273" t="s">
        <v>1092</v>
      </c>
      <c r="D532" s="273" t="s">
        <v>1831</v>
      </c>
      <c r="E532" s="274" t="s">
        <v>3346</v>
      </c>
      <c r="F532" s="275">
        <v>650</v>
      </c>
      <c r="G532" s="266" t="s">
        <v>1093</v>
      </c>
      <c r="H532" s="300">
        <v>1.24</v>
      </c>
      <c r="I532" s="269">
        <f t="shared" si="16"/>
        <v>1.58</v>
      </c>
      <c r="J532" s="1114"/>
      <c r="K532" s="270">
        <f t="shared" si="17"/>
        <v>1027</v>
      </c>
    </row>
    <row r="533" spans="2:11" s="989" customFormat="1">
      <c r="B533" s="294" t="s">
        <v>1832</v>
      </c>
      <c r="C533" s="273" t="s">
        <v>1092</v>
      </c>
      <c r="D533" s="264" t="s">
        <v>1833</v>
      </c>
      <c r="E533" s="274" t="s">
        <v>3347</v>
      </c>
      <c r="F533" s="266">
        <v>650</v>
      </c>
      <c r="G533" s="267" t="s">
        <v>1093</v>
      </c>
      <c r="H533" s="284">
        <v>0.75</v>
      </c>
      <c r="I533" s="269">
        <f t="shared" si="16"/>
        <v>0.96</v>
      </c>
      <c r="J533" s="1114"/>
      <c r="K533" s="270">
        <f t="shared" si="17"/>
        <v>624</v>
      </c>
    </row>
    <row r="534" spans="2:11" s="989" customFormat="1">
      <c r="B534" s="294" t="s">
        <v>1834</v>
      </c>
      <c r="C534" s="273" t="s">
        <v>1092</v>
      </c>
      <c r="D534" s="273" t="s">
        <v>1835</v>
      </c>
      <c r="E534" s="274" t="s">
        <v>3471</v>
      </c>
      <c r="F534" s="275">
        <v>650</v>
      </c>
      <c r="G534" s="266" t="s">
        <v>1093</v>
      </c>
      <c r="H534" s="284">
        <v>1.9</v>
      </c>
      <c r="I534" s="269">
        <f t="shared" si="16"/>
        <v>2.42</v>
      </c>
      <c r="J534" s="1114"/>
      <c r="K534" s="270">
        <f t="shared" si="17"/>
        <v>1573</v>
      </c>
    </row>
    <row r="535" spans="2:11" s="989" customFormat="1">
      <c r="B535" s="294" t="s">
        <v>1836</v>
      </c>
      <c r="C535" s="273" t="s">
        <v>1092</v>
      </c>
      <c r="D535" s="273" t="s">
        <v>1837</v>
      </c>
      <c r="E535" s="274" t="s">
        <v>3348</v>
      </c>
      <c r="F535" s="275">
        <v>650</v>
      </c>
      <c r="G535" s="266" t="s">
        <v>1093</v>
      </c>
      <c r="H535" s="284">
        <v>1.26</v>
      </c>
      <c r="I535" s="269">
        <f t="shared" si="16"/>
        <v>1.61</v>
      </c>
      <c r="J535" s="1114"/>
      <c r="K535" s="270">
        <f t="shared" si="17"/>
        <v>1046.5</v>
      </c>
    </row>
    <row r="536" spans="2:11" s="989" customFormat="1">
      <c r="B536" s="294" t="s">
        <v>1838</v>
      </c>
      <c r="C536" s="273" t="s">
        <v>1092</v>
      </c>
      <c r="D536" s="273" t="s">
        <v>1839</v>
      </c>
      <c r="E536" s="274" t="s">
        <v>3349</v>
      </c>
      <c r="F536" s="275">
        <v>1300</v>
      </c>
      <c r="G536" s="266" t="s">
        <v>1093</v>
      </c>
      <c r="H536" s="300">
        <v>0.48</v>
      </c>
      <c r="I536" s="269">
        <f t="shared" si="16"/>
        <v>0.61</v>
      </c>
      <c r="J536" s="1114"/>
      <c r="K536" s="270">
        <f t="shared" si="17"/>
        <v>793</v>
      </c>
    </row>
    <row r="537" spans="2:11" s="989" customFormat="1">
      <c r="B537" s="294" t="s">
        <v>1840</v>
      </c>
      <c r="C537" s="273"/>
      <c r="D537" s="264"/>
      <c r="E537" s="274" t="s">
        <v>3331</v>
      </c>
      <c r="F537" s="266"/>
      <c r="G537" s="267"/>
      <c r="H537" s="284"/>
      <c r="I537" s="269">
        <f t="shared" si="16"/>
        <v>0</v>
      </c>
      <c r="J537" s="1114"/>
      <c r="K537" s="270">
        <f t="shared" si="17"/>
        <v>0</v>
      </c>
    </row>
    <row r="538" spans="2:11" s="989" customFormat="1" ht="51">
      <c r="B538" s="294" t="s">
        <v>1841</v>
      </c>
      <c r="C538" s="273" t="s">
        <v>184</v>
      </c>
      <c r="D538" s="273" t="s">
        <v>612</v>
      </c>
      <c r="E538" s="274" t="s">
        <v>613</v>
      </c>
      <c r="F538" s="275">
        <v>2340</v>
      </c>
      <c r="G538" s="266" t="s">
        <v>2</v>
      </c>
      <c r="H538" s="284">
        <v>21.09</v>
      </c>
      <c r="I538" s="269">
        <f t="shared" si="16"/>
        <v>26.88</v>
      </c>
      <c r="J538" s="1114"/>
      <c r="K538" s="270">
        <f t="shared" si="17"/>
        <v>62899.199999999997</v>
      </c>
    </row>
    <row r="539" spans="2:11" s="989" customFormat="1">
      <c r="B539" s="294" t="s">
        <v>1842</v>
      </c>
      <c r="C539" s="273" t="s">
        <v>1099</v>
      </c>
      <c r="D539" s="273" t="s">
        <v>1799</v>
      </c>
      <c r="E539" s="274" t="s">
        <v>3335</v>
      </c>
      <c r="F539" s="275">
        <v>2340</v>
      </c>
      <c r="G539" s="266" t="s">
        <v>2</v>
      </c>
      <c r="H539" s="284">
        <v>68.569999999999993</v>
      </c>
      <c r="I539" s="269">
        <f t="shared" si="16"/>
        <v>87.4</v>
      </c>
      <c r="J539" s="1114"/>
      <c r="K539" s="270">
        <f t="shared" si="17"/>
        <v>204516</v>
      </c>
    </row>
    <row r="540" spans="2:11" s="989" customFormat="1">
      <c r="B540" s="294" t="s">
        <v>1843</v>
      </c>
      <c r="C540" s="273" t="s">
        <v>182</v>
      </c>
      <c r="D540" s="273" t="s">
        <v>1844</v>
      </c>
      <c r="E540" s="274" t="s">
        <v>3350</v>
      </c>
      <c r="F540" s="275">
        <v>2340</v>
      </c>
      <c r="G540" s="266" t="s">
        <v>2</v>
      </c>
      <c r="H540" s="300">
        <v>29.12</v>
      </c>
      <c r="I540" s="269">
        <f t="shared" si="16"/>
        <v>37.119999999999997</v>
      </c>
      <c r="J540" s="1114"/>
      <c r="K540" s="270">
        <f t="shared" si="17"/>
        <v>86860.800000000003</v>
      </c>
    </row>
    <row r="541" spans="2:11" s="989" customFormat="1">
      <c r="B541" s="294" t="s">
        <v>1845</v>
      </c>
      <c r="C541" s="273" t="s">
        <v>184</v>
      </c>
      <c r="D541" s="264" t="s">
        <v>1627</v>
      </c>
      <c r="E541" s="274" t="s">
        <v>3351</v>
      </c>
      <c r="F541" s="266">
        <v>2340</v>
      </c>
      <c r="G541" s="267" t="s">
        <v>2</v>
      </c>
      <c r="H541" s="284">
        <v>41.13</v>
      </c>
      <c r="I541" s="269">
        <f t="shared" si="16"/>
        <v>52.42</v>
      </c>
      <c r="J541" s="1114"/>
      <c r="K541" s="270">
        <f t="shared" si="17"/>
        <v>122662.8</v>
      </c>
    </row>
    <row r="542" spans="2:11" s="989" customFormat="1">
      <c r="B542" s="294" t="s">
        <v>1846</v>
      </c>
      <c r="C542" s="273" t="s">
        <v>1092</v>
      </c>
      <c r="D542" s="273" t="s">
        <v>1847</v>
      </c>
      <c r="E542" s="274" t="s">
        <v>3352</v>
      </c>
      <c r="F542" s="275">
        <v>650</v>
      </c>
      <c r="G542" s="266" t="s">
        <v>1093</v>
      </c>
      <c r="H542" s="284">
        <v>3.06</v>
      </c>
      <c r="I542" s="269">
        <f t="shared" si="16"/>
        <v>3.9</v>
      </c>
      <c r="J542" s="1114"/>
      <c r="K542" s="270">
        <f t="shared" si="17"/>
        <v>2535</v>
      </c>
    </row>
    <row r="543" spans="2:11" s="989" customFormat="1">
      <c r="B543" s="294" t="s">
        <v>1848</v>
      </c>
      <c r="C543" s="273"/>
      <c r="D543" s="273"/>
      <c r="E543" s="274" t="s">
        <v>3353</v>
      </c>
      <c r="F543" s="275"/>
      <c r="G543" s="266"/>
      <c r="H543" s="284"/>
      <c r="I543" s="269">
        <f t="shared" si="16"/>
        <v>0</v>
      </c>
      <c r="J543" s="1114"/>
      <c r="K543" s="270">
        <f t="shared" si="17"/>
        <v>0</v>
      </c>
    </row>
    <row r="544" spans="2:11" s="989" customFormat="1">
      <c r="B544" s="294" t="s">
        <v>1849</v>
      </c>
      <c r="C544" s="273"/>
      <c r="D544" s="273"/>
      <c r="E544" s="274" t="s">
        <v>3142</v>
      </c>
      <c r="F544" s="275"/>
      <c r="G544" s="266"/>
      <c r="H544" s="300"/>
      <c r="I544" s="269">
        <f t="shared" si="16"/>
        <v>0</v>
      </c>
      <c r="J544" s="1114"/>
      <c r="K544" s="270">
        <f t="shared" si="17"/>
        <v>0</v>
      </c>
    </row>
    <row r="545" spans="2:11" s="989" customFormat="1">
      <c r="B545" s="294" t="s">
        <v>1850</v>
      </c>
      <c r="C545" s="273" t="s">
        <v>1099</v>
      </c>
      <c r="D545" s="264" t="s">
        <v>1308</v>
      </c>
      <c r="E545" s="274" t="s">
        <v>3173</v>
      </c>
      <c r="F545" s="266">
        <v>22</v>
      </c>
      <c r="G545" s="267" t="s">
        <v>0</v>
      </c>
      <c r="H545" s="284">
        <v>52.39</v>
      </c>
      <c r="I545" s="269">
        <f t="shared" si="16"/>
        <v>66.78</v>
      </c>
      <c r="J545" s="1114"/>
      <c r="K545" s="270">
        <f t="shared" si="17"/>
        <v>1469.16</v>
      </c>
    </row>
    <row r="546" spans="2:11" s="989" customFormat="1">
      <c r="B546" s="294" t="s">
        <v>1851</v>
      </c>
      <c r="C546" s="273" t="s">
        <v>184</v>
      </c>
      <c r="D546" s="273" t="s">
        <v>1261</v>
      </c>
      <c r="E546" s="274" t="s">
        <v>3312</v>
      </c>
      <c r="F546" s="275">
        <v>858</v>
      </c>
      <c r="G546" s="266" t="s">
        <v>0</v>
      </c>
      <c r="H546" s="284">
        <v>8.83</v>
      </c>
      <c r="I546" s="269">
        <f t="shared" si="16"/>
        <v>11.25</v>
      </c>
      <c r="J546" s="1114"/>
      <c r="K546" s="270">
        <f t="shared" si="17"/>
        <v>9652.5</v>
      </c>
    </row>
    <row r="547" spans="2:11" s="989" customFormat="1">
      <c r="B547" s="294" t="s">
        <v>1852</v>
      </c>
      <c r="C547" s="273"/>
      <c r="D547" s="273"/>
      <c r="E547" s="274" t="s">
        <v>3354</v>
      </c>
      <c r="F547" s="275"/>
      <c r="G547" s="266"/>
      <c r="H547" s="284"/>
      <c r="I547" s="269">
        <f t="shared" si="16"/>
        <v>0</v>
      </c>
      <c r="J547" s="1114"/>
      <c r="K547" s="270">
        <f t="shared" si="17"/>
        <v>0</v>
      </c>
    </row>
    <row r="548" spans="2:11" s="989" customFormat="1" ht="51">
      <c r="B548" s="294" t="s">
        <v>1853</v>
      </c>
      <c r="C548" s="273" t="s">
        <v>182</v>
      </c>
      <c r="D548" s="273" t="s">
        <v>1854</v>
      </c>
      <c r="E548" s="274" t="s">
        <v>3355</v>
      </c>
      <c r="F548" s="275">
        <v>0.4</v>
      </c>
      <c r="G548" s="266" t="s">
        <v>0</v>
      </c>
      <c r="H548" s="300">
        <v>889.63</v>
      </c>
      <c r="I548" s="269">
        <f t="shared" si="16"/>
        <v>1133.92</v>
      </c>
      <c r="J548" s="1114"/>
      <c r="K548" s="270">
        <f t="shared" si="17"/>
        <v>453.57</v>
      </c>
    </row>
    <row r="549" spans="2:11" s="989" customFormat="1" ht="51">
      <c r="B549" s="294" t="s">
        <v>1855</v>
      </c>
      <c r="C549" s="273" t="s">
        <v>1099</v>
      </c>
      <c r="D549" s="264" t="s">
        <v>1269</v>
      </c>
      <c r="E549" s="274" t="s">
        <v>3161</v>
      </c>
      <c r="F549" s="266">
        <v>13</v>
      </c>
      <c r="G549" s="267" t="s">
        <v>2</v>
      </c>
      <c r="H549" s="284">
        <v>97.36</v>
      </c>
      <c r="I549" s="269">
        <f t="shared" si="16"/>
        <v>124.1</v>
      </c>
      <c r="J549" s="1114"/>
      <c r="K549" s="270">
        <f t="shared" si="17"/>
        <v>1613.3</v>
      </c>
    </row>
    <row r="550" spans="2:11" s="989" customFormat="1">
      <c r="B550" s="294" t="s">
        <v>1856</v>
      </c>
      <c r="C550" s="273" t="s">
        <v>1092</v>
      </c>
      <c r="D550" s="273" t="s">
        <v>1335</v>
      </c>
      <c r="E550" s="274" t="s">
        <v>3183</v>
      </c>
      <c r="F550" s="275">
        <v>13</v>
      </c>
      <c r="G550" s="266" t="s">
        <v>2</v>
      </c>
      <c r="H550" s="284">
        <v>7.21</v>
      </c>
      <c r="I550" s="269">
        <f t="shared" si="16"/>
        <v>9.19</v>
      </c>
      <c r="J550" s="1114"/>
      <c r="K550" s="270">
        <f t="shared" si="17"/>
        <v>119.47</v>
      </c>
    </row>
    <row r="551" spans="2:11" s="989" customFormat="1">
      <c r="B551" s="294" t="s">
        <v>1857</v>
      </c>
      <c r="C551" s="273" t="s">
        <v>1099</v>
      </c>
      <c r="D551" s="273" t="s">
        <v>1267</v>
      </c>
      <c r="E551" s="274" t="s">
        <v>3160</v>
      </c>
      <c r="F551" s="275">
        <v>24</v>
      </c>
      <c r="G551" s="266" t="s">
        <v>763</v>
      </c>
      <c r="H551" s="284">
        <v>12.75</v>
      </c>
      <c r="I551" s="269">
        <f t="shared" si="16"/>
        <v>16.25</v>
      </c>
      <c r="J551" s="1114"/>
      <c r="K551" s="270">
        <f t="shared" si="17"/>
        <v>390</v>
      </c>
    </row>
    <row r="552" spans="2:11" s="989" customFormat="1">
      <c r="B552" s="294" t="s">
        <v>1858</v>
      </c>
      <c r="C552" s="273"/>
      <c r="D552" s="273"/>
      <c r="E552" s="274" t="s">
        <v>3356</v>
      </c>
      <c r="F552" s="275"/>
      <c r="G552" s="266"/>
      <c r="H552" s="300"/>
      <c r="I552" s="269">
        <f t="shared" si="16"/>
        <v>0</v>
      </c>
      <c r="J552" s="1114"/>
      <c r="K552" s="270">
        <f t="shared" si="17"/>
        <v>0</v>
      </c>
    </row>
    <row r="553" spans="2:11" s="989" customFormat="1">
      <c r="B553" s="294" t="s">
        <v>1859</v>
      </c>
      <c r="C553" s="273" t="s">
        <v>184</v>
      </c>
      <c r="D553" s="264" t="s">
        <v>1860</v>
      </c>
      <c r="E553" s="274" t="s">
        <v>3357</v>
      </c>
      <c r="F553" s="266">
        <v>110</v>
      </c>
      <c r="G553" s="267" t="s">
        <v>1093</v>
      </c>
      <c r="H553" s="284">
        <v>61.44</v>
      </c>
      <c r="I553" s="269">
        <f t="shared" si="16"/>
        <v>78.31</v>
      </c>
      <c r="J553" s="1114"/>
      <c r="K553" s="270">
        <f t="shared" si="17"/>
        <v>8614.1</v>
      </c>
    </row>
    <row r="554" spans="2:11" s="989" customFormat="1" ht="51">
      <c r="B554" s="294" t="s">
        <v>1861</v>
      </c>
      <c r="C554" s="273" t="s">
        <v>1092</v>
      </c>
      <c r="D554" s="273" t="s">
        <v>1862</v>
      </c>
      <c r="E554" s="274" t="s">
        <v>3358</v>
      </c>
      <c r="F554" s="275">
        <v>1.83</v>
      </c>
      <c r="G554" s="266" t="s">
        <v>2</v>
      </c>
      <c r="H554" s="284">
        <v>652</v>
      </c>
      <c r="I554" s="269">
        <f t="shared" si="16"/>
        <v>831.04</v>
      </c>
      <c r="J554" s="1114"/>
      <c r="K554" s="270">
        <f t="shared" si="17"/>
        <v>1520.8</v>
      </c>
    </row>
    <row r="555" spans="2:11" s="989" customFormat="1" ht="76.5">
      <c r="B555" s="294" t="s">
        <v>1863</v>
      </c>
      <c r="C555" s="273" t="s">
        <v>1092</v>
      </c>
      <c r="D555" s="273" t="s">
        <v>1864</v>
      </c>
      <c r="E555" s="274" t="s">
        <v>3359</v>
      </c>
      <c r="F555" s="275">
        <v>6</v>
      </c>
      <c r="G555" s="266" t="s">
        <v>2</v>
      </c>
      <c r="H555" s="284">
        <v>745</v>
      </c>
      <c r="I555" s="269">
        <f t="shared" si="16"/>
        <v>949.58</v>
      </c>
      <c r="J555" s="1114"/>
      <c r="K555" s="270">
        <f t="shared" si="17"/>
        <v>5697.48</v>
      </c>
    </row>
    <row r="556" spans="2:11" s="989" customFormat="1">
      <c r="B556" s="294" t="s">
        <v>1865</v>
      </c>
      <c r="C556" s="273" t="s">
        <v>184</v>
      </c>
      <c r="D556" s="273" t="s">
        <v>1866</v>
      </c>
      <c r="E556" s="274" t="s">
        <v>3472</v>
      </c>
      <c r="F556" s="275">
        <v>2200</v>
      </c>
      <c r="G556" s="266" t="s">
        <v>3</v>
      </c>
      <c r="H556" s="300">
        <v>1.59</v>
      </c>
      <c r="I556" s="269">
        <f t="shared" si="16"/>
        <v>2.0299999999999998</v>
      </c>
      <c r="J556" s="1114"/>
      <c r="K556" s="270">
        <f t="shared" si="17"/>
        <v>4466</v>
      </c>
    </row>
    <row r="557" spans="2:11" s="989" customFormat="1">
      <c r="B557" s="294" t="s">
        <v>1867</v>
      </c>
      <c r="C557" s="273"/>
      <c r="D557" s="264"/>
      <c r="E557" s="274" t="s">
        <v>3245</v>
      </c>
      <c r="F557" s="266"/>
      <c r="G557" s="267"/>
      <c r="H557" s="284"/>
      <c r="I557" s="269">
        <f t="shared" si="16"/>
        <v>0</v>
      </c>
      <c r="J557" s="1114"/>
      <c r="K557" s="270">
        <f t="shared" si="17"/>
        <v>0</v>
      </c>
    </row>
    <row r="558" spans="2:11" s="989" customFormat="1" ht="51">
      <c r="B558" s="294" t="s">
        <v>1868</v>
      </c>
      <c r="C558" s="273" t="s">
        <v>182</v>
      </c>
      <c r="D558" s="273" t="s">
        <v>1869</v>
      </c>
      <c r="E558" s="274" t="s">
        <v>3360</v>
      </c>
      <c r="F558" s="275">
        <v>390</v>
      </c>
      <c r="G558" s="266" t="s">
        <v>2</v>
      </c>
      <c r="H558" s="284">
        <v>126.95</v>
      </c>
      <c r="I558" s="269">
        <f t="shared" si="16"/>
        <v>161.81</v>
      </c>
      <c r="J558" s="1114"/>
      <c r="K558" s="270">
        <f t="shared" si="17"/>
        <v>63105.9</v>
      </c>
    </row>
    <row r="559" spans="2:11" s="989" customFormat="1" ht="51">
      <c r="B559" s="294" t="s">
        <v>1870</v>
      </c>
      <c r="C559" s="273" t="s">
        <v>1099</v>
      </c>
      <c r="D559" s="273" t="s">
        <v>1871</v>
      </c>
      <c r="E559" s="274" t="s">
        <v>3361</v>
      </c>
      <c r="F559" s="275">
        <v>12</v>
      </c>
      <c r="G559" s="266" t="s">
        <v>3</v>
      </c>
      <c r="H559" s="284">
        <v>43.24</v>
      </c>
      <c r="I559" s="269">
        <f t="shared" si="16"/>
        <v>55.11</v>
      </c>
      <c r="J559" s="1114"/>
      <c r="K559" s="270">
        <f t="shared" si="17"/>
        <v>661.32</v>
      </c>
    </row>
    <row r="560" spans="2:11" s="989" customFormat="1">
      <c r="B560" s="294" t="s">
        <v>1872</v>
      </c>
      <c r="C560" s="273"/>
      <c r="D560" s="273"/>
      <c r="E560" s="274" t="s">
        <v>3362</v>
      </c>
      <c r="F560" s="275"/>
      <c r="G560" s="266"/>
      <c r="H560" s="300"/>
      <c r="I560" s="269">
        <f t="shared" si="16"/>
        <v>0</v>
      </c>
      <c r="J560" s="1114"/>
      <c r="K560" s="270">
        <f t="shared" si="17"/>
        <v>0</v>
      </c>
    </row>
    <row r="561" spans="2:12" s="989" customFormat="1">
      <c r="B561" s="294" t="s">
        <v>1873</v>
      </c>
      <c r="C561" s="273" t="s">
        <v>1099</v>
      </c>
      <c r="D561" s="264" t="s">
        <v>1308</v>
      </c>
      <c r="E561" s="274" t="s">
        <v>3173</v>
      </c>
      <c r="F561" s="266">
        <v>192.12</v>
      </c>
      <c r="G561" s="267" t="s">
        <v>0</v>
      </c>
      <c r="H561" s="284">
        <v>52.39</v>
      </c>
      <c r="I561" s="269">
        <f t="shared" si="16"/>
        <v>66.78</v>
      </c>
      <c r="J561" s="1114"/>
      <c r="K561" s="270">
        <f t="shared" si="17"/>
        <v>12829.77</v>
      </c>
    </row>
    <row r="562" spans="2:12" s="990" customFormat="1">
      <c r="B562" s="294" t="s">
        <v>1874</v>
      </c>
      <c r="C562" s="273" t="s">
        <v>184</v>
      </c>
      <c r="D562" s="273" t="s">
        <v>1180</v>
      </c>
      <c r="E562" s="274" t="s">
        <v>3145</v>
      </c>
      <c r="F562" s="275">
        <v>171.74</v>
      </c>
      <c r="G562" s="266" t="s">
        <v>0</v>
      </c>
      <c r="H562" s="284">
        <v>19.260000000000002</v>
      </c>
      <c r="I562" s="269">
        <f t="shared" si="16"/>
        <v>24.55</v>
      </c>
      <c r="J562" s="1114"/>
      <c r="K562" s="270">
        <f t="shared" si="17"/>
        <v>4216.22</v>
      </c>
    </row>
    <row r="563" spans="2:12" s="987" customFormat="1">
      <c r="B563" s="294" t="s">
        <v>1875</v>
      </c>
      <c r="C563" s="273" t="s">
        <v>184</v>
      </c>
      <c r="D563" s="273" t="s">
        <v>1317</v>
      </c>
      <c r="E563" s="274" t="s">
        <v>3177</v>
      </c>
      <c r="F563" s="275">
        <v>72</v>
      </c>
      <c r="G563" s="266" t="s">
        <v>40</v>
      </c>
      <c r="H563" s="284">
        <v>25.97</v>
      </c>
      <c r="I563" s="269">
        <f t="shared" si="16"/>
        <v>33.1</v>
      </c>
      <c r="J563" s="1114"/>
      <c r="K563" s="270">
        <f t="shared" si="17"/>
        <v>2383.1999999999998</v>
      </c>
    </row>
    <row r="564" spans="2:12" s="990" customFormat="1">
      <c r="B564" s="294" t="s">
        <v>1876</v>
      </c>
      <c r="C564" s="273" t="s">
        <v>184</v>
      </c>
      <c r="D564" s="273" t="s">
        <v>1261</v>
      </c>
      <c r="E564" s="274" t="s">
        <v>3312</v>
      </c>
      <c r="F564" s="275">
        <v>794.82</v>
      </c>
      <c r="G564" s="266" t="s">
        <v>0</v>
      </c>
      <c r="H564" s="300">
        <v>8.83</v>
      </c>
      <c r="I564" s="269">
        <f t="shared" si="16"/>
        <v>11.25</v>
      </c>
      <c r="J564" s="1114"/>
      <c r="K564" s="270">
        <f t="shared" si="17"/>
        <v>8941.73</v>
      </c>
    </row>
    <row r="565" spans="2:12" s="990" customFormat="1">
      <c r="B565" s="294" t="s">
        <v>1877</v>
      </c>
      <c r="C565" s="273" t="s">
        <v>184</v>
      </c>
      <c r="D565" s="264" t="s">
        <v>1311</v>
      </c>
      <c r="E565" s="274" t="s">
        <v>3174</v>
      </c>
      <c r="F565" s="266">
        <v>794.82</v>
      </c>
      <c r="G565" s="267" t="s">
        <v>0</v>
      </c>
      <c r="H565" s="284">
        <v>1.43</v>
      </c>
      <c r="I565" s="269">
        <f t="shared" si="16"/>
        <v>1.82</v>
      </c>
      <c r="J565" s="1114"/>
      <c r="K565" s="270">
        <f t="shared" si="17"/>
        <v>1446.57</v>
      </c>
    </row>
    <row r="566" spans="2:12" s="990" customFormat="1" ht="50.1" customHeight="1">
      <c r="B566" s="294" t="s">
        <v>1878</v>
      </c>
      <c r="C566" s="273" t="s">
        <v>184</v>
      </c>
      <c r="D566" s="273" t="s">
        <v>1879</v>
      </c>
      <c r="E566" s="274" t="s">
        <v>3363</v>
      </c>
      <c r="F566" s="275">
        <v>12</v>
      </c>
      <c r="G566" s="266" t="s">
        <v>3</v>
      </c>
      <c r="H566" s="284">
        <v>151.78</v>
      </c>
      <c r="I566" s="269">
        <f t="shared" si="16"/>
        <v>193.46</v>
      </c>
      <c r="J566" s="1114"/>
      <c r="K566" s="270">
        <f t="shared" si="17"/>
        <v>2321.52</v>
      </c>
    </row>
    <row r="567" spans="2:12" s="990" customFormat="1" ht="50.1" customHeight="1">
      <c r="B567" s="294" t="s">
        <v>1880</v>
      </c>
      <c r="C567" s="273" t="s">
        <v>184</v>
      </c>
      <c r="D567" s="273" t="s">
        <v>1881</v>
      </c>
      <c r="E567" s="274" t="s">
        <v>3364</v>
      </c>
      <c r="F567" s="275">
        <v>66</v>
      </c>
      <c r="G567" s="266" t="s">
        <v>3</v>
      </c>
      <c r="H567" s="284">
        <v>361.24</v>
      </c>
      <c r="I567" s="269">
        <f t="shared" si="16"/>
        <v>460.44</v>
      </c>
      <c r="J567" s="1114"/>
      <c r="K567" s="270">
        <f t="shared" si="17"/>
        <v>30389.040000000001</v>
      </c>
    </row>
    <row r="568" spans="2:12" s="990" customFormat="1" ht="50.1" customHeight="1">
      <c r="B568" s="294" t="s">
        <v>1882</v>
      </c>
      <c r="C568" s="273" t="s">
        <v>184</v>
      </c>
      <c r="D568" s="273" t="s">
        <v>1883</v>
      </c>
      <c r="E568" s="274" t="s">
        <v>3365</v>
      </c>
      <c r="F568" s="275">
        <v>19</v>
      </c>
      <c r="G568" s="266" t="s">
        <v>3</v>
      </c>
      <c r="H568" s="300">
        <v>143.16</v>
      </c>
      <c r="I568" s="269">
        <f t="shared" si="16"/>
        <v>182.47</v>
      </c>
      <c r="J568" s="1114"/>
      <c r="K568" s="270">
        <f t="shared" si="17"/>
        <v>3466.93</v>
      </c>
    </row>
    <row r="569" spans="2:12" s="990" customFormat="1" ht="50.1" customHeight="1">
      <c r="B569" s="294" t="s">
        <v>1884</v>
      </c>
      <c r="C569" s="273" t="s">
        <v>184</v>
      </c>
      <c r="D569" s="264" t="s">
        <v>1885</v>
      </c>
      <c r="E569" s="274" t="s">
        <v>3366</v>
      </c>
      <c r="F569" s="266">
        <v>66</v>
      </c>
      <c r="G569" s="267" t="s">
        <v>3</v>
      </c>
      <c r="H569" s="284">
        <v>174.3</v>
      </c>
      <c r="I569" s="269">
        <f t="shared" si="16"/>
        <v>222.16</v>
      </c>
      <c r="J569" s="1114"/>
      <c r="K569" s="270">
        <f t="shared" si="17"/>
        <v>14662.56</v>
      </c>
    </row>
    <row r="570" spans="2:12" s="990" customFormat="1">
      <c r="B570" s="294" t="s">
        <v>1886</v>
      </c>
      <c r="C570" s="273" t="s">
        <v>184</v>
      </c>
      <c r="D570" s="273" t="s">
        <v>1887</v>
      </c>
      <c r="E570" s="274" t="s">
        <v>3367</v>
      </c>
      <c r="F570" s="275">
        <v>4</v>
      </c>
      <c r="G570" s="266" t="s">
        <v>1093</v>
      </c>
      <c r="H570" s="284">
        <v>1873.85</v>
      </c>
      <c r="I570" s="269">
        <f t="shared" si="16"/>
        <v>2388.41</v>
      </c>
      <c r="J570" s="1114"/>
      <c r="K570" s="270">
        <f t="shared" si="17"/>
        <v>9553.64</v>
      </c>
    </row>
    <row r="571" spans="2:12" s="990" customFormat="1" ht="76.5">
      <c r="B571" s="294" t="s">
        <v>1888</v>
      </c>
      <c r="C571" s="273" t="s">
        <v>1099</v>
      </c>
      <c r="D571" s="273" t="s">
        <v>1889</v>
      </c>
      <c r="E571" s="274" t="s">
        <v>3368</v>
      </c>
      <c r="F571" s="275">
        <v>3</v>
      </c>
      <c r="G571" s="266" t="s">
        <v>1093</v>
      </c>
      <c r="H571" s="284">
        <v>2103.8200000000002</v>
      </c>
      <c r="I571" s="269">
        <f t="shared" si="16"/>
        <v>2681.53</v>
      </c>
      <c r="J571" s="1114"/>
      <c r="K571" s="270">
        <f t="shared" si="17"/>
        <v>8044.59</v>
      </c>
    </row>
    <row r="572" spans="2:12" s="990" customFormat="1">
      <c r="B572" s="294" t="s">
        <v>1890</v>
      </c>
      <c r="C572" s="273" t="s">
        <v>182</v>
      </c>
      <c r="D572" s="273" t="s">
        <v>1891</v>
      </c>
      <c r="E572" s="274" t="s">
        <v>3473</v>
      </c>
      <c r="F572" s="275">
        <v>9</v>
      </c>
      <c r="G572" s="266" t="s">
        <v>1093</v>
      </c>
      <c r="H572" s="300">
        <v>1237.26</v>
      </c>
      <c r="I572" s="269">
        <f t="shared" si="16"/>
        <v>1577.01</v>
      </c>
      <c r="J572" s="1114"/>
      <c r="K572" s="270">
        <f>I572*F572</f>
        <v>14193.09</v>
      </c>
    </row>
    <row r="573" spans="2:12" s="990" customFormat="1">
      <c r="B573" s="294" t="s">
        <v>2678</v>
      </c>
      <c r="C573" s="273"/>
      <c r="D573" s="273"/>
      <c r="E573" s="274" t="s">
        <v>3369</v>
      </c>
      <c r="F573" s="275"/>
      <c r="G573" s="1159"/>
      <c r="H573" s="300"/>
      <c r="I573" s="269">
        <f t="shared" si="16"/>
        <v>0</v>
      </c>
      <c r="J573" s="1114"/>
      <c r="K573" s="270"/>
    </row>
    <row r="574" spans="2:12" s="990" customFormat="1" ht="51">
      <c r="B574" s="294" t="s">
        <v>2680</v>
      </c>
      <c r="C574" s="273" t="s">
        <v>184</v>
      </c>
      <c r="D574" s="273">
        <v>89402</v>
      </c>
      <c r="E574" s="274" t="s">
        <v>3370</v>
      </c>
      <c r="F574" s="275">
        <f>80*12</f>
        <v>960</v>
      </c>
      <c r="G574" s="266" t="s">
        <v>469</v>
      </c>
      <c r="H574" s="300">
        <v>11.53</v>
      </c>
      <c r="I574" s="269">
        <f t="shared" si="16"/>
        <v>14.7</v>
      </c>
      <c r="J574" s="1114"/>
      <c r="K574" s="270">
        <f>I574*F574</f>
        <v>14112</v>
      </c>
    </row>
    <row r="575" spans="2:12" s="990" customFormat="1" ht="51">
      <c r="B575" s="294" t="s">
        <v>2681</v>
      </c>
      <c r="C575" s="273" t="s">
        <v>184</v>
      </c>
      <c r="D575" s="273">
        <v>89362</v>
      </c>
      <c r="E575" s="274" t="s">
        <v>3371</v>
      </c>
      <c r="F575" s="275">
        <v>80</v>
      </c>
      <c r="G575" s="266" t="s">
        <v>1093</v>
      </c>
      <c r="H575" s="300">
        <v>8.52</v>
      </c>
      <c r="I575" s="269">
        <f t="shared" si="16"/>
        <v>10.86</v>
      </c>
      <c r="J575" s="1114"/>
      <c r="K575" s="270">
        <f>I575*F575</f>
        <v>868.8</v>
      </c>
      <c r="L575" s="1267"/>
    </row>
    <row r="576" spans="2:12" s="990" customFormat="1" ht="102">
      <c r="B576" s="294" t="s">
        <v>2682</v>
      </c>
      <c r="C576" s="273" t="s">
        <v>184</v>
      </c>
      <c r="D576" s="273">
        <v>94672</v>
      </c>
      <c r="E576" s="274" t="s">
        <v>3372</v>
      </c>
      <c r="F576" s="275">
        <v>80</v>
      </c>
      <c r="G576" s="266" t="s">
        <v>1093</v>
      </c>
      <c r="H576" s="300">
        <v>5.61</v>
      </c>
      <c r="I576" s="269">
        <f t="shared" si="16"/>
        <v>7.15</v>
      </c>
      <c r="J576" s="1114"/>
      <c r="K576" s="270">
        <f>I576*F576</f>
        <v>572</v>
      </c>
      <c r="L576" s="1267"/>
    </row>
    <row r="577" spans="2:11" s="990" customFormat="1" ht="51">
      <c r="B577" s="294" t="s">
        <v>2683</v>
      </c>
      <c r="C577" s="273" t="s">
        <v>184</v>
      </c>
      <c r="D577" s="273">
        <v>86916</v>
      </c>
      <c r="E577" s="274" t="s">
        <v>3373</v>
      </c>
      <c r="F577" s="275">
        <v>80</v>
      </c>
      <c r="G577" s="266" t="s">
        <v>1093</v>
      </c>
      <c r="H577" s="300">
        <v>23.46</v>
      </c>
      <c r="I577" s="269">
        <f t="shared" si="16"/>
        <v>29.9</v>
      </c>
      <c r="J577" s="1114"/>
      <c r="K577" s="270">
        <f>I577*F577</f>
        <v>2392</v>
      </c>
    </row>
    <row r="578" spans="2:11">
      <c r="B578" s="294" t="s">
        <v>2955</v>
      </c>
      <c r="C578" s="273"/>
      <c r="D578" s="273"/>
      <c r="E578" s="1419" t="s">
        <v>3766</v>
      </c>
      <c r="F578" s="275"/>
      <c r="G578" s="266"/>
      <c r="H578" s="301"/>
      <c r="I578" s="269">
        <f t="shared" si="16"/>
        <v>0</v>
      </c>
      <c r="J578" s="1114"/>
      <c r="K578" s="270"/>
    </row>
    <row r="579" spans="2:11" ht="51">
      <c r="B579" s="294" t="s">
        <v>2956</v>
      </c>
      <c r="C579" s="273" t="s">
        <v>184</v>
      </c>
      <c r="D579" s="264">
        <v>5045</v>
      </c>
      <c r="E579" s="274" t="s">
        <v>1944</v>
      </c>
      <c r="F579" s="266">
        <v>1</v>
      </c>
      <c r="G579" s="267" t="s">
        <v>1093</v>
      </c>
      <c r="H579" s="300">
        <v>2061.8200000000002</v>
      </c>
      <c r="I579" s="269">
        <f t="shared" si="16"/>
        <v>2628</v>
      </c>
      <c r="J579" s="1114"/>
      <c r="K579" s="270">
        <f>I579*F579</f>
        <v>2628</v>
      </c>
    </row>
    <row r="580" spans="2:11">
      <c r="B580" s="294" t="s">
        <v>2957</v>
      </c>
      <c r="C580" s="273" t="s">
        <v>182</v>
      </c>
      <c r="D580" s="273">
        <v>171137</v>
      </c>
      <c r="E580" s="274" t="s">
        <v>1945</v>
      </c>
      <c r="F580" s="275">
        <v>3</v>
      </c>
      <c r="G580" s="266" t="s">
        <v>1093</v>
      </c>
      <c r="H580" s="286">
        <v>14.79</v>
      </c>
      <c r="I580" s="269">
        <f t="shared" si="16"/>
        <v>18.850000000000001</v>
      </c>
      <c r="J580" s="1114"/>
      <c r="K580" s="270">
        <f t="shared" ref="K580:K643" si="18">I580*F580</f>
        <v>56.55</v>
      </c>
    </row>
    <row r="581" spans="2:11">
      <c r="B581" s="294" t="s">
        <v>2958</v>
      </c>
      <c r="C581" s="273" t="s">
        <v>184</v>
      </c>
      <c r="D581" s="273">
        <v>101546</v>
      </c>
      <c r="E581" s="274" t="s">
        <v>1946</v>
      </c>
      <c r="F581" s="275">
        <v>3</v>
      </c>
      <c r="G581" s="266" t="s">
        <v>1093</v>
      </c>
      <c r="H581" s="284">
        <v>31.23</v>
      </c>
      <c r="I581" s="269">
        <f t="shared" si="16"/>
        <v>39.81</v>
      </c>
      <c r="J581" s="1114"/>
      <c r="K581" s="270">
        <f t="shared" si="18"/>
        <v>119.43</v>
      </c>
    </row>
    <row r="582" spans="2:11">
      <c r="B582" s="294" t="s">
        <v>2959</v>
      </c>
      <c r="C582" s="273" t="s">
        <v>276</v>
      </c>
      <c r="D582" s="273"/>
      <c r="E582" s="274" t="s">
        <v>1947</v>
      </c>
      <c r="F582" s="275">
        <v>3</v>
      </c>
      <c r="G582" s="266" t="s">
        <v>1093</v>
      </c>
      <c r="H582" s="301">
        <v>1234.0999999999999</v>
      </c>
      <c r="I582" s="269">
        <f t="shared" si="16"/>
        <v>1572.98</v>
      </c>
      <c r="J582" s="1114"/>
      <c r="K582" s="270">
        <f t="shared" si="18"/>
        <v>4718.9399999999996</v>
      </c>
    </row>
    <row r="583" spans="2:11">
      <c r="B583" s="294" t="s">
        <v>2960</v>
      </c>
      <c r="C583" s="273" t="s">
        <v>182</v>
      </c>
      <c r="D583" s="264">
        <v>171496</v>
      </c>
      <c r="E583" s="274" t="s">
        <v>1948</v>
      </c>
      <c r="F583" s="266">
        <v>2</v>
      </c>
      <c r="G583" s="267" t="s">
        <v>1093</v>
      </c>
      <c r="H583" s="302">
        <v>242.37</v>
      </c>
      <c r="I583" s="269">
        <f t="shared" si="16"/>
        <v>308.92</v>
      </c>
      <c r="J583" s="1114"/>
      <c r="K583" s="270">
        <f t="shared" si="18"/>
        <v>617.84</v>
      </c>
    </row>
    <row r="584" spans="2:11">
      <c r="B584" s="294" t="s">
        <v>2961</v>
      </c>
      <c r="C584" s="273" t="s">
        <v>184</v>
      </c>
      <c r="D584" s="273">
        <v>420</v>
      </c>
      <c r="E584" s="274" t="s">
        <v>1949</v>
      </c>
      <c r="F584" s="275">
        <v>3</v>
      </c>
      <c r="G584" s="266" t="s">
        <v>1093</v>
      </c>
      <c r="H584" s="286">
        <v>43.98</v>
      </c>
      <c r="I584" s="269">
        <f t="shared" si="16"/>
        <v>56.06</v>
      </c>
      <c r="J584" s="1114"/>
      <c r="K584" s="270">
        <f t="shared" si="18"/>
        <v>168.18</v>
      </c>
    </row>
    <row r="585" spans="2:11">
      <c r="B585" s="294" t="s">
        <v>2962</v>
      </c>
      <c r="C585" s="273" t="s">
        <v>276</v>
      </c>
      <c r="D585" s="273"/>
      <c r="E585" s="274" t="s">
        <v>1950</v>
      </c>
      <c r="F585" s="275">
        <v>2</v>
      </c>
      <c r="G585" s="266" t="s">
        <v>1093</v>
      </c>
      <c r="H585" s="284">
        <v>324.98</v>
      </c>
      <c r="I585" s="269">
        <f t="shared" si="16"/>
        <v>414.22</v>
      </c>
      <c r="J585" s="1114"/>
      <c r="K585" s="270">
        <f t="shared" si="18"/>
        <v>828.44</v>
      </c>
    </row>
    <row r="586" spans="2:11">
      <c r="B586" s="294" t="s">
        <v>2963</v>
      </c>
      <c r="C586" s="273" t="s">
        <v>184</v>
      </c>
      <c r="D586" s="273">
        <v>436</v>
      </c>
      <c r="E586" s="274" t="s">
        <v>1951</v>
      </c>
      <c r="F586" s="275">
        <v>6</v>
      </c>
      <c r="G586" s="266" t="s">
        <v>1093</v>
      </c>
      <c r="H586" s="301">
        <v>13.08</v>
      </c>
      <c r="I586" s="269">
        <f t="shared" si="16"/>
        <v>16.670000000000002</v>
      </c>
      <c r="J586" s="1114"/>
      <c r="K586" s="270">
        <f t="shared" si="18"/>
        <v>100.02</v>
      </c>
    </row>
    <row r="587" spans="2:11">
      <c r="B587" s="294" t="s">
        <v>2964</v>
      </c>
      <c r="C587" s="273" t="s">
        <v>276</v>
      </c>
      <c r="D587" s="264"/>
      <c r="E587" s="274" t="s">
        <v>1952</v>
      </c>
      <c r="F587" s="266">
        <v>16</v>
      </c>
      <c r="G587" s="267" t="s">
        <v>1093</v>
      </c>
      <c r="H587" s="300">
        <v>21</v>
      </c>
      <c r="I587" s="269">
        <f t="shared" si="16"/>
        <v>26.77</v>
      </c>
      <c r="J587" s="1114"/>
      <c r="K587" s="270">
        <f t="shared" si="18"/>
        <v>428.32</v>
      </c>
    </row>
    <row r="588" spans="2:11">
      <c r="B588" s="294" t="s">
        <v>2965</v>
      </c>
      <c r="C588" s="273" t="s">
        <v>1099</v>
      </c>
      <c r="D588" s="273">
        <v>1593</v>
      </c>
      <c r="E588" s="274" t="s">
        <v>1953</v>
      </c>
      <c r="F588" s="275">
        <v>4</v>
      </c>
      <c r="G588" s="266" t="s">
        <v>1093</v>
      </c>
      <c r="H588" s="286">
        <v>9.09</v>
      </c>
      <c r="I588" s="269">
        <f t="shared" si="16"/>
        <v>11.59</v>
      </c>
      <c r="J588" s="1114"/>
      <c r="K588" s="270">
        <f t="shared" si="18"/>
        <v>46.36</v>
      </c>
    </row>
    <row r="589" spans="2:11">
      <c r="B589" s="294" t="s">
        <v>2966</v>
      </c>
      <c r="C589" s="273" t="s">
        <v>276</v>
      </c>
      <c r="D589" s="273"/>
      <c r="E589" s="274" t="s">
        <v>1954</v>
      </c>
      <c r="F589" s="275">
        <v>6</v>
      </c>
      <c r="G589" s="266" t="s">
        <v>1093</v>
      </c>
      <c r="H589" s="284">
        <v>2.2000000000000002</v>
      </c>
      <c r="I589" s="269">
        <f t="shared" si="16"/>
        <v>2.8</v>
      </c>
      <c r="J589" s="1114"/>
      <c r="K589" s="270">
        <f t="shared" si="18"/>
        <v>16.8</v>
      </c>
    </row>
    <row r="590" spans="2:11">
      <c r="B590" s="294" t="s">
        <v>2967</v>
      </c>
      <c r="C590" s="273" t="s">
        <v>184</v>
      </c>
      <c r="D590" s="273">
        <v>442</v>
      </c>
      <c r="E590" s="274" t="s">
        <v>1955</v>
      </c>
      <c r="F590" s="275">
        <v>4</v>
      </c>
      <c r="G590" s="266" t="s">
        <v>1093</v>
      </c>
      <c r="H590" s="301">
        <v>7.73</v>
      </c>
      <c r="I590" s="269">
        <f t="shared" ref="I590:I653" si="19">H590*(1+$I$16)</f>
        <v>9.85</v>
      </c>
      <c r="J590" s="1114"/>
      <c r="K590" s="270">
        <f t="shared" si="18"/>
        <v>39.4</v>
      </c>
    </row>
    <row r="591" spans="2:11">
      <c r="B591" s="294" t="s">
        <v>2968</v>
      </c>
      <c r="C591" s="273" t="s">
        <v>276</v>
      </c>
      <c r="D591" s="264"/>
      <c r="E591" s="274" t="s">
        <v>1956</v>
      </c>
      <c r="F591" s="266">
        <v>6</v>
      </c>
      <c r="G591" s="267" t="s">
        <v>1093</v>
      </c>
      <c r="H591" s="302">
        <v>2.9</v>
      </c>
      <c r="I591" s="269">
        <f t="shared" si="19"/>
        <v>3.7</v>
      </c>
      <c r="J591" s="1114"/>
      <c r="K591" s="270">
        <f t="shared" si="18"/>
        <v>22.2</v>
      </c>
    </row>
    <row r="592" spans="2:11">
      <c r="B592" s="294" t="s">
        <v>2969</v>
      </c>
      <c r="C592" s="273" t="s">
        <v>276</v>
      </c>
      <c r="D592" s="273"/>
      <c r="E592" s="274" t="s">
        <v>1957</v>
      </c>
      <c r="F592" s="275">
        <v>16</v>
      </c>
      <c r="G592" s="266" t="s">
        <v>1093</v>
      </c>
      <c r="H592" s="286">
        <v>0.9</v>
      </c>
      <c r="I592" s="269">
        <f t="shared" si="19"/>
        <v>1.1499999999999999</v>
      </c>
      <c r="J592" s="1114"/>
      <c r="K592" s="270">
        <f t="shared" si="18"/>
        <v>18.399999999999999</v>
      </c>
    </row>
    <row r="593" spans="2:11" ht="51">
      <c r="B593" s="294" t="s">
        <v>2970</v>
      </c>
      <c r="C593" s="273" t="s">
        <v>184</v>
      </c>
      <c r="D593" s="273">
        <v>4276</v>
      </c>
      <c r="E593" s="274" t="s">
        <v>1958</v>
      </c>
      <c r="F593" s="275">
        <v>3</v>
      </c>
      <c r="G593" s="266" t="s">
        <v>1093</v>
      </c>
      <c r="H593" s="284">
        <v>243.52</v>
      </c>
      <c r="I593" s="269">
        <f t="shared" si="19"/>
        <v>310.39</v>
      </c>
      <c r="J593" s="1114"/>
      <c r="K593" s="270">
        <f t="shared" si="18"/>
        <v>931.17</v>
      </c>
    </row>
    <row r="594" spans="2:11" ht="76.5">
      <c r="B594" s="294" t="s">
        <v>2971</v>
      </c>
      <c r="C594" s="273" t="s">
        <v>276</v>
      </c>
      <c r="D594" s="273"/>
      <c r="E594" s="274" t="s">
        <v>1959</v>
      </c>
      <c r="F594" s="275">
        <v>6</v>
      </c>
      <c r="G594" s="266" t="s">
        <v>1093</v>
      </c>
      <c r="H594" s="301">
        <v>145</v>
      </c>
      <c r="I594" s="269">
        <f t="shared" si="19"/>
        <v>184.82</v>
      </c>
      <c r="J594" s="1114"/>
      <c r="K594" s="270">
        <f t="shared" si="18"/>
        <v>1108.92</v>
      </c>
    </row>
    <row r="595" spans="2:11">
      <c r="B595" s="294" t="s">
        <v>2972</v>
      </c>
      <c r="C595" s="273" t="s">
        <v>184</v>
      </c>
      <c r="D595" s="264">
        <v>857</v>
      </c>
      <c r="E595" s="274" t="s">
        <v>1960</v>
      </c>
      <c r="F595" s="266">
        <v>3</v>
      </c>
      <c r="G595" s="267" t="s">
        <v>3</v>
      </c>
      <c r="H595" s="300">
        <v>18.059999999999999</v>
      </c>
      <c r="I595" s="269">
        <f t="shared" si="19"/>
        <v>23.02</v>
      </c>
      <c r="J595" s="1114"/>
      <c r="K595" s="270">
        <f t="shared" si="18"/>
        <v>69.06</v>
      </c>
    </row>
    <row r="596" spans="2:11" ht="51">
      <c r="B596" s="294" t="s">
        <v>2973</v>
      </c>
      <c r="C596" s="273" t="s">
        <v>184</v>
      </c>
      <c r="D596" s="273">
        <v>11862</v>
      </c>
      <c r="E596" s="274" t="s">
        <v>1961</v>
      </c>
      <c r="F596" s="275">
        <v>3</v>
      </c>
      <c r="G596" s="266" t="s">
        <v>1093</v>
      </c>
      <c r="H596" s="286">
        <v>12.82</v>
      </c>
      <c r="I596" s="269">
        <f t="shared" si="19"/>
        <v>16.34</v>
      </c>
      <c r="J596" s="1114"/>
      <c r="K596" s="270">
        <f t="shared" si="18"/>
        <v>49.02</v>
      </c>
    </row>
    <row r="597" spans="2:11">
      <c r="B597" s="294" t="s">
        <v>2974</v>
      </c>
      <c r="C597" s="273" t="s">
        <v>184</v>
      </c>
      <c r="D597" s="273">
        <v>867</v>
      </c>
      <c r="E597" s="274" t="s">
        <v>1962</v>
      </c>
      <c r="F597" s="275">
        <v>35</v>
      </c>
      <c r="G597" s="266" t="s">
        <v>3</v>
      </c>
      <c r="H597" s="284">
        <v>54</v>
      </c>
      <c r="I597" s="269">
        <f t="shared" si="19"/>
        <v>68.83</v>
      </c>
      <c r="J597" s="1114"/>
      <c r="K597" s="270">
        <f t="shared" si="18"/>
        <v>2409.0500000000002</v>
      </c>
    </row>
    <row r="598" spans="2:11" ht="51">
      <c r="B598" s="294" t="s">
        <v>2975</v>
      </c>
      <c r="C598" s="273" t="s">
        <v>182</v>
      </c>
      <c r="D598" s="273">
        <v>171165</v>
      </c>
      <c r="E598" s="274" t="s">
        <v>1963</v>
      </c>
      <c r="F598" s="275">
        <v>6</v>
      </c>
      <c r="G598" s="266" t="s">
        <v>1093</v>
      </c>
      <c r="H598" s="301">
        <v>162.1</v>
      </c>
      <c r="I598" s="269">
        <f t="shared" si="19"/>
        <v>206.61</v>
      </c>
      <c r="J598" s="1114"/>
      <c r="K598" s="270">
        <f t="shared" si="18"/>
        <v>1239.6600000000001</v>
      </c>
    </row>
    <row r="599" spans="2:11" ht="51">
      <c r="B599" s="294" t="s">
        <v>2976</v>
      </c>
      <c r="C599" s="273" t="s">
        <v>184</v>
      </c>
      <c r="D599" s="264">
        <v>1562</v>
      </c>
      <c r="E599" s="274" t="s">
        <v>1964</v>
      </c>
      <c r="F599" s="266">
        <v>6</v>
      </c>
      <c r="G599" s="267" t="s">
        <v>1093</v>
      </c>
      <c r="H599" s="302">
        <v>14.75</v>
      </c>
      <c r="I599" s="269">
        <f t="shared" si="19"/>
        <v>18.8</v>
      </c>
      <c r="J599" s="1114"/>
      <c r="K599" s="270">
        <f t="shared" si="18"/>
        <v>112.8</v>
      </c>
    </row>
    <row r="600" spans="2:11" ht="51">
      <c r="B600" s="294" t="s">
        <v>2977</v>
      </c>
      <c r="C600" s="273" t="s">
        <v>182</v>
      </c>
      <c r="D600" s="273">
        <v>171041</v>
      </c>
      <c r="E600" s="274" t="s">
        <v>1965</v>
      </c>
      <c r="F600" s="275">
        <v>3</v>
      </c>
      <c r="G600" s="266" t="s">
        <v>1093</v>
      </c>
      <c r="H600" s="286">
        <v>387.21</v>
      </c>
      <c r="I600" s="269">
        <f t="shared" si="19"/>
        <v>493.54</v>
      </c>
      <c r="J600" s="1114"/>
      <c r="K600" s="270">
        <f t="shared" si="18"/>
        <v>1480.62</v>
      </c>
    </row>
    <row r="601" spans="2:11">
      <c r="B601" s="294" t="s">
        <v>2978</v>
      </c>
      <c r="C601" s="273" t="s">
        <v>182</v>
      </c>
      <c r="D601" s="273">
        <v>171037</v>
      </c>
      <c r="E601" s="274" t="s">
        <v>1966</v>
      </c>
      <c r="F601" s="275">
        <v>3</v>
      </c>
      <c r="G601" s="266" t="s">
        <v>1093</v>
      </c>
      <c r="H601" s="284">
        <v>6.37</v>
      </c>
      <c r="I601" s="269">
        <f t="shared" si="19"/>
        <v>8.1199999999999992</v>
      </c>
      <c r="J601" s="1114"/>
      <c r="K601" s="270">
        <f t="shared" si="18"/>
        <v>24.36</v>
      </c>
    </row>
    <row r="602" spans="2:11" ht="102">
      <c r="B602" s="294" t="s">
        <v>2979</v>
      </c>
      <c r="C602" s="273" t="s">
        <v>1099</v>
      </c>
      <c r="D602" s="273">
        <v>3255</v>
      </c>
      <c r="E602" s="274" t="s">
        <v>1967</v>
      </c>
      <c r="F602" s="275">
        <v>1</v>
      </c>
      <c r="G602" s="266" t="s">
        <v>1093</v>
      </c>
      <c r="H602" s="301">
        <v>25143</v>
      </c>
      <c r="I602" s="269">
        <f t="shared" si="19"/>
        <v>32047.27</v>
      </c>
      <c r="J602" s="1114"/>
      <c r="K602" s="270">
        <f t="shared" si="18"/>
        <v>32047.27</v>
      </c>
    </row>
    <row r="603" spans="2:11" ht="51">
      <c r="B603" s="294" t="s">
        <v>2980</v>
      </c>
      <c r="C603" s="273" t="s">
        <v>1099</v>
      </c>
      <c r="D603" s="264">
        <v>4117</v>
      </c>
      <c r="E603" s="274" t="s">
        <v>1968</v>
      </c>
      <c r="F603" s="266">
        <v>60</v>
      </c>
      <c r="G603" s="267" t="s">
        <v>3</v>
      </c>
      <c r="H603" s="300">
        <v>30.42</v>
      </c>
      <c r="I603" s="269">
        <f t="shared" si="19"/>
        <v>38.770000000000003</v>
      </c>
      <c r="J603" s="1114"/>
      <c r="K603" s="270">
        <f t="shared" si="18"/>
        <v>2326.1999999999998</v>
      </c>
    </row>
    <row r="604" spans="2:11" ht="51">
      <c r="B604" s="294" t="s">
        <v>2981</v>
      </c>
      <c r="C604" s="273" t="s">
        <v>1099</v>
      </c>
      <c r="D604" s="273">
        <v>4116</v>
      </c>
      <c r="E604" s="274" t="s">
        <v>1969</v>
      </c>
      <c r="F604" s="275">
        <v>15</v>
      </c>
      <c r="G604" s="266" t="s">
        <v>3</v>
      </c>
      <c r="H604" s="286">
        <v>21.45</v>
      </c>
      <c r="I604" s="269">
        <f t="shared" si="19"/>
        <v>27.34</v>
      </c>
      <c r="J604" s="1114"/>
      <c r="K604" s="270">
        <f t="shared" si="18"/>
        <v>410.1</v>
      </c>
    </row>
    <row r="605" spans="2:11" ht="51">
      <c r="B605" s="294" t="s">
        <v>2982</v>
      </c>
      <c r="C605" s="273" t="s">
        <v>184</v>
      </c>
      <c r="D605" s="273">
        <v>2391</v>
      </c>
      <c r="E605" s="274" t="s">
        <v>1970</v>
      </c>
      <c r="F605" s="275">
        <v>1</v>
      </c>
      <c r="G605" s="266" t="s">
        <v>1093</v>
      </c>
      <c r="H605" s="284">
        <v>340.14</v>
      </c>
      <c r="I605" s="269">
        <f t="shared" si="19"/>
        <v>433.54</v>
      </c>
      <c r="J605" s="1114"/>
      <c r="K605" s="270">
        <f t="shared" si="18"/>
        <v>433.54</v>
      </c>
    </row>
    <row r="606" spans="2:11">
      <c r="B606" s="294" t="s">
        <v>2983</v>
      </c>
      <c r="C606" s="273" t="s">
        <v>1099</v>
      </c>
      <c r="D606" s="273">
        <v>3974</v>
      </c>
      <c r="E606" s="274" t="s">
        <v>1971</v>
      </c>
      <c r="F606" s="275">
        <v>2</v>
      </c>
      <c r="G606" s="266" t="s">
        <v>2093</v>
      </c>
      <c r="H606" s="301">
        <v>21.97</v>
      </c>
      <c r="I606" s="269">
        <f t="shared" si="19"/>
        <v>28</v>
      </c>
      <c r="J606" s="1114"/>
      <c r="K606" s="270">
        <f t="shared" si="18"/>
        <v>56</v>
      </c>
    </row>
    <row r="607" spans="2:11">
      <c r="B607" s="294" t="s">
        <v>2984</v>
      </c>
      <c r="C607" s="273" t="s">
        <v>184</v>
      </c>
      <c r="D607" s="264">
        <v>3911</v>
      </c>
      <c r="E607" s="274" t="s">
        <v>1972</v>
      </c>
      <c r="F607" s="266">
        <v>2</v>
      </c>
      <c r="G607" s="267" t="s">
        <v>1093</v>
      </c>
      <c r="H607" s="302">
        <v>19.170000000000002</v>
      </c>
      <c r="I607" s="269">
        <f t="shared" si="19"/>
        <v>24.43</v>
      </c>
      <c r="J607" s="1114"/>
      <c r="K607" s="270">
        <f t="shared" si="18"/>
        <v>48.86</v>
      </c>
    </row>
    <row r="608" spans="2:11">
      <c r="B608" s="294" t="s">
        <v>2985</v>
      </c>
      <c r="C608" s="273" t="s">
        <v>184</v>
      </c>
      <c r="D608" s="273">
        <v>2625</v>
      </c>
      <c r="E608" s="274" t="s">
        <v>1973</v>
      </c>
      <c r="F608" s="275">
        <v>1</v>
      </c>
      <c r="G608" s="266" t="s">
        <v>1093</v>
      </c>
      <c r="H608" s="286">
        <v>17.87</v>
      </c>
      <c r="I608" s="269">
        <f t="shared" si="19"/>
        <v>22.78</v>
      </c>
      <c r="J608" s="1114"/>
      <c r="K608" s="270">
        <f t="shared" si="18"/>
        <v>22.78</v>
      </c>
    </row>
    <row r="609" spans="2:11">
      <c r="B609" s="294" t="s">
        <v>2986</v>
      </c>
      <c r="C609" s="273" t="s">
        <v>184</v>
      </c>
      <c r="D609" s="273">
        <v>406</v>
      </c>
      <c r="E609" s="274" t="s">
        <v>1974</v>
      </c>
      <c r="F609" s="275">
        <v>2</v>
      </c>
      <c r="G609" s="266" t="s">
        <v>2094</v>
      </c>
      <c r="H609" s="284">
        <v>107.54</v>
      </c>
      <c r="I609" s="269">
        <f t="shared" si="19"/>
        <v>137.07</v>
      </c>
      <c r="J609" s="1114"/>
      <c r="K609" s="270">
        <f t="shared" si="18"/>
        <v>274.14</v>
      </c>
    </row>
    <row r="610" spans="2:11">
      <c r="B610" s="294" t="s">
        <v>2987</v>
      </c>
      <c r="C610" s="273" t="s">
        <v>182</v>
      </c>
      <c r="D610" s="273">
        <v>171148</v>
      </c>
      <c r="E610" s="274" t="s">
        <v>1975</v>
      </c>
      <c r="F610" s="275">
        <v>1</v>
      </c>
      <c r="G610" s="266" t="s">
        <v>1093</v>
      </c>
      <c r="H610" s="301">
        <v>21.89</v>
      </c>
      <c r="I610" s="269">
        <f t="shared" si="19"/>
        <v>27.9</v>
      </c>
      <c r="J610" s="1114"/>
      <c r="K610" s="270">
        <f t="shared" si="18"/>
        <v>27.9</v>
      </c>
    </row>
    <row r="611" spans="2:11" ht="51">
      <c r="B611" s="294" t="s">
        <v>2988</v>
      </c>
      <c r="C611" s="273" t="s">
        <v>182</v>
      </c>
      <c r="D611" s="264">
        <v>180094</v>
      </c>
      <c r="E611" s="274" t="s">
        <v>1976</v>
      </c>
      <c r="F611" s="266">
        <v>1</v>
      </c>
      <c r="G611" s="267" t="s">
        <v>1093</v>
      </c>
      <c r="H611" s="300">
        <v>1073.24</v>
      </c>
      <c r="I611" s="269">
        <f t="shared" si="19"/>
        <v>1367.95</v>
      </c>
      <c r="J611" s="1114"/>
      <c r="K611" s="270">
        <f t="shared" si="18"/>
        <v>1367.95</v>
      </c>
    </row>
    <row r="612" spans="2:11" ht="51">
      <c r="B612" s="294" t="s">
        <v>2989</v>
      </c>
      <c r="C612" s="273" t="s">
        <v>184</v>
      </c>
      <c r="D612" s="273">
        <v>41474</v>
      </c>
      <c r="E612" s="274" t="s">
        <v>1977</v>
      </c>
      <c r="F612" s="275">
        <v>2</v>
      </c>
      <c r="G612" s="266" t="s">
        <v>1093</v>
      </c>
      <c r="H612" s="286">
        <v>90.85</v>
      </c>
      <c r="I612" s="269">
        <f t="shared" si="19"/>
        <v>115.8</v>
      </c>
      <c r="J612" s="1114"/>
      <c r="K612" s="270">
        <f t="shared" si="18"/>
        <v>231.6</v>
      </c>
    </row>
    <row r="613" spans="2:11" ht="51">
      <c r="B613" s="294" t="s">
        <v>2990</v>
      </c>
      <c r="C613" s="273" t="s">
        <v>1099</v>
      </c>
      <c r="D613" s="273">
        <v>12845</v>
      </c>
      <c r="E613" s="274" t="s">
        <v>1978</v>
      </c>
      <c r="F613" s="275">
        <v>1</v>
      </c>
      <c r="G613" s="266" t="s">
        <v>1093</v>
      </c>
      <c r="H613" s="284">
        <v>39.65</v>
      </c>
      <c r="I613" s="269">
        <f t="shared" si="19"/>
        <v>50.54</v>
      </c>
      <c r="J613" s="1114"/>
      <c r="K613" s="270">
        <f t="shared" si="18"/>
        <v>50.54</v>
      </c>
    </row>
    <row r="614" spans="2:11">
      <c r="B614" s="294" t="s">
        <v>2991</v>
      </c>
      <c r="C614" s="273" t="s">
        <v>184</v>
      </c>
      <c r="D614" s="273">
        <v>7576</v>
      </c>
      <c r="E614" s="274" t="s">
        <v>1979</v>
      </c>
      <c r="F614" s="275">
        <v>2</v>
      </c>
      <c r="G614" s="266" t="s">
        <v>1093</v>
      </c>
      <c r="H614" s="301">
        <v>228.44</v>
      </c>
      <c r="I614" s="269">
        <f t="shared" si="19"/>
        <v>291.17</v>
      </c>
      <c r="J614" s="1114"/>
      <c r="K614" s="270">
        <f t="shared" si="18"/>
        <v>582.34</v>
      </c>
    </row>
    <row r="615" spans="2:11" ht="76.5">
      <c r="B615" s="294" t="s">
        <v>2992</v>
      </c>
      <c r="C615" s="273" t="s">
        <v>1099</v>
      </c>
      <c r="D615" s="264">
        <v>3188</v>
      </c>
      <c r="E615" s="274" t="s">
        <v>1980</v>
      </c>
      <c r="F615" s="266">
        <v>1</v>
      </c>
      <c r="G615" s="267" t="s">
        <v>1093</v>
      </c>
      <c r="H615" s="302">
        <v>3728.93</v>
      </c>
      <c r="I615" s="269">
        <f t="shared" si="19"/>
        <v>4752.8900000000003</v>
      </c>
      <c r="J615" s="1114"/>
      <c r="K615" s="270">
        <f t="shared" si="18"/>
        <v>4752.8900000000003</v>
      </c>
    </row>
    <row r="616" spans="2:11">
      <c r="B616" s="294" t="s">
        <v>2993</v>
      </c>
      <c r="C616" s="273" t="s">
        <v>184</v>
      </c>
      <c r="D616" s="273">
        <v>1577</v>
      </c>
      <c r="E616" s="274" t="s">
        <v>1981</v>
      </c>
      <c r="F616" s="275">
        <v>12</v>
      </c>
      <c r="G616" s="266" t="s">
        <v>1093</v>
      </c>
      <c r="H616" s="286">
        <v>2.79</v>
      </c>
      <c r="I616" s="269">
        <f t="shared" si="19"/>
        <v>3.56</v>
      </c>
      <c r="J616" s="1114"/>
      <c r="K616" s="270">
        <f t="shared" si="18"/>
        <v>42.72</v>
      </c>
    </row>
    <row r="617" spans="2:11">
      <c r="B617" s="294" t="s">
        <v>2994</v>
      </c>
      <c r="C617" s="273" t="s">
        <v>184</v>
      </c>
      <c r="D617" s="273">
        <v>1576</v>
      </c>
      <c r="E617" s="274" t="s">
        <v>1982</v>
      </c>
      <c r="F617" s="275">
        <v>6</v>
      </c>
      <c r="G617" s="266" t="s">
        <v>1093</v>
      </c>
      <c r="H617" s="284">
        <v>2.4700000000000002</v>
      </c>
      <c r="I617" s="269">
        <f t="shared" si="19"/>
        <v>3.15</v>
      </c>
      <c r="J617" s="1114"/>
      <c r="K617" s="270">
        <f t="shared" si="18"/>
        <v>18.899999999999999</v>
      </c>
    </row>
    <row r="618" spans="2:11" ht="51">
      <c r="B618" s="294" t="s">
        <v>2995</v>
      </c>
      <c r="C618" s="273" t="s">
        <v>182</v>
      </c>
      <c r="D618" s="273">
        <v>170415</v>
      </c>
      <c r="E618" s="274" t="s">
        <v>1983</v>
      </c>
      <c r="F618" s="275">
        <v>1</v>
      </c>
      <c r="G618" s="266" t="s">
        <v>1093</v>
      </c>
      <c r="H618" s="301">
        <v>3857.9</v>
      </c>
      <c r="I618" s="269">
        <f t="shared" si="19"/>
        <v>4917.28</v>
      </c>
      <c r="J618" s="1114"/>
      <c r="K618" s="270">
        <f t="shared" si="18"/>
        <v>4917.28</v>
      </c>
    </row>
    <row r="619" spans="2:11">
      <c r="B619" s="294" t="s">
        <v>2996</v>
      </c>
      <c r="C619" s="273"/>
      <c r="D619" s="273"/>
      <c r="E619" s="274" t="s">
        <v>1984</v>
      </c>
      <c r="F619" s="275"/>
      <c r="G619" s="266"/>
      <c r="H619" s="301"/>
      <c r="I619" s="269">
        <f t="shared" si="19"/>
        <v>0</v>
      </c>
      <c r="J619" s="1114"/>
      <c r="K619" s="270">
        <f t="shared" si="18"/>
        <v>0</v>
      </c>
    </row>
    <row r="620" spans="2:11" ht="153">
      <c r="B620" s="294" t="s">
        <v>2997</v>
      </c>
      <c r="C620" s="273" t="s">
        <v>184</v>
      </c>
      <c r="D620" s="264" t="s">
        <v>1898</v>
      </c>
      <c r="E620" s="274" t="s">
        <v>1985</v>
      </c>
      <c r="F620" s="266">
        <v>1</v>
      </c>
      <c r="G620" s="267" t="s">
        <v>2095</v>
      </c>
      <c r="H620" s="300">
        <v>458.03</v>
      </c>
      <c r="I620" s="269">
        <f t="shared" si="19"/>
        <v>583.80999999999995</v>
      </c>
      <c r="J620" s="1114"/>
      <c r="K620" s="270">
        <f t="shared" si="18"/>
        <v>583.80999999999995</v>
      </c>
    </row>
    <row r="621" spans="2:11" ht="51">
      <c r="B621" s="294" t="s">
        <v>2998</v>
      </c>
      <c r="C621" s="273" t="s">
        <v>184</v>
      </c>
      <c r="D621" s="273" t="s">
        <v>1899</v>
      </c>
      <c r="E621" s="274" t="s">
        <v>1986</v>
      </c>
      <c r="F621" s="275">
        <v>6</v>
      </c>
      <c r="G621" s="266" t="s">
        <v>2095</v>
      </c>
      <c r="H621" s="286">
        <v>450.67</v>
      </c>
      <c r="I621" s="269">
        <f t="shared" si="19"/>
        <v>574.41999999999996</v>
      </c>
      <c r="J621" s="1114"/>
      <c r="K621" s="270">
        <f t="shared" si="18"/>
        <v>3446.52</v>
      </c>
    </row>
    <row r="622" spans="2:11" ht="51">
      <c r="B622" s="294" t="s">
        <v>2999</v>
      </c>
      <c r="C622" s="273" t="s">
        <v>1099</v>
      </c>
      <c r="D622" s="273" t="s">
        <v>1900</v>
      </c>
      <c r="E622" s="274" t="s">
        <v>1987</v>
      </c>
      <c r="F622" s="275">
        <v>6</v>
      </c>
      <c r="G622" s="266" t="s">
        <v>2095</v>
      </c>
      <c r="H622" s="284">
        <v>25.86</v>
      </c>
      <c r="I622" s="269">
        <f t="shared" si="19"/>
        <v>32.96</v>
      </c>
      <c r="J622" s="1114"/>
      <c r="K622" s="270">
        <f t="shared" si="18"/>
        <v>197.76</v>
      </c>
    </row>
    <row r="623" spans="2:11" ht="51">
      <c r="B623" s="294" t="s">
        <v>3000</v>
      </c>
      <c r="C623" s="273" t="s">
        <v>1099</v>
      </c>
      <c r="D623" s="273" t="s">
        <v>1901</v>
      </c>
      <c r="E623" s="274" t="s">
        <v>1988</v>
      </c>
      <c r="F623" s="275">
        <v>6</v>
      </c>
      <c r="G623" s="266" t="s">
        <v>2095</v>
      </c>
      <c r="H623" s="301">
        <v>129.65</v>
      </c>
      <c r="I623" s="269">
        <f t="shared" si="19"/>
        <v>165.25</v>
      </c>
      <c r="J623" s="1114"/>
      <c r="K623" s="270">
        <f t="shared" si="18"/>
        <v>991.5</v>
      </c>
    </row>
    <row r="624" spans="2:11">
      <c r="B624" s="294" t="s">
        <v>3001</v>
      </c>
      <c r="C624" s="273" t="s">
        <v>184</v>
      </c>
      <c r="D624" s="264" t="s">
        <v>1902</v>
      </c>
      <c r="E624" s="274" t="s">
        <v>1989</v>
      </c>
      <c r="F624" s="266">
        <v>6</v>
      </c>
      <c r="G624" s="267" t="s">
        <v>2095</v>
      </c>
      <c r="H624" s="302">
        <v>37.21</v>
      </c>
      <c r="I624" s="269">
        <f t="shared" si="19"/>
        <v>47.43</v>
      </c>
      <c r="J624" s="1114"/>
      <c r="K624" s="270">
        <f t="shared" si="18"/>
        <v>284.58</v>
      </c>
    </row>
    <row r="625" spans="2:11" ht="51">
      <c r="B625" s="294" t="s">
        <v>3002</v>
      </c>
      <c r="C625" s="273" t="s">
        <v>184</v>
      </c>
      <c r="D625" s="273" t="s">
        <v>1903</v>
      </c>
      <c r="E625" s="274" t="s">
        <v>1990</v>
      </c>
      <c r="F625" s="275">
        <v>6</v>
      </c>
      <c r="G625" s="266" t="s">
        <v>2095</v>
      </c>
      <c r="H625" s="286">
        <v>1200</v>
      </c>
      <c r="I625" s="269">
        <f t="shared" si="19"/>
        <v>1529.52</v>
      </c>
      <c r="J625" s="1114"/>
      <c r="K625" s="270">
        <f t="shared" si="18"/>
        <v>9177.1200000000008</v>
      </c>
    </row>
    <row r="626" spans="2:11" ht="76.5">
      <c r="B626" s="294" t="s">
        <v>3003</v>
      </c>
      <c r="C626" s="273" t="s">
        <v>182</v>
      </c>
      <c r="D626" s="273" t="s">
        <v>1904</v>
      </c>
      <c r="E626" s="274" t="s">
        <v>1991</v>
      </c>
      <c r="F626" s="275">
        <v>8</v>
      </c>
      <c r="G626" s="266" t="s">
        <v>2095</v>
      </c>
      <c r="H626" s="284">
        <v>112.43</v>
      </c>
      <c r="I626" s="269">
        <f t="shared" si="19"/>
        <v>143.30000000000001</v>
      </c>
      <c r="J626" s="1114"/>
      <c r="K626" s="270">
        <f t="shared" si="18"/>
        <v>1146.4000000000001</v>
      </c>
    </row>
    <row r="627" spans="2:11" ht="76.5">
      <c r="B627" s="294" t="s">
        <v>3004</v>
      </c>
      <c r="C627" s="273" t="s">
        <v>1099</v>
      </c>
      <c r="D627" s="273" t="s">
        <v>1905</v>
      </c>
      <c r="E627" s="274" t="s">
        <v>1992</v>
      </c>
      <c r="F627" s="275">
        <v>2</v>
      </c>
      <c r="G627" s="266" t="s">
        <v>2095</v>
      </c>
      <c r="H627" s="301">
        <v>72.53</v>
      </c>
      <c r="I627" s="269">
        <f t="shared" si="19"/>
        <v>92.45</v>
      </c>
      <c r="J627" s="1114"/>
      <c r="K627" s="270">
        <f t="shared" si="18"/>
        <v>184.9</v>
      </c>
    </row>
    <row r="628" spans="2:11" ht="51">
      <c r="B628" s="294" t="s">
        <v>3005</v>
      </c>
      <c r="C628" s="273" t="s">
        <v>1099</v>
      </c>
      <c r="D628" s="264" t="s">
        <v>1906</v>
      </c>
      <c r="E628" s="274" t="s">
        <v>1993</v>
      </c>
      <c r="F628" s="266">
        <v>400</v>
      </c>
      <c r="G628" s="267" t="s">
        <v>3</v>
      </c>
      <c r="H628" s="300">
        <v>11.05</v>
      </c>
      <c r="I628" s="269">
        <f t="shared" si="19"/>
        <v>14.08</v>
      </c>
      <c r="J628" s="1114"/>
      <c r="K628" s="270">
        <f t="shared" si="18"/>
        <v>5632</v>
      </c>
    </row>
    <row r="629" spans="2:11" ht="76.5">
      <c r="B629" s="294" t="s">
        <v>3006</v>
      </c>
      <c r="C629" s="273" t="s">
        <v>1099</v>
      </c>
      <c r="D629" s="273" t="s">
        <v>1907</v>
      </c>
      <c r="E629" s="274" t="s">
        <v>1994</v>
      </c>
      <c r="F629" s="275">
        <v>15</v>
      </c>
      <c r="G629" s="266" t="s">
        <v>2093</v>
      </c>
      <c r="H629" s="286">
        <v>79.900000000000006</v>
      </c>
      <c r="I629" s="269">
        <f t="shared" si="19"/>
        <v>101.84</v>
      </c>
      <c r="J629" s="1114"/>
      <c r="K629" s="270">
        <f t="shared" si="18"/>
        <v>1527.6</v>
      </c>
    </row>
    <row r="630" spans="2:11" ht="51">
      <c r="B630" s="294" t="s">
        <v>3007</v>
      </c>
      <c r="C630" s="273" t="s">
        <v>1099</v>
      </c>
      <c r="D630" s="273" t="s">
        <v>1908</v>
      </c>
      <c r="E630" s="274" t="s">
        <v>1995</v>
      </c>
      <c r="F630" s="275">
        <v>5</v>
      </c>
      <c r="G630" s="266" t="s">
        <v>2095</v>
      </c>
      <c r="H630" s="284">
        <v>24.54</v>
      </c>
      <c r="I630" s="269">
        <f t="shared" si="19"/>
        <v>31.28</v>
      </c>
      <c r="J630" s="1114"/>
      <c r="K630" s="270">
        <f t="shared" si="18"/>
        <v>156.4</v>
      </c>
    </row>
    <row r="631" spans="2:11">
      <c r="B631" s="294" t="s">
        <v>3008</v>
      </c>
      <c r="C631" s="273" t="s">
        <v>1099</v>
      </c>
      <c r="D631" s="273" t="s">
        <v>1909</v>
      </c>
      <c r="E631" s="274" t="s">
        <v>1996</v>
      </c>
      <c r="F631" s="275">
        <v>10</v>
      </c>
      <c r="G631" s="266" t="s">
        <v>2095</v>
      </c>
      <c r="H631" s="301">
        <v>9.1999999999999993</v>
      </c>
      <c r="I631" s="269">
        <f t="shared" si="19"/>
        <v>11.73</v>
      </c>
      <c r="J631" s="1114"/>
      <c r="K631" s="270">
        <f t="shared" si="18"/>
        <v>117.3</v>
      </c>
    </row>
    <row r="632" spans="2:11">
      <c r="B632" s="294" t="s">
        <v>3009</v>
      </c>
      <c r="C632" s="273" t="s">
        <v>1099</v>
      </c>
      <c r="D632" s="264" t="s">
        <v>1910</v>
      </c>
      <c r="E632" s="274" t="s">
        <v>1997</v>
      </c>
      <c r="F632" s="266">
        <v>6</v>
      </c>
      <c r="G632" s="267" t="s">
        <v>2095</v>
      </c>
      <c r="H632" s="302">
        <v>13</v>
      </c>
      <c r="I632" s="269">
        <f t="shared" si="19"/>
        <v>16.57</v>
      </c>
      <c r="J632" s="1114"/>
      <c r="K632" s="270">
        <f t="shared" si="18"/>
        <v>99.42</v>
      </c>
    </row>
    <row r="633" spans="2:11">
      <c r="B633" s="294" t="s">
        <v>3010</v>
      </c>
      <c r="C633" s="273" t="s">
        <v>1099</v>
      </c>
      <c r="D633" s="273" t="s">
        <v>1911</v>
      </c>
      <c r="E633" s="274" t="s">
        <v>1998</v>
      </c>
      <c r="F633" s="275">
        <v>10</v>
      </c>
      <c r="G633" s="266" t="s">
        <v>2095</v>
      </c>
      <c r="H633" s="286">
        <v>14.64</v>
      </c>
      <c r="I633" s="269">
        <f t="shared" si="19"/>
        <v>18.66</v>
      </c>
      <c r="J633" s="1114"/>
      <c r="K633" s="270">
        <f t="shared" si="18"/>
        <v>186.6</v>
      </c>
    </row>
    <row r="634" spans="2:11">
      <c r="B634" s="294" t="s">
        <v>3011</v>
      </c>
      <c r="C634" s="273" t="s">
        <v>1099</v>
      </c>
      <c r="D634" s="273" t="s">
        <v>1912</v>
      </c>
      <c r="E634" s="274" t="s">
        <v>1999</v>
      </c>
      <c r="F634" s="275">
        <v>6</v>
      </c>
      <c r="G634" s="266" t="s">
        <v>2095</v>
      </c>
      <c r="H634" s="284">
        <v>14.13</v>
      </c>
      <c r="I634" s="269">
        <f t="shared" si="19"/>
        <v>18.010000000000002</v>
      </c>
      <c r="J634" s="1114"/>
      <c r="K634" s="270">
        <f t="shared" si="18"/>
        <v>108.06</v>
      </c>
    </row>
    <row r="635" spans="2:11">
      <c r="B635" s="294" t="s">
        <v>3012</v>
      </c>
      <c r="C635" s="273" t="s">
        <v>184</v>
      </c>
      <c r="D635" s="273" t="s">
        <v>1913</v>
      </c>
      <c r="E635" s="274" t="s">
        <v>2000</v>
      </c>
      <c r="F635" s="275">
        <v>4</v>
      </c>
      <c r="G635" s="266" t="s">
        <v>2095</v>
      </c>
      <c r="H635" s="301">
        <v>13.93</v>
      </c>
      <c r="I635" s="269">
        <f t="shared" si="19"/>
        <v>17.760000000000002</v>
      </c>
      <c r="J635" s="1114"/>
      <c r="K635" s="270">
        <f t="shared" si="18"/>
        <v>71.040000000000006</v>
      </c>
    </row>
    <row r="636" spans="2:11" ht="51">
      <c r="B636" s="294" t="s">
        <v>3013</v>
      </c>
      <c r="C636" s="273" t="s">
        <v>1099</v>
      </c>
      <c r="D636" s="264" t="s">
        <v>1914</v>
      </c>
      <c r="E636" s="274" t="s">
        <v>2001</v>
      </c>
      <c r="F636" s="266">
        <v>4</v>
      </c>
      <c r="G636" s="267" t="s">
        <v>2095</v>
      </c>
      <c r="H636" s="300">
        <v>11.35</v>
      </c>
      <c r="I636" s="269">
        <f t="shared" si="19"/>
        <v>14.47</v>
      </c>
      <c r="J636" s="1114"/>
      <c r="K636" s="270">
        <f t="shared" si="18"/>
        <v>57.88</v>
      </c>
    </row>
    <row r="637" spans="2:11" ht="51">
      <c r="B637" s="294" t="s">
        <v>3014</v>
      </c>
      <c r="C637" s="273" t="s">
        <v>1099</v>
      </c>
      <c r="D637" s="273" t="s">
        <v>1915</v>
      </c>
      <c r="E637" s="274" t="s">
        <v>2002</v>
      </c>
      <c r="F637" s="275">
        <v>1</v>
      </c>
      <c r="G637" s="266" t="s">
        <v>2095</v>
      </c>
      <c r="H637" s="286">
        <v>10</v>
      </c>
      <c r="I637" s="269">
        <f t="shared" si="19"/>
        <v>12.75</v>
      </c>
      <c r="J637" s="1114"/>
      <c r="K637" s="270">
        <f t="shared" si="18"/>
        <v>12.75</v>
      </c>
    </row>
    <row r="638" spans="2:11" ht="51">
      <c r="B638" s="294" t="s">
        <v>3015</v>
      </c>
      <c r="C638" s="273" t="s">
        <v>1099</v>
      </c>
      <c r="D638" s="273" t="s">
        <v>1916</v>
      </c>
      <c r="E638" s="274" t="s">
        <v>2003</v>
      </c>
      <c r="F638" s="275">
        <v>1</v>
      </c>
      <c r="G638" s="266" t="s">
        <v>2095</v>
      </c>
      <c r="H638" s="284">
        <v>34.700000000000003</v>
      </c>
      <c r="I638" s="269">
        <f t="shared" si="19"/>
        <v>44.23</v>
      </c>
      <c r="J638" s="1114"/>
      <c r="K638" s="270">
        <f t="shared" si="18"/>
        <v>44.23</v>
      </c>
    </row>
    <row r="639" spans="2:11">
      <c r="B639" s="294" t="s">
        <v>3016</v>
      </c>
      <c r="C639" s="273" t="s">
        <v>184</v>
      </c>
      <c r="D639" s="273" t="s">
        <v>1917</v>
      </c>
      <c r="E639" s="274" t="s">
        <v>2004</v>
      </c>
      <c r="F639" s="275">
        <v>150</v>
      </c>
      <c r="G639" s="266" t="s">
        <v>2095</v>
      </c>
      <c r="H639" s="301">
        <v>2.0099999999999998</v>
      </c>
      <c r="I639" s="269">
        <f t="shared" si="19"/>
        <v>2.56</v>
      </c>
      <c r="J639" s="1114"/>
      <c r="K639" s="270">
        <f t="shared" si="18"/>
        <v>384</v>
      </c>
    </row>
    <row r="640" spans="2:11">
      <c r="B640" s="294" t="s">
        <v>3017</v>
      </c>
      <c r="C640" s="273" t="s">
        <v>184</v>
      </c>
      <c r="D640" s="264" t="s">
        <v>1918</v>
      </c>
      <c r="E640" s="274" t="s">
        <v>2005</v>
      </c>
      <c r="F640" s="266">
        <v>200</v>
      </c>
      <c r="G640" s="267" t="s">
        <v>2095</v>
      </c>
      <c r="H640" s="302">
        <v>1.35</v>
      </c>
      <c r="I640" s="269">
        <f t="shared" si="19"/>
        <v>1.72</v>
      </c>
      <c r="J640" s="1114"/>
      <c r="K640" s="270">
        <f t="shared" si="18"/>
        <v>344</v>
      </c>
    </row>
    <row r="641" spans="2:11" ht="51">
      <c r="B641" s="294" t="s">
        <v>3018</v>
      </c>
      <c r="C641" s="273" t="s">
        <v>184</v>
      </c>
      <c r="D641" s="273" t="s">
        <v>1919</v>
      </c>
      <c r="E641" s="274" t="s">
        <v>2006</v>
      </c>
      <c r="F641" s="275">
        <v>200</v>
      </c>
      <c r="G641" s="266" t="s">
        <v>2095</v>
      </c>
      <c r="H641" s="286">
        <v>0.39</v>
      </c>
      <c r="I641" s="269">
        <f t="shared" si="19"/>
        <v>0.5</v>
      </c>
      <c r="J641" s="1114"/>
      <c r="K641" s="270">
        <f t="shared" si="18"/>
        <v>100</v>
      </c>
    </row>
    <row r="642" spans="2:11" ht="51">
      <c r="B642" s="294" t="s">
        <v>3019</v>
      </c>
      <c r="C642" s="273" t="s">
        <v>184</v>
      </c>
      <c r="D642" s="273" t="s">
        <v>1920</v>
      </c>
      <c r="E642" s="274" t="s">
        <v>2007</v>
      </c>
      <c r="F642" s="275">
        <v>600</v>
      </c>
      <c r="G642" s="266" t="s">
        <v>3</v>
      </c>
      <c r="H642" s="284">
        <v>4.17</v>
      </c>
      <c r="I642" s="269">
        <f t="shared" si="19"/>
        <v>5.32</v>
      </c>
      <c r="J642" s="1114"/>
      <c r="K642" s="270">
        <f t="shared" si="18"/>
        <v>3192</v>
      </c>
    </row>
    <row r="643" spans="2:11" ht="51">
      <c r="B643" s="294" t="s">
        <v>3020</v>
      </c>
      <c r="C643" s="273" t="s">
        <v>184</v>
      </c>
      <c r="D643" s="273" t="s">
        <v>1920</v>
      </c>
      <c r="E643" s="274" t="s">
        <v>2008</v>
      </c>
      <c r="F643" s="275">
        <v>600</v>
      </c>
      <c r="G643" s="266" t="s">
        <v>3</v>
      </c>
      <c r="H643" s="301">
        <v>4.17</v>
      </c>
      <c r="I643" s="269">
        <f t="shared" si="19"/>
        <v>5.32</v>
      </c>
      <c r="J643" s="1114"/>
      <c r="K643" s="270">
        <f t="shared" si="18"/>
        <v>3192</v>
      </c>
    </row>
    <row r="644" spans="2:11" ht="51">
      <c r="B644" s="294" t="s">
        <v>3021</v>
      </c>
      <c r="C644" s="273" t="s">
        <v>184</v>
      </c>
      <c r="D644" s="264" t="s">
        <v>1921</v>
      </c>
      <c r="E644" s="274" t="s">
        <v>2009</v>
      </c>
      <c r="F644" s="266">
        <v>600</v>
      </c>
      <c r="G644" s="267" t="s">
        <v>3</v>
      </c>
      <c r="H644" s="300">
        <v>3.8</v>
      </c>
      <c r="I644" s="269">
        <f t="shared" si="19"/>
        <v>4.84</v>
      </c>
      <c r="J644" s="1114"/>
      <c r="K644" s="270">
        <f t="shared" ref="K644:K707" si="20">I644*F644</f>
        <v>2904</v>
      </c>
    </row>
    <row r="645" spans="2:11" ht="51">
      <c r="B645" s="294" t="s">
        <v>3022</v>
      </c>
      <c r="C645" s="273" t="s">
        <v>184</v>
      </c>
      <c r="D645" s="273" t="s">
        <v>1922</v>
      </c>
      <c r="E645" s="274" t="s">
        <v>2010</v>
      </c>
      <c r="F645" s="275">
        <v>100</v>
      </c>
      <c r="G645" s="266" t="s">
        <v>3</v>
      </c>
      <c r="H645" s="286">
        <v>2.72</v>
      </c>
      <c r="I645" s="269">
        <f t="shared" si="19"/>
        <v>3.47</v>
      </c>
      <c r="J645" s="1114"/>
      <c r="K645" s="270">
        <f t="shared" si="20"/>
        <v>347</v>
      </c>
    </row>
    <row r="646" spans="2:11" ht="51">
      <c r="B646" s="294" t="s">
        <v>3023</v>
      </c>
      <c r="C646" s="273" t="s">
        <v>184</v>
      </c>
      <c r="D646" s="273" t="s">
        <v>1922</v>
      </c>
      <c r="E646" s="274" t="s">
        <v>2011</v>
      </c>
      <c r="F646" s="275">
        <v>100</v>
      </c>
      <c r="G646" s="266" t="s">
        <v>3</v>
      </c>
      <c r="H646" s="284">
        <v>2.72</v>
      </c>
      <c r="I646" s="269">
        <f t="shared" si="19"/>
        <v>3.47</v>
      </c>
      <c r="J646" s="1114"/>
      <c r="K646" s="270">
        <f t="shared" si="20"/>
        <v>347</v>
      </c>
    </row>
    <row r="647" spans="2:11" ht="51">
      <c r="B647" s="294" t="s">
        <v>3024</v>
      </c>
      <c r="C647" s="273" t="s">
        <v>184</v>
      </c>
      <c r="D647" s="273" t="s">
        <v>1923</v>
      </c>
      <c r="E647" s="274" t="s">
        <v>2012</v>
      </c>
      <c r="F647" s="275">
        <v>100</v>
      </c>
      <c r="G647" s="266" t="s">
        <v>3</v>
      </c>
      <c r="H647" s="301">
        <v>2.29</v>
      </c>
      <c r="I647" s="269">
        <f t="shared" si="19"/>
        <v>2.92</v>
      </c>
      <c r="J647" s="1114"/>
      <c r="K647" s="270">
        <f t="shared" si="20"/>
        <v>292</v>
      </c>
    </row>
    <row r="648" spans="2:11" ht="51">
      <c r="B648" s="294" t="s">
        <v>3025</v>
      </c>
      <c r="C648" s="273" t="s">
        <v>182</v>
      </c>
      <c r="D648" s="264" t="s">
        <v>1924</v>
      </c>
      <c r="E648" s="274" t="s">
        <v>2013</v>
      </c>
      <c r="F648" s="266">
        <v>9</v>
      </c>
      <c r="G648" s="267" t="s">
        <v>2095</v>
      </c>
      <c r="H648" s="302">
        <v>229.4</v>
      </c>
      <c r="I648" s="269">
        <f t="shared" si="19"/>
        <v>292.39</v>
      </c>
      <c r="J648" s="1114"/>
      <c r="K648" s="270">
        <f t="shared" si="20"/>
        <v>2631.51</v>
      </c>
    </row>
    <row r="649" spans="2:11" ht="51">
      <c r="B649" s="294" t="s">
        <v>3026</v>
      </c>
      <c r="C649" s="273" t="s">
        <v>184</v>
      </c>
      <c r="D649" s="273" t="s">
        <v>1925</v>
      </c>
      <c r="E649" s="274" t="s">
        <v>2014</v>
      </c>
      <c r="F649" s="275">
        <v>45</v>
      </c>
      <c r="G649" s="266" t="s">
        <v>0</v>
      </c>
      <c r="H649" s="286">
        <v>78.88</v>
      </c>
      <c r="I649" s="269">
        <f t="shared" si="19"/>
        <v>100.54</v>
      </c>
      <c r="J649" s="1114"/>
      <c r="K649" s="270">
        <f t="shared" si="20"/>
        <v>4524.3</v>
      </c>
    </row>
    <row r="650" spans="2:11">
      <c r="B650" s="294" t="s">
        <v>3027</v>
      </c>
      <c r="C650" s="273" t="s">
        <v>1099</v>
      </c>
      <c r="D650" s="273" t="s">
        <v>1926</v>
      </c>
      <c r="E650" s="274" t="s">
        <v>2015</v>
      </c>
      <c r="F650" s="275">
        <v>45</v>
      </c>
      <c r="G650" s="266" t="s">
        <v>0</v>
      </c>
      <c r="H650" s="284">
        <v>17.48</v>
      </c>
      <c r="I650" s="269">
        <f t="shared" si="19"/>
        <v>22.28</v>
      </c>
      <c r="J650" s="1114"/>
      <c r="K650" s="270">
        <f t="shared" si="20"/>
        <v>1002.6</v>
      </c>
    </row>
    <row r="651" spans="2:11">
      <c r="B651" s="294" t="s">
        <v>3028</v>
      </c>
      <c r="C651" s="273" t="s">
        <v>1099</v>
      </c>
      <c r="D651" s="273" t="s">
        <v>1927</v>
      </c>
      <c r="E651" s="274" t="s">
        <v>2016</v>
      </c>
      <c r="F651" s="275">
        <v>45</v>
      </c>
      <c r="G651" s="266" t="s">
        <v>0</v>
      </c>
      <c r="H651" s="301">
        <v>12.55</v>
      </c>
      <c r="I651" s="269">
        <f t="shared" si="19"/>
        <v>16</v>
      </c>
      <c r="J651" s="1114"/>
      <c r="K651" s="270">
        <f t="shared" si="20"/>
        <v>720</v>
      </c>
    </row>
    <row r="652" spans="2:11">
      <c r="B652" s="1270" t="s">
        <v>3030</v>
      </c>
      <c r="C652" s="273"/>
      <c r="D652" s="273"/>
      <c r="E652" s="274" t="s">
        <v>2017</v>
      </c>
      <c r="F652" s="275"/>
      <c r="G652" s="266"/>
      <c r="H652" s="301"/>
      <c r="I652" s="269">
        <f t="shared" si="19"/>
        <v>0</v>
      </c>
      <c r="J652" s="1114"/>
      <c r="K652" s="270">
        <f t="shared" si="20"/>
        <v>0</v>
      </c>
    </row>
    <row r="653" spans="2:11" ht="324.95" customHeight="1">
      <c r="B653" s="294" t="s">
        <v>3029</v>
      </c>
      <c r="C653" s="273" t="s">
        <v>276</v>
      </c>
      <c r="D653" s="264"/>
      <c r="E653" s="274" t="s">
        <v>2018</v>
      </c>
      <c r="F653" s="266">
        <v>1</v>
      </c>
      <c r="G653" s="267" t="s">
        <v>2095</v>
      </c>
      <c r="H653" s="300">
        <v>354987.9</v>
      </c>
      <c r="I653" s="269">
        <f t="shared" si="19"/>
        <v>452467.58</v>
      </c>
      <c r="J653" s="1114"/>
      <c r="K653" s="270">
        <f t="shared" si="20"/>
        <v>452467.58</v>
      </c>
    </row>
    <row r="654" spans="2:11" ht="51">
      <c r="B654" s="294" t="s">
        <v>3031</v>
      </c>
      <c r="C654" s="273" t="s">
        <v>1099</v>
      </c>
      <c r="D654" s="273" t="s">
        <v>1928</v>
      </c>
      <c r="E654" s="274" t="s">
        <v>2019</v>
      </c>
      <c r="F654" s="275">
        <v>160</v>
      </c>
      <c r="G654" s="266" t="s">
        <v>3</v>
      </c>
      <c r="H654" s="286">
        <v>6.36</v>
      </c>
      <c r="I654" s="269">
        <f t="shared" ref="I654:I717" si="21">H654*(1+$I$16)</f>
        <v>8.11</v>
      </c>
      <c r="J654" s="1114"/>
      <c r="K654" s="270">
        <f t="shared" si="20"/>
        <v>1297.5999999999999</v>
      </c>
    </row>
    <row r="655" spans="2:11" ht="51">
      <c r="B655" s="294" t="s">
        <v>3032</v>
      </c>
      <c r="C655" s="273" t="s">
        <v>1099</v>
      </c>
      <c r="D655" s="273" t="s">
        <v>1906</v>
      </c>
      <c r="E655" s="274" t="s">
        <v>2020</v>
      </c>
      <c r="F655" s="275">
        <v>46</v>
      </c>
      <c r="G655" s="266" t="s">
        <v>3</v>
      </c>
      <c r="H655" s="284">
        <v>11.05</v>
      </c>
      <c r="I655" s="269">
        <f t="shared" si="21"/>
        <v>14.08</v>
      </c>
      <c r="J655" s="1114"/>
      <c r="K655" s="270">
        <f t="shared" si="20"/>
        <v>647.67999999999995</v>
      </c>
    </row>
    <row r="656" spans="2:11" ht="76.5">
      <c r="B656" s="294" t="s">
        <v>3033</v>
      </c>
      <c r="C656" s="273" t="s">
        <v>1099</v>
      </c>
      <c r="D656" s="273" t="s">
        <v>1907</v>
      </c>
      <c r="E656" s="274" t="s">
        <v>2021</v>
      </c>
      <c r="F656" s="275">
        <v>15</v>
      </c>
      <c r="G656" s="266" t="s">
        <v>2093</v>
      </c>
      <c r="H656" s="301">
        <v>79.900000000000006</v>
      </c>
      <c r="I656" s="269">
        <f t="shared" si="21"/>
        <v>101.84</v>
      </c>
      <c r="J656" s="1114"/>
      <c r="K656" s="270">
        <f t="shared" si="20"/>
        <v>1527.6</v>
      </c>
    </row>
    <row r="657" spans="2:11" ht="51">
      <c r="B657" s="294" t="s">
        <v>3034</v>
      </c>
      <c r="C657" s="273" t="s">
        <v>1099</v>
      </c>
      <c r="D657" s="264" t="s">
        <v>1929</v>
      </c>
      <c r="E657" s="274" t="s">
        <v>2022</v>
      </c>
      <c r="F657" s="266">
        <v>5</v>
      </c>
      <c r="G657" s="267" t="s">
        <v>2095</v>
      </c>
      <c r="H657" s="302">
        <v>39.6</v>
      </c>
      <c r="I657" s="269">
        <f t="shared" si="21"/>
        <v>50.47</v>
      </c>
      <c r="J657" s="1114"/>
      <c r="K657" s="270">
        <f t="shared" si="20"/>
        <v>252.35</v>
      </c>
    </row>
    <row r="658" spans="2:11">
      <c r="B658" s="294" t="s">
        <v>3035</v>
      </c>
      <c r="C658" s="273" t="s">
        <v>1099</v>
      </c>
      <c r="D658" s="273" t="s">
        <v>1930</v>
      </c>
      <c r="E658" s="274" t="s">
        <v>2023</v>
      </c>
      <c r="F658" s="275">
        <v>10</v>
      </c>
      <c r="G658" s="266" t="s">
        <v>2095</v>
      </c>
      <c r="H658" s="286">
        <v>14.96</v>
      </c>
      <c r="I658" s="269">
        <f t="shared" si="21"/>
        <v>19.07</v>
      </c>
      <c r="J658" s="1114"/>
      <c r="K658" s="270">
        <f t="shared" si="20"/>
        <v>190.7</v>
      </c>
    </row>
    <row r="659" spans="2:11" ht="76.5">
      <c r="B659" s="294" t="s">
        <v>3036</v>
      </c>
      <c r="C659" s="273" t="s">
        <v>184</v>
      </c>
      <c r="D659" s="273" t="s">
        <v>1931</v>
      </c>
      <c r="E659" s="274" t="s">
        <v>2024</v>
      </c>
      <c r="F659" s="275">
        <v>2</v>
      </c>
      <c r="G659" s="266" t="s">
        <v>3</v>
      </c>
      <c r="H659" s="284">
        <v>12.54</v>
      </c>
      <c r="I659" s="269">
        <f t="shared" si="21"/>
        <v>15.98</v>
      </c>
      <c r="J659" s="1114"/>
      <c r="K659" s="270">
        <f t="shared" si="20"/>
        <v>31.96</v>
      </c>
    </row>
    <row r="660" spans="2:11" ht="76.5">
      <c r="B660" s="294" t="s">
        <v>3037</v>
      </c>
      <c r="C660" s="273" t="s">
        <v>1099</v>
      </c>
      <c r="D660" s="273">
        <v>4117</v>
      </c>
      <c r="E660" s="274" t="s">
        <v>2025</v>
      </c>
      <c r="F660" s="275">
        <v>75</v>
      </c>
      <c r="G660" s="266" t="s">
        <v>3</v>
      </c>
      <c r="H660" s="301">
        <v>30.42</v>
      </c>
      <c r="I660" s="269">
        <f t="shared" si="21"/>
        <v>38.770000000000003</v>
      </c>
      <c r="J660" s="1114"/>
      <c r="K660" s="270">
        <f t="shared" si="20"/>
        <v>2907.75</v>
      </c>
    </row>
    <row r="661" spans="2:11" ht="76.5">
      <c r="B661" s="294" t="s">
        <v>3038</v>
      </c>
      <c r="C661" s="273" t="s">
        <v>1099</v>
      </c>
      <c r="D661" s="264">
        <v>4116</v>
      </c>
      <c r="E661" s="274" t="s">
        <v>2026</v>
      </c>
      <c r="F661" s="266">
        <v>25</v>
      </c>
      <c r="G661" s="267" t="s">
        <v>3</v>
      </c>
      <c r="H661" s="300">
        <v>21.45</v>
      </c>
      <c r="I661" s="269">
        <f t="shared" si="21"/>
        <v>27.34</v>
      </c>
      <c r="J661" s="1114"/>
      <c r="K661" s="270">
        <f t="shared" si="20"/>
        <v>683.5</v>
      </c>
    </row>
    <row r="662" spans="2:11" ht="76.5">
      <c r="B662" s="294" t="s">
        <v>3039</v>
      </c>
      <c r="C662" s="273" t="s">
        <v>184</v>
      </c>
      <c r="D662" s="273" t="s">
        <v>1932</v>
      </c>
      <c r="E662" s="274" t="s">
        <v>2027</v>
      </c>
      <c r="F662" s="275">
        <v>130</v>
      </c>
      <c r="G662" s="266" t="s">
        <v>3</v>
      </c>
      <c r="H662" s="286">
        <v>20.51</v>
      </c>
      <c r="I662" s="269">
        <f t="shared" si="21"/>
        <v>26.14</v>
      </c>
      <c r="J662" s="1114"/>
      <c r="K662" s="270">
        <f t="shared" si="20"/>
        <v>3398.2</v>
      </c>
    </row>
    <row r="663" spans="2:11" ht="76.5">
      <c r="B663" s="294" t="s">
        <v>3040</v>
      </c>
      <c r="C663" s="273" t="s">
        <v>184</v>
      </c>
      <c r="D663" s="273" t="s">
        <v>1933</v>
      </c>
      <c r="E663" s="274" t="s">
        <v>2028</v>
      </c>
      <c r="F663" s="275">
        <v>200</v>
      </c>
      <c r="G663" s="266" t="s">
        <v>3</v>
      </c>
      <c r="H663" s="284">
        <v>90.99</v>
      </c>
      <c r="I663" s="269">
        <f t="shared" si="21"/>
        <v>115.98</v>
      </c>
      <c r="J663" s="1114"/>
      <c r="K663" s="270">
        <f t="shared" si="20"/>
        <v>23196</v>
      </c>
    </row>
    <row r="664" spans="2:11" ht="76.5">
      <c r="B664" s="294" t="s">
        <v>3041</v>
      </c>
      <c r="C664" s="273" t="s">
        <v>184</v>
      </c>
      <c r="D664" s="273" t="s">
        <v>1934</v>
      </c>
      <c r="E664" s="274" t="s">
        <v>2029</v>
      </c>
      <c r="F664" s="275">
        <v>60</v>
      </c>
      <c r="G664" s="266" t="s">
        <v>3</v>
      </c>
      <c r="H664" s="301">
        <v>13.39</v>
      </c>
      <c r="I664" s="269">
        <f t="shared" si="21"/>
        <v>17.07</v>
      </c>
      <c r="J664" s="1114"/>
      <c r="K664" s="270">
        <f t="shared" si="20"/>
        <v>1024.2</v>
      </c>
    </row>
    <row r="665" spans="2:11">
      <c r="B665" s="294" t="s">
        <v>3042</v>
      </c>
      <c r="C665" s="273" t="s">
        <v>184</v>
      </c>
      <c r="D665" s="264" t="s">
        <v>1935</v>
      </c>
      <c r="E665" s="274" t="s">
        <v>2030</v>
      </c>
      <c r="F665" s="266">
        <v>10</v>
      </c>
      <c r="G665" s="267" t="s">
        <v>2095</v>
      </c>
      <c r="H665" s="302">
        <v>4.84</v>
      </c>
      <c r="I665" s="269">
        <f t="shared" si="21"/>
        <v>6.17</v>
      </c>
      <c r="J665" s="1114"/>
      <c r="K665" s="270">
        <f t="shared" si="20"/>
        <v>61.7</v>
      </c>
    </row>
    <row r="666" spans="2:11">
      <c r="B666" s="294" t="s">
        <v>3043</v>
      </c>
      <c r="C666" s="273" t="s">
        <v>184</v>
      </c>
      <c r="D666" s="273">
        <v>1577</v>
      </c>
      <c r="E666" s="274" t="s">
        <v>2031</v>
      </c>
      <c r="F666" s="275">
        <v>12</v>
      </c>
      <c r="G666" s="266" t="s">
        <v>2095</v>
      </c>
      <c r="H666" s="286">
        <v>2.79</v>
      </c>
      <c r="I666" s="269">
        <f t="shared" si="21"/>
        <v>3.56</v>
      </c>
      <c r="J666" s="1114"/>
      <c r="K666" s="270">
        <f t="shared" si="20"/>
        <v>42.72</v>
      </c>
    </row>
    <row r="667" spans="2:11">
      <c r="B667" s="294" t="s">
        <v>3044</v>
      </c>
      <c r="C667" s="273" t="s">
        <v>184</v>
      </c>
      <c r="D667" s="273">
        <v>1576</v>
      </c>
      <c r="E667" s="274" t="s">
        <v>2032</v>
      </c>
      <c r="F667" s="275">
        <v>4</v>
      </c>
      <c r="G667" s="266" t="s">
        <v>2095</v>
      </c>
      <c r="H667" s="284">
        <v>2.4700000000000002</v>
      </c>
      <c r="I667" s="269">
        <f t="shared" si="21"/>
        <v>3.15</v>
      </c>
      <c r="J667" s="1114"/>
      <c r="K667" s="270">
        <f t="shared" si="20"/>
        <v>12.6</v>
      </c>
    </row>
    <row r="668" spans="2:11">
      <c r="B668" s="294" t="s">
        <v>3045</v>
      </c>
      <c r="C668" s="273" t="s">
        <v>184</v>
      </c>
      <c r="D668" s="273" t="s">
        <v>1936</v>
      </c>
      <c r="E668" s="274" t="s">
        <v>2033</v>
      </c>
      <c r="F668" s="275">
        <v>8</v>
      </c>
      <c r="G668" s="266" t="s">
        <v>2095</v>
      </c>
      <c r="H668" s="301">
        <v>1.39</v>
      </c>
      <c r="I668" s="269">
        <f t="shared" si="21"/>
        <v>1.77</v>
      </c>
      <c r="J668" s="1114"/>
      <c r="K668" s="270">
        <f t="shared" si="20"/>
        <v>14.16</v>
      </c>
    </row>
    <row r="669" spans="2:11">
      <c r="B669" s="294" t="s">
        <v>3046</v>
      </c>
      <c r="C669" s="273" t="s">
        <v>184</v>
      </c>
      <c r="D669" s="264" t="s">
        <v>1937</v>
      </c>
      <c r="E669" s="274" t="s">
        <v>2034</v>
      </c>
      <c r="F669" s="266">
        <v>60</v>
      </c>
      <c r="G669" s="267" t="s">
        <v>2095</v>
      </c>
      <c r="H669" s="300">
        <v>1.17</v>
      </c>
      <c r="I669" s="269">
        <f t="shared" si="21"/>
        <v>1.49</v>
      </c>
      <c r="J669" s="1114"/>
      <c r="K669" s="270">
        <f t="shared" si="20"/>
        <v>89.4</v>
      </c>
    </row>
    <row r="670" spans="2:11" ht="51">
      <c r="B670" s="294" t="s">
        <v>3047</v>
      </c>
      <c r="C670" s="273" t="s">
        <v>276</v>
      </c>
      <c r="D670" s="273"/>
      <c r="E670" s="274" t="s">
        <v>2035</v>
      </c>
      <c r="F670" s="275">
        <v>1</v>
      </c>
      <c r="G670" s="266" t="s">
        <v>2095</v>
      </c>
      <c r="H670" s="286">
        <v>3.4</v>
      </c>
      <c r="I670" s="269">
        <f t="shared" si="21"/>
        <v>4.33</v>
      </c>
      <c r="J670" s="1114"/>
      <c r="K670" s="270">
        <f t="shared" si="20"/>
        <v>4.33</v>
      </c>
    </row>
    <row r="671" spans="2:11" ht="51">
      <c r="B671" s="294" t="s">
        <v>3048</v>
      </c>
      <c r="C671" s="273" t="s">
        <v>276</v>
      </c>
      <c r="D671" s="273"/>
      <c r="E671" s="274" t="s">
        <v>2036</v>
      </c>
      <c r="F671" s="275">
        <v>1</v>
      </c>
      <c r="G671" s="266" t="s">
        <v>2095</v>
      </c>
      <c r="H671" s="284">
        <v>3.9</v>
      </c>
      <c r="I671" s="269">
        <f t="shared" si="21"/>
        <v>4.97</v>
      </c>
      <c r="J671" s="1114"/>
      <c r="K671" s="270">
        <f t="shared" si="20"/>
        <v>4.97</v>
      </c>
    </row>
    <row r="672" spans="2:11">
      <c r="B672" s="294" t="s">
        <v>3049</v>
      </c>
      <c r="C672" s="273" t="s">
        <v>184</v>
      </c>
      <c r="D672" s="273" t="s">
        <v>1938</v>
      </c>
      <c r="E672" s="274" t="s">
        <v>2037</v>
      </c>
      <c r="F672" s="275">
        <v>6</v>
      </c>
      <c r="G672" s="266" t="s">
        <v>2095</v>
      </c>
      <c r="H672" s="301">
        <v>11.83</v>
      </c>
      <c r="I672" s="269">
        <f t="shared" si="21"/>
        <v>15.08</v>
      </c>
      <c r="J672" s="1114"/>
      <c r="K672" s="270">
        <f t="shared" si="20"/>
        <v>90.48</v>
      </c>
    </row>
    <row r="673" spans="2:11" ht="51">
      <c r="B673" s="294" t="s">
        <v>3050</v>
      </c>
      <c r="C673" s="273" t="s">
        <v>182</v>
      </c>
      <c r="D673" s="264" t="s">
        <v>1939</v>
      </c>
      <c r="E673" s="274" t="s">
        <v>2038</v>
      </c>
      <c r="F673" s="266">
        <v>1</v>
      </c>
      <c r="G673" s="267" t="s">
        <v>2095</v>
      </c>
      <c r="H673" s="302">
        <v>1237.26</v>
      </c>
      <c r="I673" s="269">
        <f t="shared" si="21"/>
        <v>1577.01</v>
      </c>
      <c r="J673" s="1114"/>
      <c r="K673" s="270">
        <f t="shared" si="20"/>
        <v>1577.01</v>
      </c>
    </row>
    <row r="674" spans="2:11" ht="51">
      <c r="B674" s="294" t="s">
        <v>3051</v>
      </c>
      <c r="C674" s="273" t="s">
        <v>182</v>
      </c>
      <c r="D674" s="273" t="s">
        <v>1940</v>
      </c>
      <c r="E674" s="274" t="s">
        <v>2039</v>
      </c>
      <c r="F674" s="275">
        <v>10</v>
      </c>
      <c r="G674" s="266" t="s">
        <v>2095</v>
      </c>
      <c r="H674" s="286">
        <v>659.47</v>
      </c>
      <c r="I674" s="269">
        <f t="shared" si="21"/>
        <v>840.56</v>
      </c>
      <c r="J674" s="1114"/>
      <c r="K674" s="270">
        <f t="shared" si="20"/>
        <v>8405.6</v>
      </c>
    </row>
    <row r="675" spans="2:11" ht="51">
      <c r="B675" s="294" t="s">
        <v>3052</v>
      </c>
      <c r="C675" s="273" t="s">
        <v>184</v>
      </c>
      <c r="D675" s="273" t="s">
        <v>1925</v>
      </c>
      <c r="E675" s="274" t="s">
        <v>2014</v>
      </c>
      <c r="F675" s="275">
        <v>38</v>
      </c>
      <c r="G675" s="266" t="s">
        <v>0</v>
      </c>
      <c r="H675" s="284">
        <v>78.88</v>
      </c>
      <c r="I675" s="269">
        <f t="shared" si="21"/>
        <v>100.54</v>
      </c>
      <c r="J675" s="1114"/>
      <c r="K675" s="270">
        <f t="shared" si="20"/>
        <v>3820.52</v>
      </c>
    </row>
    <row r="676" spans="2:11">
      <c r="B676" s="294" t="s">
        <v>3053</v>
      </c>
      <c r="C676" s="273" t="s">
        <v>1099</v>
      </c>
      <c r="D676" s="273" t="s">
        <v>1926</v>
      </c>
      <c r="E676" s="274" t="s">
        <v>2015</v>
      </c>
      <c r="F676" s="275">
        <v>38</v>
      </c>
      <c r="G676" s="266" t="s">
        <v>0</v>
      </c>
      <c r="H676" s="301">
        <v>17.48</v>
      </c>
      <c r="I676" s="269">
        <f t="shared" si="21"/>
        <v>22.28</v>
      </c>
      <c r="J676" s="1114"/>
      <c r="K676" s="270">
        <f t="shared" si="20"/>
        <v>846.64</v>
      </c>
    </row>
    <row r="677" spans="2:11">
      <c r="B677" s="294" t="s">
        <v>3054</v>
      </c>
      <c r="C677" s="273" t="s">
        <v>1099</v>
      </c>
      <c r="D677" s="264" t="s">
        <v>1927</v>
      </c>
      <c r="E677" s="274" t="s">
        <v>2016</v>
      </c>
      <c r="F677" s="266">
        <v>38</v>
      </c>
      <c r="G677" s="267" t="s">
        <v>0</v>
      </c>
      <c r="H677" s="300">
        <v>11.96</v>
      </c>
      <c r="I677" s="269">
        <f t="shared" si="21"/>
        <v>15.24</v>
      </c>
      <c r="J677" s="1114"/>
      <c r="K677" s="270">
        <f t="shared" si="20"/>
        <v>579.12</v>
      </c>
    </row>
    <row r="678" spans="2:11">
      <c r="B678" s="294" t="s">
        <v>3055</v>
      </c>
      <c r="C678" s="273"/>
      <c r="D678" s="273"/>
      <c r="E678" s="274" t="s">
        <v>2040</v>
      </c>
      <c r="F678" s="275"/>
      <c r="G678" s="266"/>
      <c r="H678" s="301"/>
      <c r="I678" s="269">
        <f t="shared" si="21"/>
        <v>0</v>
      </c>
      <c r="J678" s="1114"/>
      <c r="K678" s="270">
        <f t="shared" si="20"/>
        <v>0</v>
      </c>
    </row>
    <row r="679" spans="2:11">
      <c r="B679" s="294" t="s">
        <v>3056</v>
      </c>
      <c r="C679" s="273" t="s">
        <v>184</v>
      </c>
      <c r="D679" s="264" t="s">
        <v>1941</v>
      </c>
      <c r="E679" s="274" t="s">
        <v>2041</v>
      </c>
      <c r="F679" s="266">
        <v>180</v>
      </c>
      <c r="G679" s="267" t="s">
        <v>3</v>
      </c>
      <c r="H679" s="300">
        <v>8.6999999999999993</v>
      </c>
      <c r="I679" s="269">
        <f t="shared" si="21"/>
        <v>11.09</v>
      </c>
      <c r="J679" s="1114"/>
      <c r="K679" s="270">
        <f t="shared" si="20"/>
        <v>1996.2</v>
      </c>
    </row>
    <row r="680" spans="2:11">
      <c r="B680" s="294" t="s">
        <v>3057</v>
      </c>
      <c r="C680" s="273" t="s">
        <v>184</v>
      </c>
      <c r="D680" s="273" t="s">
        <v>1942</v>
      </c>
      <c r="E680" s="274" t="s">
        <v>2042</v>
      </c>
      <c r="F680" s="275">
        <v>3</v>
      </c>
      <c r="G680" s="266" t="s">
        <v>2095</v>
      </c>
      <c r="H680" s="286">
        <v>47</v>
      </c>
      <c r="I680" s="269">
        <f t="shared" si="21"/>
        <v>59.91</v>
      </c>
      <c r="J680" s="1114"/>
      <c r="K680" s="270">
        <f t="shared" si="20"/>
        <v>179.73</v>
      </c>
    </row>
    <row r="681" spans="2:11" ht="102">
      <c r="B681" s="294" t="s">
        <v>3058</v>
      </c>
      <c r="C681" s="273" t="s">
        <v>276</v>
      </c>
      <c r="D681" s="273"/>
      <c r="E681" s="274" t="s">
        <v>2043</v>
      </c>
      <c r="F681" s="275">
        <v>2</v>
      </c>
      <c r="G681" s="266" t="s">
        <v>2095</v>
      </c>
      <c r="H681" s="284">
        <v>124.75</v>
      </c>
      <c r="I681" s="269">
        <f t="shared" si="21"/>
        <v>159.01</v>
      </c>
      <c r="J681" s="1114"/>
      <c r="K681" s="270">
        <f t="shared" si="20"/>
        <v>318.02</v>
      </c>
    </row>
    <row r="682" spans="2:11" ht="51">
      <c r="B682" s="294" t="s">
        <v>3059</v>
      </c>
      <c r="C682" s="273" t="s">
        <v>1099</v>
      </c>
      <c r="D682" s="273" t="s">
        <v>1906</v>
      </c>
      <c r="E682" s="274" t="s">
        <v>1993</v>
      </c>
      <c r="F682" s="275">
        <v>50</v>
      </c>
      <c r="G682" s="266" t="s">
        <v>3</v>
      </c>
      <c r="H682" s="301">
        <v>11.05</v>
      </c>
      <c r="I682" s="269">
        <f t="shared" si="21"/>
        <v>14.08</v>
      </c>
      <c r="J682" s="1114"/>
      <c r="K682" s="270">
        <f t="shared" si="20"/>
        <v>704</v>
      </c>
    </row>
    <row r="683" spans="2:11" ht="76.5">
      <c r="B683" s="294" t="s">
        <v>3060</v>
      </c>
      <c r="C683" s="273" t="s">
        <v>1099</v>
      </c>
      <c r="D683" s="264" t="s">
        <v>1907</v>
      </c>
      <c r="E683" s="274" t="s">
        <v>1994</v>
      </c>
      <c r="F683" s="266">
        <v>15</v>
      </c>
      <c r="G683" s="267" t="s">
        <v>2093</v>
      </c>
      <c r="H683" s="302">
        <v>79.900000000000006</v>
      </c>
      <c r="I683" s="269">
        <f t="shared" si="21"/>
        <v>101.84</v>
      </c>
      <c r="J683" s="1114"/>
      <c r="K683" s="270">
        <f t="shared" si="20"/>
        <v>1527.6</v>
      </c>
    </row>
    <row r="684" spans="2:11" ht="51">
      <c r="B684" s="294" t="s">
        <v>3061</v>
      </c>
      <c r="C684" s="273" t="s">
        <v>1099</v>
      </c>
      <c r="D684" s="273" t="s">
        <v>1908</v>
      </c>
      <c r="E684" s="274" t="s">
        <v>1995</v>
      </c>
      <c r="F684" s="275">
        <v>3</v>
      </c>
      <c r="G684" s="266" t="s">
        <v>2095</v>
      </c>
      <c r="H684" s="286">
        <v>24.54</v>
      </c>
      <c r="I684" s="269">
        <f t="shared" si="21"/>
        <v>31.28</v>
      </c>
      <c r="J684" s="1114"/>
      <c r="K684" s="270">
        <f t="shared" si="20"/>
        <v>93.84</v>
      </c>
    </row>
    <row r="685" spans="2:11">
      <c r="B685" s="294" t="s">
        <v>3062</v>
      </c>
      <c r="C685" s="273" t="s">
        <v>1099</v>
      </c>
      <c r="D685" s="273" t="s">
        <v>1909</v>
      </c>
      <c r="E685" s="274" t="s">
        <v>1996</v>
      </c>
      <c r="F685" s="275">
        <v>4</v>
      </c>
      <c r="G685" s="266" t="s">
        <v>2095</v>
      </c>
      <c r="H685" s="284">
        <v>9.1999999999999993</v>
      </c>
      <c r="I685" s="269">
        <f t="shared" si="21"/>
        <v>11.73</v>
      </c>
      <c r="J685" s="1114"/>
      <c r="K685" s="270">
        <f t="shared" si="20"/>
        <v>46.92</v>
      </c>
    </row>
    <row r="686" spans="2:11">
      <c r="B686" s="294" t="s">
        <v>3063</v>
      </c>
      <c r="C686" s="273" t="s">
        <v>1099</v>
      </c>
      <c r="D686" s="273" t="s">
        <v>1910</v>
      </c>
      <c r="E686" s="274" t="s">
        <v>1997</v>
      </c>
      <c r="F686" s="275">
        <v>3</v>
      </c>
      <c r="G686" s="266" t="s">
        <v>2095</v>
      </c>
      <c r="H686" s="301">
        <v>13</v>
      </c>
      <c r="I686" s="269">
        <f t="shared" si="21"/>
        <v>16.57</v>
      </c>
      <c r="J686" s="1114"/>
      <c r="K686" s="270">
        <f t="shared" si="20"/>
        <v>49.71</v>
      </c>
    </row>
    <row r="687" spans="2:11">
      <c r="B687" s="294" t="s">
        <v>3064</v>
      </c>
      <c r="C687" s="273" t="s">
        <v>1099</v>
      </c>
      <c r="D687" s="264" t="s">
        <v>1911</v>
      </c>
      <c r="E687" s="274" t="s">
        <v>1998</v>
      </c>
      <c r="F687" s="266">
        <v>6</v>
      </c>
      <c r="G687" s="267" t="s">
        <v>2095</v>
      </c>
      <c r="H687" s="300">
        <v>14.64</v>
      </c>
      <c r="I687" s="269">
        <f t="shared" si="21"/>
        <v>18.66</v>
      </c>
      <c r="J687" s="1114"/>
      <c r="K687" s="270">
        <f t="shared" si="20"/>
        <v>111.96</v>
      </c>
    </row>
    <row r="688" spans="2:11">
      <c r="B688" s="294" t="s">
        <v>3065</v>
      </c>
      <c r="C688" s="273" t="s">
        <v>1099</v>
      </c>
      <c r="D688" s="273" t="s">
        <v>1943</v>
      </c>
      <c r="E688" s="274" t="s">
        <v>2044</v>
      </c>
      <c r="F688" s="275">
        <v>3</v>
      </c>
      <c r="G688" s="266" t="s">
        <v>2095</v>
      </c>
      <c r="H688" s="286">
        <v>14.64</v>
      </c>
      <c r="I688" s="269">
        <f t="shared" si="21"/>
        <v>18.66</v>
      </c>
      <c r="J688" s="1114"/>
      <c r="K688" s="270">
        <f t="shared" si="20"/>
        <v>55.98</v>
      </c>
    </row>
    <row r="689" spans="2:11">
      <c r="B689" s="294" t="s">
        <v>3066</v>
      </c>
      <c r="C689" s="273"/>
      <c r="D689" s="273"/>
      <c r="E689" s="274" t="s">
        <v>2045</v>
      </c>
      <c r="F689" s="275"/>
      <c r="G689" s="266"/>
      <c r="H689" s="301"/>
      <c r="I689" s="269">
        <f t="shared" si="21"/>
        <v>0</v>
      </c>
      <c r="J689" s="1114"/>
      <c r="K689" s="270">
        <f t="shared" si="20"/>
        <v>0</v>
      </c>
    </row>
    <row r="690" spans="2:11" ht="51">
      <c r="B690" s="294" t="s">
        <v>3056</v>
      </c>
      <c r="C690" s="273" t="s">
        <v>184</v>
      </c>
      <c r="D690" s="264">
        <v>4274</v>
      </c>
      <c r="E690" s="274" t="s">
        <v>2046</v>
      </c>
      <c r="F690" s="266">
        <v>1</v>
      </c>
      <c r="G690" s="267" t="s">
        <v>2095</v>
      </c>
      <c r="H690" s="300">
        <v>161.75</v>
      </c>
      <c r="I690" s="269">
        <f t="shared" si="21"/>
        <v>206.17</v>
      </c>
      <c r="J690" s="1114"/>
      <c r="K690" s="270">
        <f t="shared" si="20"/>
        <v>206.17</v>
      </c>
    </row>
    <row r="691" spans="2:11">
      <c r="B691" s="294" t="s">
        <v>3057</v>
      </c>
      <c r="C691" s="273" t="s">
        <v>184</v>
      </c>
      <c r="D691" s="273">
        <v>41387</v>
      </c>
      <c r="E691" s="274" t="s">
        <v>2047</v>
      </c>
      <c r="F691" s="275">
        <v>1</v>
      </c>
      <c r="G691" s="266" t="s">
        <v>2095</v>
      </c>
      <c r="H691" s="286">
        <v>64.290000000000006</v>
      </c>
      <c r="I691" s="269">
        <f t="shared" si="21"/>
        <v>81.94</v>
      </c>
      <c r="J691" s="1114"/>
      <c r="K691" s="270">
        <f t="shared" si="20"/>
        <v>81.94</v>
      </c>
    </row>
    <row r="692" spans="2:11">
      <c r="B692" s="294" t="s">
        <v>3058</v>
      </c>
      <c r="C692" s="273"/>
      <c r="D692" s="273"/>
      <c r="E692" s="274" t="s">
        <v>2048</v>
      </c>
      <c r="F692" s="275">
        <v>4</v>
      </c>
      <c r="G692" s="266" t="s">
        <v>2095</v>
      </c>
      <c r="H692" s="284">
        <v>23.98</v>
      </c>
      <c r="I692" s="269">
        <f t="shared" si="21"/>
        <v>30.56</v>
      </c>
      <c r="J692" s="1114"/>
      <c r="K692" s="270">
        <f t="shared" si="20"/>
        <v>122.24</v>
      </c>
    </row>
    <row r="693" spans="2:11">
      <c r="B693" s="294" t="s">
        <v>3059</v>
      </c>
      <c r="C693" s="273" t="s">
        <v>1099</v>
      </c>
      <c r="D693" s="273">
        <v>11844</v>
      </c>
      <c r="E693" s="274" t="s">
        <v>2049</v>
      </c>
      <c r="F693" s="275">
        <v>6</v>
      </c>
      <c r="G693" s="266" t="s">
        <v>2095</v>
      </c>
      <c r="H693" s="301">
        <v>14.02</v>
      </c>
      <c r="I693" s="269">
        <f t="shared" si="21"/>
        <v>17.87</v>
      </c>
      <c r="J693" s="1114"/>
      <c r="K693" s="270">
        <f t="shared" si="20"/>
        <v>107.22</v>
      </c>
    </row>
    <row r="694" spans="2:11">
      <c r="B694" s="294" t="s">
        <v>3060</v>
      </c>
      <c r="C694" s="273" t="s">
        <v>276</v>
      </c>
      <c r="D694" s="264"/>
      <c r="E694" s="274" t="s">
        <v>2050</v>
      </c>
      <c r="F694" s="266">
        <v>2</v>
      </c>
      <c r="G694" s="267" t="s">
        <v>2095</v>
      </c>
      <c r="H694" s="302">
        <v>20.9</v>
      </c>
      <c r="I694" s="269">
        <f t="shared" si="21"/>
        <v>26.64</v>
      </c>
      <c r="J694" s="1114"/>
      <c r="K694" s="270">
        <f t="shared" si="20"/>
        <v>53.28</v>
      </c>
    </row>
    <row r="695" spans="2:11">
      <c r="B695" s="294" t="s">
        <v>3061</v>
      </c>
      <c r="C695" s="273" t="s">
        <v>1099</v>
      </c>
      <c r="D695" s="273">
        <v>9718</v>
      </c>
      <c r="E695" s="274" t="s">
        <v>2051</v>
      </c>
      <c r="F695" s="275">
        <v>400</v>
      </c>
      <c r="G695" s="266" t="s">
        <v>2095</v>
      </c>
      <c r="H695" s="284">
        <v>2.17</v>
      </c>
      <c r="I695" s="269">
        <f t="shared" si="21"/>
        <v>2.77</v>
      </c>
      <c r="J695" s="1114"/>
      <c r="K695" s="270">
        <f t="shared" si="20"/>
        <v>1108</v>
      </c>
    </row>
    <row r="696" spans="2:11">
      <c r="B696" s="294" t="s">
        <v>3062</v>
      </c>
      <c r="C696" s="273" t="s">
        <v>184</v>
      </c>
      <c r="D696" s="273">
        <v>1588</v>
      </c>
      <c r="E696" s="274" t="s">
        <v>2052</v>
      </c>
      <c r="F696" s="275">
        <v>4</v>
      </c>
      <c r="G696" s="266" t="s">
        <v>2095</v>
      </c>
      <c r="H696" s="284">
        <v>8.5500000000000007</v>
      </c>
      <c r="I696" s="269">
        <f t="shared" si="21"/>
        <v>10.9</v>
      </c>
      <c r="J696" s="1114"/>
      <c r="K696" s="270">
        <f t="shared" si="20"/>
        <v>43.6</v>
      </c>
    </row>
    <row r="697" spans="2:11">
      <c r="B697" s="294" t="s">
        <v>3063</v>
      </c>
      <c r="C697" s="273" t="s">
        <v>184</v>
      </c>
      <c r="D697" s="273">
        <v>11862</v>
      </c>
      <c r="E697" s="274" t="s">
        <v>2053</v>
      </c>
      <c r="F697" s="275">
        <v>4</v>
      </c>
      <c r="G697" s="266" t="s">
        <v>2095</v>
      </c>
      <c r="H697" s="301">
        <v>12.82</v>
      </c>
      <c r="I697" s="269">
        <f t="shared" si="21"/>
        <v>16.34</v>
      </c>
      <c r="J697" s="1114"/>
      <c r="K697" s="270">
        <f t="shared" si="20"/>
        <v>65.36</v>
      </c>
    </row>
    <row r="698" spans="2:11">
      <c r="B698" s="294" t="s">
        <v>3064</v>
      </c>
      <c r="C698" s="273" t="s">
        <v>184</v>
      </c>
      <c r="D698" s="264">
        <v>867</v>
      </c>
      <c r="E698" s="274" t="s">
        <v>2054</v>
      </c>
      <c r="F698" s="266">
        <v>350</v>
      </c>
      <c r="G698" s="267" t="s">
        <v>3</v>
      </c>
      <c r="H698" s="300">
        <v>54</v>
      </c>
      <c r="I698" s="269">
        <f t="shared" si="21"/>
        <v>68.83</v>
      </c>
      <c r="J698" s="1114"/>
      <c r="K698" s="270">
        <f t="shared" si="20"/>
        <v>24090.5</v>
      </c>
    </row>
    <row r="699" spans="2:11">
      <c r="B699" s="294" t="s">
        <v>3065</v>
      </c>
      <c r="C699" s="273" t="s">
        <v>184</v>
      </c>
      <c r="D699" s="273">
        <v>863</v>
      </c>
      <c r="E699" s="274" t="s">
        <v>2055</v>
      </c>
      <c r="F699" s="275">
        <v>180</v>
      </c>
      <c r="G699" s="266" t="s">
        <v>3</v>
      </c>
      <c r="H699" s="286">
        <v>37.909999999999997</v>
      </c>
      <c r="I699" s="269">
        <f t="shared" si="21"/>
        <v>48.32</v>
      </c>
      <c r="J699" s="1114"/>
      <c r="K699" s="270">
        <f t="shared" si="20"/>
        <v>8697.6</v>
      </c>
    </row>
    <row r="700" spans="2:11" ht="51">
      <c r="B700" s="294" t="s">
        <v>3067</v>
      </c>
      <c r="C700" s="273" t="s">
        <v>182</v>
      </c>
      <c r="D700" s="273">
        <v>171165</v>
      </c>
      <c r="E700" s="274" t="s">
        <v>2056</v>
      </c>
      <c r="F700" s="275">
        <v>25</v>
      </c>
      <c r="G700" s="266" t="s">
        <v>2095</v>
      </c>
      <c r="H700" s="301">
        <v>162.1</v>
      </c>
      <c r="I700" s="269">
        <f t="shared" si="21"/>
        <v>206.61</v>
      </c>
      <c r="J700" s="1114"/>
      <c r="K700" s="270">
        <f t="shared" si="20"/>
        <v>5165.25</v>
      </c>
    </row>
    <row r="701" spans="2:11" ht="51">
      <c r="B701" s="294" t="s">
        <v>3068</v>
      </c>
      <c r="C701" s="273" t="s">
        <v>1099</v>
      </c>
      <c r="D701" s="264">
        <v>11203</v>
      </c>
      <c r="E701" s="274" t="s">
        <v>2057</v>
      </c>
      <c r="F701" s="266">
        <v>20</v>
      </c>
      <c r="G701" s="267" t="s">
        <v>2095</v>
      </c>
      <c r="H701" s="300">
        <v>31</v>
      </c>
      <c r="I701" s="269">
        <f t="shared" si="21"/>
        <v>39.51</v>
      </c>
      <c r="J701" s="1114"/>
      <c r="K701" s="270">
        <f t="shared" si="20"/>
        <v>790.2</v>
      </c>
    </row>
    <row r="702" spans="2:11">
      <c r="B702" s="294" t="s">
        <v>3069</v>
      </c>
      <c r="C702" s="273" t="s">
        <v>1099</v>
      </c>
      <c r="D702" s="273">
        <v>9691</v>
      </c>
      <c r="E702" s="274" t="s">
        <v>2058</v>
      </c>
      <c r="F702" s="275">
        <v>1</v>
      </c>
      <c r="G702" s="266" t="s">
        <v>2095</v>
      </c>
      <c r="H702" s="286">
        <v>364.8</v>
      </c>
      <c r="I702" s="269">
        <f t="shared" si="21"/>
        <v>464.97</v>
      </c>
      <c r="J702" s="1114"/>
      <c r="K702" s="270">
        <f t="shared" si="20"/>
        <v>464.97</v>
      </c>
    </row>
    <row r="703" spans="2:11">
      <c r="B703" s="294" t="s">
        <v>3070</v>
      </c>
      <c r="C703" s="273" t="s">
        <v>1099</v>
      </c>
      <c r="D703" s="273">
        <v>10339</v>
      </c>
      <c r="E703" s="274" t="s">
        <v>2059</v>
      </c>
      <c r="F703" s="275">
        <v>1</v>
      </c>
      <c r="G703" s="266" t="s">
        <v>2095</v>
      </c>
      <c r="H703" s="284">
        <v>214.09</v>
      </c>
      <c r="I703" s="269">
        <f t="shared" si="21"/>
        <v>272.88</v>
      </c>
      <c r="J703" s="1114"/>
      <c r="K703" s="270">
        <f t="shared" si="20"/>
        <v>272.88</v>
      </c>
    </row>
    <row r="704" spans="2:11">
      <c r="B704" s="294" t="s">
        <v>3071</v>
      </c>
      <c r="C704" s="273" t="s">
        <v>276</v>
      </c>
      <c r="D704" s="273"/>
      <c r="E704" s="274" t="s">
        <v>2060</v>
      </c>
      <c r="F704" s="275">
        <v>2</v>
      </c>
      <c r="G704" s="266" t="s">
        <v>2095</v>
      </c>
      <c r="H704" s="301">
        <v>87</v>
      </c>
      <c r="I704" s="269">
        <f t="shared" si="21"/>
        <v>110.89</v>
      </c>
      <c r="J704" s="1114"/>
      <c r="K704" s="270">
        <f t="shared" si="20"/>
        <v>221.78</v>
      </c>
    </row>
    <row r="705" spans="2:11" ht="51">
      <c r="B705" s="294" t="s">
        <v>3072</v>
      </c>
      <c r="C705" s="273" t="s">
        <v>184</v>
      </c>
      <c r="D705" s="264">
        <v>41474</v>
      </c>
      <c r="E705" s="274" t="s">
        <v>1977</v>
      </c>
      <c r="F705" s="266">
        <v>5</v>
      </c>
      <c r="G705" s="267" t="s">
        <v>2095</v>
      </c>
      <c r="H705" s="302">
        <v>90.85</v>
      </c>
      <c r="I705" s="269">
        <f t="shared" si="21"/>
        <v>115.8</v>
      </c>
      <c r="J705" s="1114"/>
      <c r="K705" s="270">
        <f t="shared" si="20"/>
        <v>579</v>
      </c>
    </row>
    <row r="706" spans="2:11">
      <c r="B706" s="294" t="s">
        <v>3073</v>
      </c>
      <c r="C706" s="273" t="s">
        <v>1099</v>
      </c>
      <c r="D706" s="273">
        <v>11846</v>
      </c>
      <c r="E706" s="274" t="s">
        <v>2061</v>
      </c>
      <c r="F706" s="275">
        <v>45</v>
      </c>
      <c r="G706" s="266" t="s">
        <v>2093</v>
      </c>
      <c r="H706" s="286">
        <v>40.619999999999997</v>
      </c>
      <c r="I706" s="269">
        <f t="shared" si="21"/>
        <v>51.77</v>
      </c>
      <c r="J706" s="1114"/>
      <c r="K706" s="270">
        <f t="shared" si="20"/>
        <v>2329.65</v>
      </c>
    </row>
    <row r="707" spans="2:11">
      <c r="B707" s="294" t="s">
        <v>3074</v>
      </c>
      <c r="C707" s="273" t="s">
        <v>276</v>
      </c>
      <c r="D707" s="273"/>
      <c r="E707" s="274" t="s">
        <v>2062</v>
      </c>
      <c r="F707" s="275">
        <v>135</v>
      </c>
      <c r="G707" s="266" t="s">
        <v>2095</v>
      </c>
      <c r="H707" s="284">
        <v>12</v>
      </c>
      <c r="I707" s="269">
        <f t="shared" si="21"/>
        <v>15.3</v>
      </c>
      <c r="J707" s="1114"/>
      <c r="K707" s="270">
        <f t="shared" si="20"/>
        <v>2065.5</v>
      </c>
    </row>
    <row r="708" spans="2:11">
      <c r="B708" s="294" t="s">
        <v>3075</v>
      </c>
      <c r="C708" s="273" t="s">
        <v>1099</v>
      </c>
      <c r="D708" s="273">
        <v>10337</v>
      </c>
      <c r="E708" s="274" t="s">
        <v>2063</v>
      </c>
      <c r="F708" s="275">
        <v>6</v>
      </c>
      <c r="G708" s="266" t="s">
        <v>2095</v>
      </c>
      <c r="H708" s="301">
        <v>13.8</v>
      </c>
      <c r="I708" s="269">
        <f t="shared" si="21"/>
        <v>17.59</v>
      </c>
      <c r="J708" s="1114"/>
      <c r="K708" s="270">
        <f t="shared" ref="K708:K740" si="22">I708*F708</f>
        <v>105.54</v>
      </c>
    </row>
    <row r="709" spans="2:11" ht="51">
      <c r="B709" s="294" t="s">
        <v>3076</v>
      </c>
      <c r="C709" s="273" t="s">
        <v>184</v>
      </c>
      <c r="D709" s="264" t="s">
        <v>1925</v>
      </c>
      <c r="E709" s="274" t="s">
        <v>2014</v>
      </c>
      <c r="F709" s="266">
        <v>16</v>
      </c>
      <c r="G709" s="267" t="s">
        <v>0</v>
      </c>
      <c r="H709" s="300">
        <v>78.88</v>
      </c>
      <c r="I709" s="269">
        <f t="shared" si="21"/>
        <v>100.54</v>
      </c>
      <c r="J709" s="1114"/>
      <c r="K709" s="270">
        <f t="shared" si="22"/>
        <v>1608.64</v>
      </c>
    </row>
    <row r="710" spans="2:11">
      <c r="B710" s="294" t="s">
        <v>3077</v>
      </c>
      <c r="C710" s="273" t="s">
        <v>1099</v>
      </c>
      <c r="D710" s="273" t="s">
        <v>1926</v>
      </c>
      <c r="E710" s="274" t="s">
        <v>2015</v>
      </c>
      <c r="F710" s="275">
        <v>16</v>
      </c>
      <c r="G710" s="266" t="s">
        <v>0</v>
      </c>
      <c r="H710" s="286">
        <v>17.48</v>
      </c>
      <c r="I710" s="269">
        <f t="shared" si="21"/>
        <v>22.28</v>
      </c>
      <c r="J710" s="1114"/>
      <c r="K710" s="270">
        <f t="shared" si="22"/>
        <v>356.48</v>
      </c>
    </row>
    <row r="711" spans="2:11">
      <c r="B711" s="294" t="s">
        <v>3078</v>
      </c>
      <c r="C711" s="273" t="s">
        <v>1099</v>
      </c>
      <c r="D711" s="273" t="s">
        <v>1927</v>
      </c>
      <c r="E711" s="274" t="s">
        <v>2016</v>
      </c>
      <c r="F711" s="275">
        <v>16</v>
      </c>
      <c r="G711" s="266" t="s">
        <v>0</v>
      </c>
      <c r="H711" s="301">
        <v>12.55</v>
      </c>
      <c r="I711" s="269">
        <f t="shared" si="21"/>
        <v>16</v>
      </c>
      <c r="J711" s="1114"/>
      <c r="K711" s="270">
        <f t="shared" si="22"/>
        <v>256</v>
      </c>
    </row>
    <row r="712" spans="2:11">
      <c r="B712" s="294" t="s">
        <v>3066</v>
      </c>
      <c r="C712" s="273"/>
      <c r="D712" s="273"/>
      <c r="E712" s="274" t="s">
        <v>2064</v>
      </c>
      <c r="F712" s="275"/>
      <c r="G712" s="266"/>
      <c r="H712" s="301"/>
      <c r="I712" s="269">
        <f t="shared" si="21"/>
        <v>0</v>
      </c>
      <c r="J712" s="1114"/>
      <c r="K712" s="270">
        <f t="shared" si="22"/>
        <v>0</v>
      </c>
    </row>
    <row r="713" spans="2:11" ht="51">
      <c r="B713" s="294" t="s">
        <v>3079</v>
      </c>
      <c r="C713" s="273" t="s">
        <v>184</v>
      </c>
      <c r="D713" s="264">
        <v>868</v>
      </c>
      <c r="E713" s="274" t="s">
        <v>2065</v>
      </c>
      <c r="F713" s="266">
        <v>19</v>
      </c>
      <c r="G713" s="267" t="s">
        <v>3</v>
      </c>
      <c r="H713" s="300">
        <v>25.74</v>
      </c>
      <c r="I713" s="269">
        <f t="shared" si="21"/>
        <v>32.81</v>
      </c>
      <c r="J713" s="1114"/>
      <c r="K713" s="270">
        <f t="shared" si="22"/>
        <v>623.39</v>
      </c>
    </row>
    <row r="714" spans="2:11" ht="51">
      <c r="B714" s="294" t="s">
        <v>3080</v>
      </c>
      <c r="C714" s="273" t="s">
        <v>184</v>
      </c>
      <c r="D714" s="273">
        <v>2633</v>
      </c>
      <c r="E714" s="274" t="s">
        <v>2066</v>
      </c>
      <c r="F714" s="275">
        <v>10</v>
      </c>
      <c r="G714" s="266" t="s">
        <v>2095</v>
      </c>
      <c r="H714" s="286">
        <v>4.21</v>
      </c>
      <c r="I714" s="269">
        <f t="shared" si="21"/>
        <v>5.37</v>
      </c>
      <c r="J714" s="1114"/>
      <c r="K714" s="270">
        <f t="shared" si="22"/>
        <v>53.7</v>
      </c>
    </row>
    <row r="715" spans="2:11" ht="51">
      <c r="B715" s="294" t="s">
        <v>3081</v>
      </c>
      <c r="C715" s="273" t="s">
        <v>182</v>
      </c>
      <c r="D715" s="273">
        <v>171301</v>
      </c>
      <c r="E715" s="274" t="s">
        <v>2067</v>
      </c>
      <c r="F715" s="275">
        <v>6</v>
      </c>
      <c r="G715" s="266" t="s">
        <v>2095</v>
      </c>
      <c r="H715" s="284">
        <v>2.62</v>
      </c>
      <c r="I715" s="269">
        <f t="shared" si="21"/>
        <v>3.34</v>
      </c>
      <c r="J715" s="1114"/>
      <c r="K715" s="270">
        <f t="shared" si="22"/>
        <v>20.04</v>
      </c>
    </row>
    <row r="716" spans="2:11" ht="76.5">
      <c r="B716" s="294" t="s">
        <v>3082</v>
      </c>
      <c r="C716" s="273" t="s">
        <v>1099</v>
      </c>
      <c r="D716" s="273" t="s">
        <v>1912</v>
      </c>
      <c r="E716" s="274" t="s">
        <v>2068</v>
      </c>
      <c r="F716" s="275">
        <v>15</v>
      </c>
      <c r="G716" s="266" t="s">
        <v>2095</v>
      </c>
      <c r="H716" s="301">
        <v>14.13</v>
      </c>
      <c r="I716" s="269">
        <f t="shared" si="21"/>
        <v>18.010000000000002</v>
      </c>
      <c r="J716" s="1114"/>
      <c r="K716" s="270">
        <f t="shared" si="22"/>
        <v>270.14999999999998</v>
      </c>
    </row>
    <row r="717" spans="2:11" ht="76.5">
      <c r="B717" s="294" t="s">
        <v>3083</v>
      </c>
      <c r="C717" s="273" t="s">
        <v>1099</v>
      </c>
      <c r="D717" s="264">
        <v>647</v>
      </c>
      <c r="E717" s="274" t="s">
        <v>2069</v>
      </c>
      <c r="F717" s="266">
        <v>10</v>
      </c>
      <c r="G717" s="267" t="s">
        <v>2095</v>
      </c>
      <c r="H717" s="302">
        <v>12.25</v>
      </c>
      <c r="I717" s="269">
        <f t="shared" si="21"/>
        <v>15.61</v>
      </c>
      <c r="J717" s="1114"/>
      <c r="K717" s="270">
        <f t="shared" si="22"/>
        <v>156.1</v>
      </c>
    </row>
    <row r="718" spans="2:11" ht="76.5">
      <c r="B718" s="294" t="s">
        <v>3084</v>
      </c>
      <c r="C718" s="273" t="s">
        <v>276</v>
      </c>
      <c r="D718" s="273"/>
      <c r="E718" s="274" t="s">
        <v>2070</v>
      </c>
      <c r="F718" s="275">
        <v>3</v>
      </c>
      <c r="G718" s="266" t="s">
        <v>2095</v>
      </c>
      <c r="H718" s="286">
        <v>30.98</v>
      </c>
      <c r="I718" s="269">
        <f t="shared" ref="I718:I740" si="23">H718*(1+$I$16)</f>
        <v>39.49</v>
      </c>
      <c r="J718" s="1114"/>
      <c r="K718" s="270">
        <f t="shared" si="22"/>
        <v>118.47</v>
      </c>
    </row>
    <row r="719" spans="2:11" ht="76.5">
      <c r="B719" s="294" t="s">
        <v>3085</v>
      </c>
      <c r="C719" s="273" t="s">
        <v>276</v>
      </c>
      <c r="D719" s="273"/>
      <c r="E719" s="274" t="s">
        <v>2071</v>
      </c>
      <c r="F719" s="275">
        <v>2</v>
      </c>
      <c r="G719" s="266" t="s">
        <v>2095</v>
      </c>
      <c r="H719" s="284">
        <v>33.299999999999997</v>
      </c>
      <c r="I719" s="269">
        <f t="shared" si="23"/>
        <v>42.44</v>
      </c>
      <c r="J719" s="1114"/>
      <c r="K719" s="270">
        <f t="shared" si="22"/>
        <v>84.88</v>
      </c>
    </row>
    <row r="720" spans="2:11" ht="102">
      <c r="B720" s="294" t="s">
        <v>3086</v>
      </c>
      <c r="C720" s="273" t="s">
        <v>276</v>
      </c>
      <c r="D720" s="273"/>
      <c r="E720" s="274" t="s">
        <v>2072</v>
      </c>
      <c r="F720" s="275">
        <v>1</v>
      </c>
      <c r="G720" s="266" t="s">
        <v>2095</v>
      </c>
      <c r="H720" s="301">
        <v>39</v>
      </c>
      <c r="I720" s="269">
        <f t="shared" si="23"/>
        <v>49.71</v>
      </c>
      <c r="J720" s="1114"/>
      <c r="K720" s="270">
        <f t="shared" si="22"/>
        <v>49.71</v>
      </c>
    </row>
    <row r="721" spans="2:11" ht="51">
      <c r="B721" s="294" t="s">
        <v>3087</v>
      </c>
      <c r="C721" s="273" t="s">
        <v>1099</v>
      </c>
      <c r="D721" s="264">
        <v>1352</v>
      </c>
      <c r="E721" s="274" t="s">
        <v>2073</v>
      </c>
      <c r="F721" s="266">
        <v>3</v>
      </c>
      <c r="G721" s="267" t="s">
        <v>2095</v>
      </c>
      <c r="H721" s="300">
        <v>44.95</v>
      </c>
      <c r="I721" s="269">
        <f t="shared" si="23"/>
        <v>57.29</v>
      </c>
      <c r="J721" s="1114"/>
      <c r="K721" s="270">
        <f t="shared" si="22"/>
        <v>171.87</v>
      </c>
    </row>
    <row r="722" spans="2:11" ht="51">
      <c r="B722" s="294" t="s">
        <v>3088</v>
      </c>
      <c r="C722" s="273" t="s">
        <v>1099</v>
      </c>
      <c r="D722" s="273">
        <v>1348</v>
      </c>
      <c r="E722" s="274" t="s">
        <v>2074</v>
      </c>
      <c r="F722" s="275">
        <v>2</v>
      </c>
      <c r="G722" s="266" t="s">
        <v>2095</v>
      </c>
      <c r="H722" s="286">
        <v>28.5</v>
      </c>
      <c r="I722" s="269">
        <f t="shared" si="23"/>
        <v>36.33</v>
      </c>
      <c r="J722" s="1114"/>
      <c r="K722" s="270">
        <f t="shared" si="22"/>
        <v>72.66</v>
      </c>
    </row>
    <row r="723" spans="2:11">
      <c r="B723" s="294" t="s">
        <v>3089</v>
      </c>
      <c r="C723" s="273" t="s">
        <v>1099</v>
      </c>
      <c r="D723" s="273">
        <v>1299</v>
      </c>
      <c r="E723" s="274" t="s">
        <v>2075</v>
      </c>
      <c r="F723" s="275">
        <v>6</v>
      </c>
      <c r="G723" s="266" t="s">
        <v>2095</v>
      </c>
      <c r="H723" s="301">
        <v>5.99</v>
      </c>
      <c r="I723" s="269">
        <f t="shared" si="23"/>
        <v>7.63</v>
      </c>
      <c r="J723" s="1114"/>
      <c r="K723" s="270">
        <f t="shared" si="22"/>
        <v>45.78</v>
      </c>
    </row>
    <row r="724" spans="2:11">
      <c r="B724" s="294" t="s">
        <v>3090</v>
      </c>
      <c r="C724" s="273" t="s">
        <v>1099</v>
      </c>
      <c r="D724" s="264">
        <v>6760</v>
      </c>
      <c r="E724" s="274" t="s">
        <v>2076</v>
      </c>
      <c r="F724" s="266">
        <v>4</v>
      </c>
      <c r="G724" s="267" t="s">
        <v>2095</v>
      </c>
      <c r="H724" s="300">
        <v>5.65</v>
      </c>
      <c r="I724" s="269">
        <f t="shared" si="23"/>
        <v>7.2</v>
      </c>
      <c r="J724" s="1114"/>
      <c r="K724" s="270">
        <f t="shared" si="22"/>
        <v>28.8</v>
      </c>
    </row>
    <row r="725" spans="2:11">
      <c r="B725" s="294" t="s">
        <v>3091</v>
      </c>
      <c r="C725" s="273" t="s">
        <v>182</v>
      </c>
      <c r="D725" s="273">
        <v>171130</v>
      </c>
      <c r="E725" s="274" t="s">
        <v>2077</v>
      </c>
      <c r="F725" s="275">
        <v>12</v>
      </c>
      <c r="G725" s="266" t="s">
        <v>2095</v>
      </c>
      <c r="H725" s="286">
        <v>14.58</v>
      </c>
      <c r="I725" s="269">
        <f t="shared" si="23"/>
        <v>18.579999999999998</v>
      </c>
      <c r="J725" s="1114"/>
      <c r="K725" s="270">
        <f t="shared" si="22"/>
        <v>222.96</v>
      </c>
    </row>
    <row r="726" spans="2:11">
      <c r="B726" s="294" t="s">
        <v>3092</v>
      </c>
      <c r="C726" s="273" t="s">
        <v>182</v>
      </c>
      <c r="D726" s="273">
        <v>171129</v>
      </c>
      <c r="E726" s="274" t="s">
        <v>2078</v>
      </c>
      <c r="F726" s="275">
        <v>8</v>
      </c>
      <c r="G726" s="266" t="s">
        <v>2095</v>
      </c>
      <c r="H726" s="284">
        <v>6.1</v>
      </c>
      <c r="I726" s="269">
        <f t="shared" si="23"/>
        <v>7.78</v>
      </c>
      <c r="J726" s="1114"/>
      <c r="K726" s="270">
        <f t="shared" si="22"/>
        <v>62.24</v>
      </c>
    </row>
    <row r="727" spans="2:11" ht="51">
      <c r="B727" s="294" t="s">
        <v>3093</v>
      </c>
      <c r="C727" s="273" t="s">
        <v>1099</v>
      </c>
      <c r="D727" s="273">
        <v>1909</v>
      </c>
      <c r="E727" s="274" t="s">
        <v>2079</v>
      </c>
      <c r="F727" s="275">
        <v>3</v>
      </c>
      <c r="G727" s="266" t="s">
        <v>2095</v>
      </c>
      <c r="H727" s="301">
        <v>30</v>
      </c>
      <c r="I727" s="269">
        <f t="shared" si="23"/>
        <v>38.24</v>
      </c>
      <c r="J727" s="1114"/>
      <c r="K727" s="270">
        <f t="shared" si="22"/>
        <v>114.72</v>
      </c>
    </row>
    <row r="728" spans="2:11" ht="51">
      <c r="B728" s="294" t="s">
        <v>3094</v>
      </c>
      <c r="C728" s="273" t="s">
        <v>1099</v>
      </c>
      <c r="D728" s="264">
        <v>1908</v>
      </c>
      <c r="E728" s="274" t="s">
        <v>2080</v>
      </c>
      <c r="F728" s="266">
        <v>2</v>
      </c>
      <c r="G728" s="267" t="s">
        <v>1093</v>
      </c>
      <c r="H728" s="302">
        <v>16.37</v>
      </c>
      <c r="I728" s="269">
        <f t="shared" si="23"/>
        <v>20.87</v>
      </c>
      <c r="J728" s="1114"/>
      <c r="K728" s="270">
        <f t="shared" si="22"/>
        <v>41.74</v>
      </c>
    </row>
    <row r="729" spans="2:11">
      <c r="B729" s="294" t="s">
        <v>3095</v>
      </c>
      <c r="C729" s="273"/>
      <c r="D729" s="273"/>
      <c r="E729" s="274" t="s">
        <v>2081</v>
      </c>
      <c r="F729" s="275">
        <v>5</v>
      </c>
      <c r="G729" s="266" t="s">
        <v>2095</v>
      </c>
      <c r="H729" s="286">
        <v>89.9</v>
      </c>
      <c r="I729" s="269">
        <f t="shared" si="23"/>
        <v>114.59</v>
      </c>
      <c r="J729" s="1114"/>
      <c r="K729" s="270">
        <f t="shared" si="22"/>
        <v>572.95000000000005</v>
      </c>
    </row>
    <row r="730" spans="2:11">
      <c r="B730" s="294" t="s">
        <v>3096</v>
      </c>
      <c r="C730" s="273" t="s">
        <v>184</v>
      </c>
      <c r="D730" s="273">
        <v>400</v>
      </c>
      <c r="E730" s="274" t="s">
        <v>2082</v>
      </c>
      <c r="F730" s="275">
        <v>30</v>
      </c>
      <c r="G730" s="266" t="s">
        <v>2095</v>
      </c>
      <c r="H730" s="284">
        <v>2.0099999999999998</v>
      </c>
      <c r="I730" s="269">
        <f t="shared" si="23"/>
        <v>2.56</v>
      </c>
      <c r="J730" s="1114"/>
      <c r="K730" s="270">
        <f t="shared" si="22"/>
        <v>76.8</v>
      </c>
    </row>
    <row r="731" spans="2:11">
      <c r="B731" s="294" t="s">
        <v>3097</v>
      </c>
      <c r="C731" s="273" t="s">
        <v>184</v>
      </c>
      <c r="D731" s="273">
        <v>1014</v>
      </c>
      <c r="E731" s="274" t="s">
        <v>2083</v>
      </c>
      <c r="F731" s="275">
        <v>140</v>
      </c>
      <c r="G731" s="266" t="s">
        <v>3</v>
      </c>
      <c r="H731" s="301">
        <v>2.29</v>
      </c>
      <c r="I731" s="269">
        <f t="shared" si="23"/>
        <v>2.92</v>
      </c>
      <c r="J731" s="1114"/>
      <c r="K731" s="270">
        <f t="shared" si="22"/>
        <v>408.8</v>
      </c>
    </row>
    <row r="732" spans="2:11">
      <c r="B732" s="294" t="s">
        <v>3098</v>
      </c>
      <c r="C732" s="273" t="s">
        <v>184</v>
      </c>
      <c r="D732" s="264">
        <v>1014</v>
      </c>
      <c r="E732" s="274" t="s">
        <v>2084</v>
      </c>
      <c r="F732" s="266">
        <v>20</v>
      </c>
      <c r="G732" s="267" t="s">
        <v>3</v>
      </c>
      <c r="H732" s="300">
        <v>2.29</v>
      </c>
      <c r="I732" s="269">
        <f t="shared" si="23"/>
        <v>2.92</v>
      </c>
      <c r="J732" s="1114"/>
      <c r="K732" s="270">
        <f t="shared" si="22"/>
        <v>58.4</v>
      </c>
    </row>
    <row r="733" spans="2:11">
      <c r="B733" s="294" t="s">
        <v>3099</v>
      </c>
      <c r="C733" s="273" t="s">
        <v>184</v>
      </c>
      <c r="D733" s="273">
        <v>1014</v>
      </c>
      <c r="E733" s="274" t="s">
        <v>2085</v>
      </c>
      <c r="F733" s="275">
        <v>40</v>
      </c>
      <c r="G733" s="266" t="s">
        <v>3</v>
      </c>
      <c r="H733" s="286">
        <v>2.29</v>
      </c>
      <c r="I733" s="269">
        <f t="shared" si="23"/>
        <v>2.92</v>
      </c>
      <c r="J733" s="1114"/>
      <c r="K733" s="270">
        <f t="shared" si="22"/>
        <v>116.8</v>
      </c>
    </row>
    <row r="734" spans="2:11">
      <c r="B734" s="294" t="s">
        <v>3100</v>
      </c>
      <c r="C734" s="273" t="s">
        <v>184</v>
      </c>
      <c r="D734" s="273">
        <v>981</v>
      </c>
      <c r="E734" s="274" t="s">
        <v>2086</v>
      </c>
      <c r="F734" s="275">
        <v>20</v>
      </c>
      <c r="G734" s="266" t="s">
        <v>3</v>
      </c>
      <c r="H734" s="301">
        <v>3.8</v>
      </c>
      <c r="I734" s="269">
        <f t="shared" si="23"/>
        <v>4.84</v>
      </c>
      <c r="J734" s="1114"/>
      <c r="K734" s="270">
        <f t="shared" si="22"/>
        <v>96.8</v>
      </c>
    </row>
    <row r="735" spans="2:11">
      <c r="B735" s="294" t="s">
        <v>3101</v>
      </c>
      <c r="C735" s="273" t="s">
        <v>184</v>
      </c>
      <c r="D735" s="273">
        <v>981</v>
      </c>
      <c r="E735" s="274" t="s">
        <v>2087</v>
      </c>
      <c r="F735" s="275">
        <v>10</v>
      </c>
      <c r="G735" s="266" t="s">
        <v>3</v>
      </c>
      <c r="H735" s="301">
        <v>3.8</v>
      </c>
      <c r="I735" s="269">
        <f t="shared" si="23"/>
        <v>4.84</v>
      </c>
      <c r="J735" s="1114"/>
      <c r="K735" s="270">
        <f t="shared" si="22"/>
        <v>48.4</v>
      </c>
    </row>
    <row r="736" spans="2:11" ht="51">
      <c r="B736" s="294" t="s">
        <v>3102</v>
      </c>
      <c r="C736" s="273" t="s">
        <v>184</v>
      </c>
      <c r="D736" s="264">
        <v>12038</v>
      </c>
      <c r="E736" s="274" t="s">
        <v>2088</v>
      </c>
      <c r="F736" s="266">
        <v>1</v>
      </c>
      <c r="G736" s="267" t="s">
        <v>1093</v>
      </c>
      <c r="H736" s="300">
        <v>423.92</v>
      </c>
      <c r="I736" s="269">
        <f t="shared" si="23"/>
        <v>540.33000000000004</v>
      </c>
      <c r="J736" s="1114"/>
      <c r="K736" s="270">
        <f t="shared" si="22"/>
        <v>540.33000000000004</v>
      </c>
    </row>
    <row r="737" spans="2:13">
      <c r="B737" s="294" t="s">
        <v>3103</v>
      </c>
      <c r="C737" s="273" t="s">
        <v>1099</v>
      </c>
      <c r="D737" s="273">
        <v>3600</v>
      </c>
      <c r="E737" s="274" t="s">
        <v>2089</v>
      </c>
      <c r="F737" s="275">
        <v>3</v>
      </c>
      <c r="G737" s="266" t="s">
        <v>1093</v>
      </c>
      <c r="H737" s="286">
        <v>9.1999999999999993</v>
      </c>
      <c r="I737" s="269">
        <f t="shared" si="23"/>
        <v>11.73</v>
      </c>
      <c r="J737" s="1114"/>
      <c r="K737" s="270">
        <f t="shared" si="22"/>
        <v>35.19</v>
      </c>
    </row>
    <row r="738" spans="2:13">
      <c r="B738" s="294" t="s">
        <v>3104</v>
      </c>
      <c r="C738" s="273" t="s">
        <v>1099</v>
      </c>
      <c r="D738" s="273">
        <v>3605</v>
      </c>
      <c r="E738" s="274" t="s">
        <v>2090</v>
      </c>
      <c r="F738" s="275">
        <v>1</v>
      </c>
      <c r="G738" s="266" t="s">
        <v>1093</v>
      </c>
      <c r="H738" s="284">
        <v>51.5</v>
      </c>
      <c r="I738" s="269">
        <f t="shared" si="23"/>
        <v>65.64</v>
      </c>
      <c r="J738" s="1114"/>
      <c r="K738" s="270">
        <f t="shared" si="22"/>
        <v>65.64</v>
      </c>
    </row>
    <row r="739" spans="2:13">
      <c r="B739" s="294" t="s">
        <v>3105</v>
      </c>
      <c r="C739" s="273" t="s">
        <v>1099</v>
      </c>
      <c r="D739" s="273">
        <v>3688</v>
      </c>
      <c r="E739" s="274" t="s">
        <v>2091</v>
      </c>
      <c r="F739" s="275">
        <v>1</v>
      </c>
      <c r="G739" s="266" t="s">
        <v>1093</v>
      </c>
      <c r="H739" s="301">
        <v>51.5</v>
      </c>
      <c r="I739" s="269">
        <f t="shared" si="23"/>
        <v>65.64</v>
      </c>
      <c r="J739" s="1114"/>
      <c r="K739" s="270">
        <f t="shared" si="22"/>
        <v>65.64</v>
      </c>
    </row>
    <row r="740" spans="2:13">
      <c r="B740" s="294" t="s">
        <v>3106</v>
      </c>
      <c r="C740" s="273" t="s">
        <v>1099</v>
      </c>
      <c r="D740" s="264">
        <v>3694</v>
      </c>
      <c r="E740" s="274" t="s">
        <v>2092</v>
      </c>
      <c r="F740" s="266">
        <v>1</v>
      </c>
      <c r="G740" s="267" t="s">
        <v>1093</v>
      </c>
      <c r="H740" s="302">
        <v>26</v>
      </c>
      <c r="I740" s="269">
        <f t="shared" si="23"/>
        <v>33.14</v>
      </c>
      <c r="J740" s="1114"/>
      <c r="K740" s="270">
        <f t="shared" si="22"/>
        <v>33.14</v>
      </c>
    </row>
    <row r="741" spans="2:13" s="993" customFormat="1" ht="24" customHeight="1">
      <c r="B741" s="1534" t="s">
        <v>356</v>
      </c>
      <c r="C741" s="1535"/>
      <c r="D741" s="1535"/>
      <c r="E741" s="1535"/>
      <c r="F741" s="1535"/>
      <c r="G741" s="1535"/>
      <c r="H741" s="1535"/>
      <c r="I741" s="1536"/>
      <c r="J741" s="992"/>
      <c r="K741" s="1001">
        <f>SUM(K25:K740)</f>
        <v>6497760.4699999997</v>
      </c>
      <c r="L741" s="261"/>
      <c r="M741" s="1453"/>
    </row>
    <row r="742" spans="2:13" ht="50.45" customHeight="1">
      <c r="B742" s="1034">
        <v>3</v>
      </c>
      <c r="C742" s="1030"/>
      <c r="D742" s="479"/>
      <c r="E742" s="305" t="s">
        <v>3484</v>
      </c>
      <c r="F742" s="983"/>
      <c r="G742" s="983"/>
      <c r="H742" s="983"/>
      <c r="I742" s="983"/>
      <c r="J742" s="983"/>
      <c r="K742" s="984"/>
      <c r="L742" s="261"/>
      <c r="M742" s="1453"/>
    </row>
    <row r="743" spans="2:13" ht="24.95" customHeight="1">
      <c r="B743" s="262" t="s">
        <v>9</v>
      </c>
      <c r="C743" s="273" t="s">
        <v>184</v>
      </c>
      <c r="D743" s="271" t="s">
        <v>1005</v>
      </c>
      <c r="E743" s="274" t="s">
        <v>214</v>
      </c>
      <c r="F743" s="275">
        <f>'MC-PAV e DREN SUPER'!I126</f>
        <v>129.61000000000001</v>
      </c>
      <c r="G743" s="267" t="s">
        <v>0</v>
      </c>
      <c r="H743" s="276">
        <v>184.86</v>
      </c>
      <c r="I743" s="269">
        <f>H743*(1+$I$16)</f>
        <v>235.62</v>
      </c>
      <c r="J743" s="1114"/>
      <c r="K743" s="270">
        <f>F743*I743</f>
        <v>30538.71</v>
      </c>
      <c r="L743" s="261"/>
      <c r="M743" s="1453"/>
    </row>
    <row r="744" spans="2:13" ht="76.5">
      <c r="B744" s="262" t="s">
        <v>26</v>
      </c>
      <c r="C744" s="273" t="s">
        <v>184</v>
      </c>
      <c r="D744" s="264">
        <v>100981</v>
      </c>
      <c r="E744" s="274" t="s">
        <v>3474</v>
      </c>
      <c r="F744" s="266">
        <f>'MC-PAV e DREN SUPER'!R126</f>
        <v>663.15</v>
      </c>
      <c r="G744" s="267" t="s">
        <v>0</v>
      </c>
      <c r="H744" s="286">
        <v>9.11</v>
      </c>
      <c r="I744" s="269">
        <f>H744*(1+$I$16)</f>
        <v>11.61</v>
      </c>
      <c r="J744" s="1114"/>
      <c r="K744" s="270">
        <f>F744*I744</f>
        <v>7699.17</v>
      </c>
      <c r="L744" s="261"/>
      <c r="M744" s="261"/>
    </row>
    <row r="745" spans="2:13" ht="45" customHeight="1">
      <c r="B745" s="262" t="s">
        <v>63</v>
      </c>
      <c r="C745" s="277" t="s">
        <v>184</v>
      </c>
      <c r="D745" s="264">
        <v>97914</v>
      </c>
      <c r="E745" s="274" t="s">
        <v>597</v>
      </c>
      <c r="F745" s="266">
        <f>'MC-PAV e DREN SUPER'!S126</f>
        <v>13276.25</v>
      </c>
      <c r="G745" s="267" t="s">
        <v>221</v>
      </c>
      <c r="H745" s="284">
        <v>2.89</v>
      </c>
      <c r="I745" s="269">
        <f>H745*(1+$I$16)</f>
        <v>3.68</v>
      </c>
      <c r="J745" s="1114"/>
      <c r="K745" s="270">
        <f>F745*I745</f>
        <v>48856.6</v>
      </c>
      <c r="L745" s="1453"/>
      <c r="M745" s="1453"/>
    </row>
    <row r="746" spans="2:13" ht="27.95" customHeight="1">
      <c r="B746" s="1534" t="s">
        <v>3752</v>
      </c>
      <c r="C746" s="1535"/>
      <c r="D746" s="1535"/>
      <c r="E746" s="1535"/>
      <c r="F746" s="1535"/>
      <c r="G746" s="1535"/>
      <c r="H746" s="1535"/>
      <c r="I746" s="1536"/>
      <c r="J746" s="1387"/>
      <c r="K746" s="290">
        <f>SUM(K743:K745)</f>
        <v>87094.48</v>
      </c>
      <c r="L746" s="1453"/>
      <c r="M746" s="1453"/>
    </row>
    <row r="747" spans="2:13" ht="27.95" customHeight="1">
      <c r="B747" s="1034">
        <v>4</v>
      </c>
      <c r="C747" s="476"/>
      <c r="D747" s="476"/>
      <c r="E747" s="305" t="s">
        <v>620</v>
      </c>
      <c r="F747" s="1527"/>
      <c r="G747" s="1527"/>
      <c r="H747" s="1527"/>
      <c r="I747" s="1527"/>
      <c r="J747" s="1527"/>
      <c r="K747" s="1528"/>
      <c r="L747" s="261"/>
      <c r="M747" s="261"/>
    </row>
    <row r="748" spans="2:13" ht="45" customHeight="1">
      <c r="B748" s="278" t="s">
        <v>29</v>
      </c>
      <c r="C748" s="273" t="s">
        <v>184</v>
      </c>
      <c r="D748" s="264">
        <v>94304</v>
      </c>
      <c r="E748" s="274" t="s">
        <v>3475</v>
      </c>
      <c r="F748" s="275">
        <f>'MC-PAV e DREN SUPER'!J126</f>
        <v>90.74</v>
      </c>
      <c r="G748" s="267" t="s">
        <v>0</v>
      </c>
      <c r="H748" s="286">
        <v>73.88</v>
      </c>
      <c r="I748" s="269">
        <f t="shared" ref="I748:I754" si="24">H748*(1+$I$16)</f>
        <v>94.17</v>
      </c>
      <c r="J748" s="1114"/>
      <c r="K748" s="270">
        <f t="shared" ref="K748:K754" si="25">F748*I748</f>
        <v>8544.99</v>
      </c>
      <c r="L748" s="261"/>
      <c r="M748" s="261"/>
    </row>
    <row r="749" spans="2:13" ht="45" customHeight="1">
      <c r="B749" s="278" t="s">
        <v>30</v>
      </c>
      <c r="C749" s="273" t="s">
        <v>184</v>
      </c>
      <c r="D749" s="264">
        <v>95877</v>
      </c>
      <c r="E749" s="274" t="s">
        <v>599</v>
      </c>
      <c r="F749" s="275">
        <f>'MC-PAV e DREN SUPER'!K126</f>
        <v>3538.86</v>
      </c>
      <c r="G749" s="267" t="s">
        <v>602</v>
      </c>
      <c r="H749" s="286">
        <v>1.83</v>
      </c>
      <c r="I749" s="269">
        <f t="shared" si="24"/>
        <v>2.33</v>
      </c>
      <c r="J749" s="1114"/>
      <c r="K749" s="270">
        <f t="shared" si="25"/>
        <v>8245.5400000000009</v>
      </c>
      <c r="L749" s="261"/>
      <c r="M749" s="261"/>
    </row>
    <row r="750" spans="2:13" ht="45" customHeight="1">
      <c r="B750" s="278" t="s">
        <v>31</v>
      </c>
      <c r="C750" s="264" t="s">
        <v>184</v>
      </c>
      <c r="D750" s="271">
        <v>93590</v>
      </c>
      <c r="E750" s="274" t="s">
        <v>600</v>
      </c>
      <c r="F750" s="275">
        <f>'MC-PAV e DREN SUPER'!L126</f>
        <v>861.12</v>
      </c>
      <c r="G750" s="267" t="s">
        <v>602</v>
      </c>
      <c r="H750" s="284">
        <v>0.96</v>
      </c>
      <c r="I750" s="269">
        <f t="shared" si="24"/>
        <v>1.22</v>
      </c>
      <c r="J750" s="1114"/>
      <c r="K750" s="270">
        <f t="shared" si="25"/>
        <v>1050.57</v>
      </c>
      <c r="L750" s="261"/>
      <c r="M750" s="261"/>
    </row>
    <row r="751" spans="2:13" ht="45" customHeight="1">
      <c r="B751" s="278" t="s">
        <v>292</v>
      </c>
      <c r="C751" s="273" t="s">
        <v>184</v>
      </c>
      <c r="D751" s="271" t="s">
        <v>27</v>
      </c>
      <c r="E751" s="274" t="s">
        <v>202</v>
      </c>
      <c r="F751" s="275">
        <f>'MC-PAV e DREN SUPER'!M126</f>
        <v>10105.280000000001</v>
      </c>
      <c r="G751" s="267" t="s">
        <v>2</v>
      </c>
      <c r="H751" s="276">
        <v>88.29</v>
      </c>
      <c r="I751" s="269">
        <f t="shared" si="24"/>
        <v>112.53</v>
      </c>
      <c r="J751" s="1114"/>
      <c r="K751" s="270">
        <f t="shared" si="25"/>
        <v>1137147.1599999999</v>
      </c>
      <c r="L751" s="261"/>
      <c r="M751" s="261"/>
    </row>
    <row r="752" spans="2:13" ht="45" customHeight="1">
      <c r="B752" s="278" t="s">
        <v>386</v>
      </c>
      <c r="C752" s="273" t="s">
        <v>184</v>
      </c>
      <c r="D752" s="271" t="s">
        <v>147</v>
      </c>
      <c r="E752" s="274" t="s">
        <v>148</v>
      </c>
      <c r="F752" s="275">
        <f>'MC-PAV e DREN SUPER'!O126</f>
        <v>533.54</v>
      </c>
      <c r="G752" s="266" t="s">
        <v>0</v>
      </c>
      <c r="H752" s="520">
        <v>15.9</v>
      </c>
      <c r="I752" s="269">
        <f t="shared" si="24"/>
        <v>20.27</v>
      </c>
      <c r="J752" s="1114"/>
      <c r="K752" s="270">
        <f t="shared" si="25"/>
        <v>10814.86</v>
      </c>
      <c r="L752" s="261"/>
      <c r="M752" s="261"/>
    </row>
    <row r="753" spans="2:11" ht="45" customHeight="1">
      <c r="B753" s="278" t="s">
        <v>394</v>
      </c>
      <c r="C753" s="273" t="s">
        <v>184</v>
      </c>
      <c r="D753" s="271" t="s">
        <v>61</v>
      </c>
      <c r="E753" s="274" t="s">
        <v>62</v>
      </c>
      <c r="F753" s="275">
        <f>'MC-PAV e DREN SUPER'!Q126</f>
        <v>12407.19</v>
      </c>
      <c r="G753" s="264" t="s">
        <v>3</v>
      </c>
      <c r="H753" s="276">
        <v>37.72</v>
      </c>
      <c r="I753" s="269">
        <f t="shared" si="24"/>
        <v>48.08</v>
      </c>
      <c r="J753" s="1114"/>
      <c r="K753" s="270">
        <f t="shared" si="25"/>
        <v>596537.69999999995</v>
      </c>
    </row>
    <row r="754" spans="2:11" ht="102">
      <c r="B754" s="278" t="s">
        <v>2626</v>
      </c>
      <c r="C754" s="273" t="s">
        <v>184</v>
      </c>
      <c r="D754" s="279" t="s">
        <v>936</v>
      </c>
      <c r="E754" s="280" t="s">
        <v>3476</v>
      </c>
      <c r="F754" s="275">
        <f>'MC-PAV e DREN SUPER'!P126</f>
        <v>12407.19</v>
      </c>
      <c r="G754" s="264" t="s">
        <v>3</v>
      </c>
      <c r="H754" s="269">
        <v>40.18</v>
      </c>
      <c r="I754" s="269">
        <f t="shared" si="24"/>
        <v>51.21</v>
      </c>
      <c r="J754" s="1114"/>
      <c r="K754" s="270">
        <f t="shared" si="25"/>
        <v>635372.19999999995</v>
      </c>
    </row>
    <row r="755" spans="2:11" ht="51">
      <c r="B755" s="278" t="s">
        <v>2630</v>
      </c>
      <c r="C755" s="273" t="s">
        <v>184</v>
      </c>
      <c r="D755" s="279" t="s">
        <v>3690</v>
      </c>
      <c r="E755" s="280" t="s">
        <v>3691</v>
      </c>
      <c r="F755" s="275">
        <f>'MC-PAV e DREN SUPER'!N126</f>
        <v>1532.75</v>
      </c>
      <c r="G755" s="264" t="s">
        <v>2</v>
      </c>
      <c r="H755" s="269">
        <v>159.03</v>
      </c>
      <c r="I755" s="269">
        <f>H755*(1+$I$16)</f>
        <v>202.7</v>
      </c>
      <c r="J755" s="1114"/>
      <c r="K755" s="270">
        <f>F755*I755</f>
        <v>310688.43</v>
      </c>
    </row>
    <row r="756" spans="2:11" ht="27.95" customHeight="1">
      <c r="B756" s="1524" t="s">
        <v>12</v>
      </c>
      <c r="C756" s="1525"/>
      <c r="D756" s="1525"/>
      <c r="E756" s="1525"/>
      <c r="F756" s="1525"/>
      <c r="G756" s="1525"/>
      <c r="H756" s="1525"/>
      <c r="I756" s="1525"/>
      <c r="J756" s="982"/>
      <c r="K756" s="290">
        <f>SUM(K748:K755)</f>
        <v>2708401.45</v>
      </c>
    </row>
    <row r="757" spans="2:11" ht="27.95" customHeight="1">
      <c r="B757" s="1035">
        <v>5</v>
      </c>
      <c r="C757" s="304"/>
      <c r="D757" s="304"/>
      <c r="E757" s="305" t="s">
        <v>619</v>
      </c>
      <c r="F757" s="1527"/>
      <c r="G757" s="1527"/>
      <c r="H757" s="1527"/>
      <c r="I757" s="1527"/>
      <c r="J757" s="1527"/>
      <c r="K757" s="1528"/>
    </row>
    <row r="758" spans="2:11" ht="24.95" customHeight="1">
      <c r="B758" s="285" t="s">
        <v>13</v>
      </c>
      <c r="C758" s="287" t="s">
        <v>184</v>
      </c>
      <c r="D758" s="282">
        <v>7745</v>
      </c>
      <c r="E758" s="283" t="s">
        <v>536</v>
      </c>
      <c r="F758" s="266">
        <f>'MC-DRE'!E58</f>
        <v>405</v>
      </c>
      <c r="G758" s="264" t="s">
        <v>275</v>
      </c>
      <c r="H758" s="284">
        <v>108.52</v>
      </c>
      <c r="I758" s="269">
        <f t="shared" ref="I758:I810" si="26">H758*(1+$I$16)</f>
        <v>138.32</v>
      </c>
      <c r="J758" s="1114"/>
      <c r="K758" s="270">
        <f t="shared" ref="K758:K810" si="27">F758*I758</f>
        <v>56019.6</v>
      </c>
    </row>
    <row r="759" spans="2:11" ht="102">
      <c r="B759" s="285" t="s">
        <v>142</v>
      </c>
      <c r="C759" s="273" t="s">
        <v>184</v>
      </c>
      <c r="D759" s="271" t="s">
        <v>940</v>
      </c>
      <c r="E759" s="274" t="s">
        <v>3477</v>
      </c>
      <c r="F759" s="266">
        <f>'MC-DRE'!H58</f>
        <v>173.36</v>
      </c>
      <c r="G759" s="267" t="s">
        <v>0</v>
      </c>
      <c r="H759" s="284">
        <v>13.5</v>
      </c>
      <c r="I759" s="269">
        <f t="shared" si="26"/>
        <v>17.21</v>
      </c>
      <c r="J759" s="1114"/>
      <c r="K759" s="270">
        <f t="shared" si="27"/>
        <v>2983.53</v>
      </c>
    </row>
    <row r="760" spans="2:11" ht="102">
      <c r="B760" s="285" t="s">
        <v>143</v>
      </c>
      <c r="C760" s="273" t="s">
        <v>184</v>
      </c>
      <c r="D760" s="264">
        <v>100977</v>
      </c>
      <c r="E760" s="274" t="s">
        <v>3478</v>
      </c>
      <c r="F760" s="266">
        <f>'MC-DRE'!I58</f>
        <v>38.31</v>
      </c>
      <c r="G760" s="267" t="s">
        <v>0</v>
      </c>
      <c r="H760" s="286">
        <v>7.48</v>
      </c>
      <c r="I760" s="269">
        <f t="shared" si="26"/>
        <v>9.5299999999999994</v>
      </c>
      <c r="J760" s="1114"/>
      <c r="K760" s="270">
        <f t="shared" si="27"/>
        <v>365.09</v>
      </c>
    </row>
    <row r="761" spans="2:11" ht="45" customHeight="1">
      <c r="B761" s="285" t="s">
        <v>410</v>
      </c>
      <c r="C761" s="277" t="s">
        <v>184</v>
      </c>
      <c r="D761" s="264">
        <v>97914</v>
      </c>
      <c r="E761" s="274" t="s">
        <v>597</v>
      </c>
      <c r="F761" s="266">
        <f>'MC-DRE'!J58</f>
        <v>737.48</v>
      </c>
      <c r="G761" s="267" t="s">
        <v>221</v>
      </c>
      <c r="H761" s="284">
        <v>2.89</v>
      </c>
      <c r="I761" s="269">
        <f t="shared" si="26"/>
        <v>3.68</v>
      </c>
      <c r="J761" s="1114"/>
      <c r="K761" s="270">
        <f t="shared" si="27"/>
        <v>2713.93</v>
      </c>
    </row>
    <row r="762" spans="2:11" ht="51">
      <c r="B762" s="285" t="s">
        <v>593</v>
      </c>
      <c r="C762" s="273" t="s">
        <v>184</v>
      </c>
      <c r="D762" s="264">
        <v>101618</v>
      </c>
      <c r="E762" s="274" t="s">
        <v>3479</v>
      </c>
      <c r="F762" s="266">
        <f>'MC-DRE'!L58</f>
        <v>298.89999999999998</v>
      </c>
      <c r="G762" s="266" t="s">
        <v>0</v>
      </c>
      <c r="H762" s="286">
        <v>213.46</v>
      </c>
      <c r="I762" s="269">
        <f t="shared" si="26"/>
        <v>272.08</v>
      </c>
      <c r="J762" s="1114"/>
      <c r="K762" s="270">
        <f t="shared" si="27"/>
        <v>81324.710000000006</v>
      </c>
    </row>
    <row r="763" spans="2:11" ht="76.5">
      <c r="B763" s="285" t="s">
        <v>594</v>
      </c>
      <c r="C763" s="273" t="s">
        <v>184</v>
      </c>
      <c r="D763" s="264">
        <v>94304</v>
      </c>
      <c r="E763" s="274" t="s">
        <v>3475</v>
      </c>
      <c r="F763" s="266">
        <f>'MC-DRE'!N58</f>
        <v>94.54</v>
      </c>
      <c r="G763" s="267" t="s">
        <v>0</v>
      </c>
      <c r="H763" s="286">
        <v>73.88</v>
      </c>
      <c r="I763" s="269">
        <f t="shared" si="26"/>
        <v>94.17</v>
      </c>
      <c r="J763" s="1114"/>
      <c r="K763" s="270">
        <f t="shared" si="27"/>
        <v>8902.83</v>
      </c>
    </row>
    <row r="764" spans="2:11" ht="51">
      <c r="B764" s="285" t="s">
        <v>595</v>
      </c>
      <c r="C764" s="273" t="s">
        <v>184</v>
      </c>
      <c r="D764" s="264">
        <v>95877</v>
      </c>
      <c r="E764" s="274" t="s">
        <v>599</v>
      </c>
      <c r="F764" s="266">
        <f>'MC-DRE'!P58</f>
        <v>2176.1999999999998</v>
      </c>
      <c r="G764" s="267" t="s">
        <v>602</v>
      </c>
      <c r="H764" s="286">
        <v>1.83</v>
      </c>
      <c r="I764" s="269">
        <f t="shared" si="26"/>
        <v>2.33</v>
      </c>
      <c r="J764" s="1114"/>
      <c r="K764" s="270">
        <f t="shared" si="27"/>
        <v>5070.55</v>
      </c>
    </row>
    <row r="765" spans="2:11" ht="51">
      <c r="B765" s="285" t="s">
        <v>646</v>
      </c>
      <c r="C765" s="264" t="s">
        <v>184</v>
      </c>
      <c r="D765" s="271">
        <v>93590</v>
      </c>
      <c r="E765" s="274" t="s">
        <v>600</v>
      </c>
      <c r="F765" s="266">
        <f>'MC-DRE'!Q58</f>
        <v>529.54</v>
      </c>
      <c r="G765" s="267" t="s">
        <v>602</v>
      </c>
      <c r="H765" s="284">
        <v>0.96</v>
      </c>
      <c r="I765" s="269">
        <f t="shared" si="26"/>
        <v>1.22</v>
      </c>
      <c r="J765" s="1114"/>
      <c r="K765" s="270">
        <f t="shared" si="27"/>
        <v>646.04</v>
      </c>
    </row>
    <row r="766" spans="2:11" ht="45" customHeight="1">
      <c r="B766" s="285" t="s">
        <v>2637</v>
      </c>
      <c r="C766" s="277" t="s">
        <v>184</v>
      </c>
      <c r="D766" s="271" t="s">
        <v>290</v>
      </c>
      <c r="E766" s="274" t="s">
        <v>499</v>
      </c>
      <c r="F766" s="266">
        <f>'MC-DRE'!O58</f>
        <v>40.51</v>
      </c>
      <c r="G766" s="267" t="s">
        <v>0</v>
      </c>
      <c r="H766" s="284">
        <v>17.27</v>
      </c>
      <c r="I766" s="269">
        <f t="shared" si="26"/>
        <v>22.01</v>
      </c>
      <c r="J766" s="1114"/>
      <c r="K766" s="270">
        <f t="shared" si="27"/>
        <v>891.63</v>
      </c>
    </row>
    <row r="767" spans="2:11" ht="45" customHeight="1">
      <c r="B767" s="285" t="s">
        <v>2638</v>
      </c>
      <c r="C767" s="273" t="s">
        <v>184</v>
      </c>
      <c r="D767" s="271" t="s">
        <v>348</v>
      </c>
      <c r="E767" s="274" t="s">
        <v>349</v>
      </c>
      <c r="F767" s="266">
        <f>F758</f>
        <v>405</v>
      </c>
      <c r="G767" s="267" t="s">
        <v>3</v>
      </c>
      <c r="H767" s="284">
        <v>34.590000000000003</v>
      </c>
      <c r="I767" s="269">
        <f t="shared" si="26"/>
        <v>44.09</v>
      </c>
      <c r="J767" s="1114"/>
      <c r="K767" s="270">
        <f t="shared" si="27"/>
        <v>17856.45</v>
      </c>
    </row>
    <row r="768" spans="2:11" ht="24.95" customHeight="1">
      <c r="B768" s="285" t="s">
        <v>142</v>
      </c>
      <c r="C768" s="273" t="s">
        <v>2610</v>
      </c>
      <c r="D768" s="288" t="s">
        <v>947</v>
      </c>
      <c r="E768" s="289" t="s">
        <v>537</v>
      </c>
      <c r="F768" s="266">
        <f>'MC-DRE'!E101</f>
        <v>1054</v>
      </c>
      <c r="G768" s="264" t="s">
        <v>275</v>
      </c>
      <c r="H768" s="284">
        <v>273.52</v>
      </c>
      <c r="I768" s="269">
        <f t="shared" si="26"/>
        <v>348.63</v>
      </c>
      <c r="J768" s="1114"/>
      <c r="K768" s="270">
        <f t="shared" si="27"/>
        <v>367456.02</v>
      </c>
    </row>
    <row r="769" spans="2:11" ht="102">
      <c r="B769" s="285" t="s">
        <v>2911</v>
      </c>
      <c r="C769" s="273" t="s">
        <v>184</v>
      </c>
      <c r="D769" s="271" t="s">
        <v>940</v>
      </c>
      <c r="E769" s="272" t="s">
        <v>3477</v>
      </c>
      <c r="F769" s="266">
        <f>'MC-DRE'!H101</f>
        <v>2078.19</v>
      </c>
      <c r="G769" s="267" t="s">
        <v>0</v>
      </c>
      <c r="H769" s="284">
        <v>13.5</v>
      </c>
      <c r="I769" s="269">
        <f t="shared" si="26"/>
        <v>17.21</v>
      </c>
      <c r="J769" s="1114"/>
      <c r="K769" s="270">
        <f t="shared" si="27"/>
        <v>35765.65</v>
      </c>
    </row>
    <row r="770" spans="2:11" ht="45" customHeight="1">
      <c r="B770" s="285" t="s">
        <v>2912</v>
      </c>
      <c r="C770" s="273" t="s">
        <v>184</v>
      </c>
      <c r="D770" s="264">
        <v>100977</v>
      </c>
      <c r="E770" s="274" t="s">
        <v>3478</v>
      </c>
      <c r="F770" s="266">
        <f>'MC-DRE'!I101</f>
        <v>297.86</v>
      </c>
      <c r="G770" s="267" t="s">
        <v>0</v>
      </c>
      <c r="H770" s="284">
        <v>7.48</v>
      </c>
      <c r="I770" s="269">
        <f t="shared" si="26"/>
        <v>9.5299999999999994</v>
      </c>
      <c r="J770" s="1114"/>
      <c r="K770" s="270">
        <f t="shared" si="27"/>
        <v>2838.61</v>
      </c>
    </row>
    <row r="771" spans="2:11" ht="45" customHeight="1">
      <c r="B771" s="285" t="s">
        <v>2913</v>
      </c>
      <c r="C771" s="277" t="s">
        <v>184</v>
      </c>
      <c r="D771" s="264">
        <v>97914</v>
      </c>
      <c r="E771" s="274" t="s">
        <v>597</v>
      </c>
      <c r="F771" s="266">
        <f>'MC-DRE'!J101</f>
        <v>5733.81</v>
      </c>
      <c r="G771" s="267" t="s">
        <v>221</v>
      </c>
      <c r="H771" s="284">
        <v>2.89</v>
      </c>
      <c r="I771" s="269">
        <f t="shared" si="26"/>
        <v>3.68</v>
      </c>
      <c r="J771" s="1114"/>
      <c r="K771" s="270">
        <f t="shared" si="27"/>
        <v>21100.42</v>
      </c>
    </row>
    <row r="772" spans="2:11" ht="45" customHeight="1">
      <c r="B772" s="285" t="s">
        <v>2914</v>
      </c>
      <c r="C772" s="273" t="s">
        <v>184</v>
      </c>
      <c r="D772" s="264">
        <v>101618</v>
      </c>
      <c r="E772" s="274" t="s">
        <v>3479</v>
      </c>
      <c r="F772" s="266">
        <f>'MC-DRE'!K101</f>
        <v>1285.8800000000001</v>
      </c>
      <c r="G772" s="267" t="s">
        <v>2</v>
      </c>
      <c r="H772" s="286">
        <v>213.46</v>
      </c>
      <c r="I772" s="269">
        <f t="shared" si="26"/>
        <v>272.08</v>
      </c>
      <c r="J772" s="1114"/>
      <c r="K772" s="270">
        <f t="shared" si="27"/>
        <v>349862.23</v>
      </c>
    </row>
    <row r="773" spans="2:11" ht="76.5">
      <c r="B773" s="285" t="s">
        <v>2915</v>
      </c>
      <c r="C773" s="273" t="s">
        <v>184</v>
      </c>
      <c r="D773" s="264">
        <v>94304</v>
      </c>
      <c r="E773" s="274" t="s">
        <v>3475</v>
      </c>
      <c r="F773" s="266">
        <f>'MC-DRE'!N101</f>
        <v>1246.24</v>
      </c>
      <c r="G773" s="266" t="s">
        <v>2</v>
      </c>
      <c r="H773" s="286">
        <v>73.88</v>
      </c>
      <c r="I773" s="269">
        <f t="shared" si="26"/>
        <v>94.17</v>
      </c>
      <c r="J773" s="1114"/>
      <c r="K773" s="270">
        <f t="shared" si="27"/>
        <v>117358.42</v>
      </c>
    </row>
    <row r="774" spans="2:11" ht="45" customHeight="1">
      <c r="B774" s="285" t="s">
        <v>2916</v>
      </c>
      <c r="C774" s="273" t="s">
        <v>184</v>
      </c>
      <c r="D774" s="264">
        <v>95877</v>
      </c>
      <c r="E774" s="274" t="s">
        <v>599</v>
      </c>
      <c r="F774" s="266">
        <f>'MC-DRE'!P101</f>
        <v>48603.360000000001</v>
      </c>
      <c r="G774" s="267" t="s">
        <v>602</v>
      </c>
      <c r="H774" s="286">
        <v>1.83</v>
      </c>
      <c r="I774" s="269">
        <f t="shared" si="26"/>
        <v>2.33</v>
      </c>
      <c r="J774" s="1114"/>
      <c r="K774" s="270">
        <f t="shared" si="27"/>
        <v>113245.83</v>
      </c>
    </row>
    <row r="775" spans="2:11" ht="45" customHeight="1">
      <c r="B775" s="285" t="s">
        <v>2917</v>
      </c>
      <c r="C775" s="264" t="s">
        <v>184</v>
      </c>
      <c r="D775" s="271">
        <v>93590</v>
      </c>
      <c r="E775" s="274" t="s">
        <v>600</v>
      </c>
      <c r="F775" s="266">
        <f>'MC-DRE'!Q101</f>
        <v>11826.82</v>
      </c>
      <c r="G775" s="267" t="s">
        <v>602</v>
      </c>
      <c r="H775" s="284">
        <v>0.96</v>
      </c>
      <c r="I775" s="269">
        <f t="shared" si="26"/>
        <v>1.22</v>
      </c>
      <c r="J775" s="1114"/>
      <c r="K775" s="270">
        <f t="shared" si="27"/>
        <v>14428.72</v>
      </c>
    </row>
    <row r="776" spans="2:11" ht="45" customHeight="1">
      <c r="B776" s="285" t="s">
        <v>2918</v>
      </c>
      <c r="C776" s="277" t="s">
        <v>184</v>
      </c>
      <c r="D776" s="271" t="s">
        <v>290</v>
      </c>
      <c r="E776" s="274" t="s">
        <v>499</v>
      </c>
      <c r="F776" s="266">
        <f>'MC-DRE'!O101</f>
        <v>534.11</v>
      </c>
      <c r="G776" s="267" t="s">
        <v>0</v>
      </c>
      <c r="H776" s="284">
        <v>17.27</v>
      </c>
      <c r="I776" s="269">
        <f t="shared" si="26"/>
        <v>22.01</v>
      </c>
      <c r="J776" s="1114"/>
      <c r="K776" s="270">
        <f t="shared" si="27"/>
        <v>11755.76</v>
      </c>
    </row>
    <row r="777" spans="2:11" ht="45" customHeight="1">
      <c r="B777" s="285" t="s">
        <v>2919</v>
      </c>
      <c r="C777" s="273" t="s">
        <v>184</v>
      </c>
      <c r="D777" s="264">
        <v>101579</v>
      </c>
      <c r="E777" s="274" t="s">
        <v>498</v>
      </c>
      <c r="F777" s="266">
        <f>'MC-DRE'!R101</f>
        <v>4039.38</v>
      </c>
      <c r="G777" s="266" t="s">
        <v>2</v>
      </c>
      <c r="H777" s="284">
        <v>40.6</v>
      </c>
      <c r="I777" s="269">
        <f t="shared" si="26"/>
        <v>51.75</v>
      </c>
      <c r="J777" s="1114"/>
      <c r="K777" s="270">
        <f t="shared" si="27"/>
        <v>209037.92</v>
      </c>
    </row>
    <row r="778" spans="2:11" ht="45" customHeight="1">
      <c r="B778" s="285" t="s">
        <v>2920</v>
      </c>
      <c r="C778" s="277" t="s">
        <v>184</v>
      </c>
      <c r="D778" s="264">
        <v>92824</v>
      </c>
      <c r="E778" s="272" t="s">
        <v>350</v>
      </c>
      <c r="F778" s="266">
        <f>'MC-DRE'!S101</f>
        <v>1054</v>
      </c>
      <c r="G778" s="267" t="s">
        <v>3</v>
      </c>
      <c r="H778" s="284">
        <v>55.37</v>
      </c>
      <c r="I778" s="269">
        <f t="shared" si="26"/>
        <v>70.569999999999993</v>
      </c>
      <c r="J778" s="1114"/>
      <c r="K778" s="270">
        <f t="shared" si="27"/>
        <v>74380.78</v>
      </c>
    </row>
    <row r="779" spans="2:11" ht="24.95" customHeight="1">
      <c r="B779" s="285" t="s">
        <v>143</v>
      </c>
      <c r="C779" s="287" t="s">
        <v>184</v>
      </c>
      <c r="D779" s="288" t="s">
        <v>948</v>
      </c>
      <c r="E779" s="289" t="s">
        <v>538</v>
      </c>
      <c r="F779" s="266">
        <f>'MC-DRE'!E145</f>
        <v>653</v>
      </c>
      <c r="G779" s="264" t="s">
        <v>275</v>
      </c>
      <c r="H779" s="284">
        <v>490.94</v>
      </c>
      <c r="I779" s="269">
        <f t="shared" si="26"/>
        <v>625.75</v>
      </c>
      <c r="J779" s="1114"/>
      <c r="K779" s="270">
        <f t="shared" si="27"/>
        <v>408614.75</v>
      </c>
    </row>
    <row r="780" spans="2:11" ht="102">
      <c r="B780" s="285" t="s">
        <v>2921</v>
      </c>
      <c r="C780" s="273" t="s">
        <v>184</v>
      </c>
      <c r="D780" s="271" t="s">
        <v>940</v>
      </c>
      <c r="E780" s="274" t="s">
        <v>3477</v>
      </c>
      <c r="F780" s="266">
        <f>'MC-DRE'!H145</f>
        <v>1904.04</v>
      </c>
      <c r="G780" s="267" t="s">
        <v>0</v>
      </c>
      <c r="H780" s="284">
        <v>13.5</v>
      </c>
      <c r="I780" s="269">
        <f t="shared" si="26"/>
        <v>17.21</v>
      </c>
      <c r="J780" s="1114"/>
      <c r="K780" s="270">
        <f t="shared" si="27"/>
        <v>32768.53</v>
      </c>
    </row>
    <row r="781" spans="2:11" ht="102">
      <c r="B781" s="285" t="s">
        <v>2922</v>
      </c>
      <c r="C781" s="273" t="s">
        <v>184</v>
      </c>
      <c r="D781" s="264">
        <v>100977</v>
      </c>
      <c r="E781" s="274" t="s">
        <v>3478</v>
      </c>
      <c r="F781" s="266">
        <f>'MC-DRE'!I145</f>
        <v>328.07</v>
      </c>
      <c r="G781" s="267" t="s">
        <v>0</v>
      </c>
      <c r="H781" s="284">
        <v>7.48</v>
      </c>
      <c r="I781" s="269">
        <f t="shared" si="26"/>
        <v>9.5299999999999994</v>
      </c>
      <c r="J781" s="1114"/>
      <c r="K781" s="270">
        <f t="shared" si="27"/>
        <v>3126.51</v>
      </c>
    </row>
    <row r="782" spans="2:11" ht="45" customHeight="1">
      <c r="B782" s="285" t="s">
        <v>2923</v>
      </c>
      <c r="C782" s="277" t="s">
        <v>184</v>
      </c>
      <c r="D782" s="264">
        <v>97914</v>
      </c>
      <c r="E782" s="274" t="s">
        <v>597</v>
      </c>
      <c r="F782" s="266">
        <f>'MC-DRE'!J145</f>
        <v>6315.36</v>
      </c>
      <c r="G782" s="267" t="s">
        <v>221</v>
      </c>
      <c r="H782" s="284">
        <v>2.89</v>
      </c>
      <c r="I782" s="269">
        <f t="shared" si="26"/>
        <v>3.68</v>
      </c>
      <c r="J782" s="1114"/>
      <c r="K782" s="270">
        <f t="shared" si="27"/>
        <v>23240.52</v>
      </c>
    </row>
    <row r="783" spans="2:11" ht="45" customHeight="1">
      <c r="B783" s="285" t="s">
        <v>2924</v>
      </c>
      <c r="C783" s="273" t="s">
        <v>184</v>
      </c>
      <c r="D783" s="264">
        <v>101618</v>
      </c>
      <c r="E783" s="274" t="s">
        <v>3479</v>
      </c>
      <c r="F783" s="266">
        <f>'MC-DRE'!K145</f>
        <v>953.38</v>
      </c>
      <c r="G783" s="267" t="s">
        <v>2</v>
      </c>
      <c r="H783" s="286">
        <v>213.46</v>
      </c>
      <c r="I783" s="269">
        <f t="shared" si="26"/>
        <v>272.08</v>
      </c>
      <c r="J783" s="1114"/>
      <c r="K783" s="270">
        <f t="shared" si="27"/>
        <v>259395.63</v>
      </c>
    </row>
    <row r="784" spans="2:11" ht="45" customHeight="1">
      <c r="B784" s="285" t="s">
        <v>2925</v>
      </c>
      <c r="C784" s="273" t="s">
        <v>184</v>
      </c>
      <c r="D784" s="264">
        <v>94304</v>
      </c>
      <c r="E784" s="274" t="s">
        <v>3475</v>
      </c>
      <c r="F784" s="266">
        <f>'MC-DRE'!N145</f>
        <v>1103.18</v>
      </c>
      <c r="G784" s="266" t="s">
        <v>2</v>
      </c>
      <c r="H784" s="286">
        <v>73.88</v>
      </c>
      <c r="I784" s="269">
        <f t="shared" si="26"/>
        <v>94.17</v>
      </c>
      <c r="J784" s="1114"/>
      <c r="K784" s="270">
        <f t="shared" si="27"/>
        <v>103886.46</v>
      </c>
    </row>
    <row r="785" spans="2:11" ht="45" customHeight="1">
      <c r="B785" s="285" t="s">
        <v>2926</v>
      </c>
      <c r="C785" s="273" t="s">
        <v>184</v>
      </c>
      <c r="D785" s="264">
        <v>95877</v>
      </c>
      <c r="E785" s="274" t="s">
        <v>599</v>
      </c>
      <c r="F785" s="266">
        <f>'MC-DRE'!P145</f>
        <v>43024.02</v>
      </c>
      <c r="G785" s="267" t="s">
        <v>221</v>
      </c>
      <c r="H785" s="286">
        <v>1.83</v>
      </c>
      <c r="I785" s="269">
        <f t="shared" si="26"/>
        <v>2.33</v>
      </c>
      <c r="J785" s="1114"/>
      <c r="K785" s="270">
        <f t="shared" si="27"/>
        <v>100245.97</v>
      </c>
    </row>
    <row r="786" spans="2:11" ht="45" customHeight="1">
      <c r="B786" s="285" t="s">
        <v>2927</v>
      </c>
      <c r="C786" s="264" t="s">
        <v>184</v>
      </c>
      <c r="D786" s="271">
        <v>93590</v>
      </c>
      <c r="E786" s="274" t="s">
        <v>600</v>
      </c>
      <c r="F786" s="266">
        <f>'MC-DRE'!Q145</f>
        <v>10469.18</v>
      </c>
      <c r="G786" s="267" t="s">
        <v>221</v>
      </c>
      <c r="H786" s="284">
        <v>0.96</v>
      </c>
      <c r="I786" s="269">
        <f t="shared" si="26"/>
        <v>1.22</v>
      </c>
      <c r="J786" s="1114"/>
      <c r="K786" s="270">
        <f t="shared" si="27"/>
        <v>12772.4</v>
      </c>
    </row>
    <row r="787" spans="2:11" ht="45" customHeight="1">
      <c r="B787" s="285" t="s">
        <v>2928</v>
      </c>
      <c r="C787" s="277" t="s">
        <v>184</v>
      </c>
      <c r="D787" s="271" t="s">
        <v>290</v>
      </c>
      <c r="E787" s="274" t="s">
        <v>499</v>
      </c>
      <c r="F787" s="266">
        <f>'MC-DRE'!O145</f>
        <v>472.79</v>
      </c>
      <c r="G787" s="267" t="s">
        <v>0</v>
      </c>
      <c r="H787" s="284">
        <v>17.27</v>
      </c>
      <c r="I787" s="269">
        <f t="shared" si="26"/>
        <v>22.01</v>
      </c>
      <c r="J787" s="1114"/>
      <c r="K787" s="270">
        <f t="shared" si="27"/>
        <v>10406.11</v>
      </c>
    </row>
    <row r="788" spans="2:11" ht="45" customHeight="1">
      <c r="B788" s="285" t="s">
        <v>2929</v>
      </c>
      <c r="C788" s="273" t="s">
        <v>184</v>
      </c>
      <c r="D788" s="264">
        <v>101579</v>
      </c>
      <c r="E788" s="274" t="s">
        <v>498</v>
      </c>
      <c r="F788" s="266">
        <f>'MC-DRE'!R145</f>
        <v>3003.28</v>
      </c>
      <c r="G788" s="266" t="s">
        <v>2</v>
      </c>
      <c r="H788" s="284">
        <v>40.6</v>
      </c>
      <c r="I788" s="269">
        <f t="shared" si="26"/>
        <v>51.75</v>
      </c>
      <c r="J788" s="1114"/>
      <c r="K788" s="270">
        <f t="shared" si="27"/>
        <v>155419.74</v>
      </c>
    </row>
    <row r="789" spans="2:11" ht="45" customHeight="1">
      <c r="B789" s="285" t="s">
        <v>2930</v>
      </c>
      <c r="C789" s="277" t="s">
        <v>184</v>
      </c>
      <c r="D789" s="521">
        <v>92826</v>
      </c>
      <c r="E789" s="272" t="s">
        <v>351</v>
      </c>
      <c r="F789" s="266">
        <f>'MC-DRE'!S145</f>
        <v>653</v>
      </c>
      <c r="G789" s="267" t="s">
        <v>3</v>
      </c>
      <c r="H789" s="284">
        <v>77.349999999999994</v>
      </c>
      <c r="I789" s="269">
        <f t="shared" si="26"/>
        <v>98.59</v>
      </c>
      <c r="J789" s="1114"/>
      <c r="K789" s="270">
        <f t="shared" si="27"/>
        <v>64379.27</v>
      </c>
    </row>
    <row r="790" spans="2:11" ht="24.95" customHeight="1">
      <c r="B790" s="285" t="s">
        <v>410</v>
      </c>
      <c r="C790" s="287" t="s">
        <v>184</v>
      </c>
      <c r="D790" s="288" t="s">
        <v>949</v>
      </c>
      <c r="E790" s="289" t="s">
        <v>539</v>
      </c>
      <c r="F790" s="266">
        <f>'MC-DRE'!E188</f>
        <v>420</v>
      </c>
      <c r="G790" s="264" t="s">
        <v>275</v>
      </c>
      <c r="H790" s="284">
        <v>573.52</v>
      </c>
      <c r="I790" s="269">
        <f t="shared" si="26"/>
        <v>731.01</v>
      </c>
      <c r="J790" s="1114"/>
      <c r="K790" s="270">
        <f t="shared" si="27"/>
        <v>307024.2</v>
      </c>
    </row>
    <row r="791" spans="2:11" ht="102">
      <c r="B791" s="285" t="s">
        <v>2931</v>
      </c>
      <c r="C791" s="273" t="s">
        <v>184</v>
      </c>
      <c r="D791" s="271" t="s">
        <v>940</v>
      </c>
      <c r="E791" s="274" t="s">
        <v>3477</v>
      </c>
      <c r="F791" s="266">
        <f>'MC-DRE'!H188</f>
        <v>1677.9</v>
      </c>
      <c r="G791" s="267" t="s">
        <v>0</v>
      </c>
      <c r="H791" s="284">
        <v>13.5</v>
      </c>
      <c r="I791" s="269">
        <f t="shared" si="26"/>
        <v>17.21</v>
      </c>
      <c r="J791" s="1114"/>
      <c r="K791" s="270">
        <f t="shared" si="27"/>
        <v>28876.66</v>
      </c>
    </row>
    <row r="792" spans="2:11" ht="102">
      <c r="B792" s="285" t="s">
        <v>2932</v>
      </c>
      <c r="C792" s="273" t="s">
        <v>184</v>
      </c>
      <c r="D792" s="264">
        <v>100977</v>
      </c>
      <c r="E792" s="274" t="s">
        <v>3478</v>
      </c>
      <c r="F792" s="266">
        <f>'MC-DRE'!I188</f>
        <v>329.7</v>
      </c>
      <c r="G792" s="267" t="s">
        <v>0</v>
      </c>
      <c r="H792" s="284">
        <v>7.48</v>
      </c>
      <c r="I792" s="269">
        <f t="shared" si="26"/>
        <v>9.5299999999999994</v>
      </c>
      <c r="J792" s="1114"/>
      <c r="K792" s="270">
        <f t="shared" si="27"/>
        <v>3142.04</v>
      </c>
    </row>
    <row r="793" spans="2:11" ht="45" customHeight="1">
      <c r="B793" s="285" t="s">
        <v>2933</v>
      </c>
      <c r="C793" s="277" t="s">
        <v>184</v>
      </c>
      <c r="D793" s="264">
        <v>97914</v>
      </c>
      <c r="E793" s="274" t="s">
        <v>597</v>
      </c>
      <c r="F793" s="266">
        <f>'MC-DRE'!J188</f>
        <v>6346.73</v>
      </c>
      <c r="G793" s="267" t="s">
        <v>221</v>
      </c>
      <c r="H793" s="284">
        <v>2.89</v>
      </c>
      <c r="I793" s="269">
        <f t="shared" si="26"/>
        <v>3.68</v>
      </c>
      <c r="J793" s="1114"/>
      <c r="K793" s="270">
        <f t="shared" si="27"/>
        <v>23355.97</v>
      </c>
    </row>
    <row r="794" spans="2:11" ht="45" customHeight="1">
      <c r="B794" s="285" t="s">
        <v>2934</v>
      </c>
      <c r="C794" s="273" t="s">
        <v>184</v>
      </c>
      <c r="D794" s="264">
        <v>101618</v>
      </c>
      <c r="E794" s="274" t="s">
        <v>3479</v>
      </c>
      <c r="F794" s="266">
        <f>'MC-DRE'!K188</f>
        <v>714</v>
      </c>
      <c r="G794" s="267" t="s">
        <v>2</v>
      </c>
      <c r="H794" s="286">
        <v>213.46</v>
      </c>
      <c r="I794" s="269">
        <f t="shared" si="26"/>
        <v>272.08</v>
      </c>
      <c r="J794" s="1114"/>
      <c r="K794" s="270">
        <f t="shared" si="27"/>
        <v>194265.12</v>
      </c>
    </row>
    <row r="795" spans="2:11" ht="45" customHeight="1">
      <c r="B795" s="285" t="s">
        <v>2935</v>
      </c>
      <c r="C795" s="273" t="s">
        <v>184</v>
      </c>
      <c r="D795" s="264">
        <v>94304</v>
      </c>
      <c r="E795" s="274" t="s">
        <v>3475</v>
      </c>
      <c r="F795" s="266">
        <f>'MC-DRE'!N188</f>
        <v>943.74</v>
      </c>
      <c r="G795" s="266" t="s">
        <v>2</v>
      </c>
      <c r="H795" s="286">
        <v>73.88</v>
      </c>
      <c r="I795" s="269">
        <f t="shared" si="26"/>
        <v>94.17</v>
      </c>
      <c r="J795" s="1114"/>
      <c r="K795" s="270">
        <f t="shared" si="27"/>
        <v>88872</v>
      </c>
    </row>
    <row r="796" spans="2:11" ht="45" customHeight="1">
      <c r="B796" s="285" t="s">
        <v>2936</v>
      </c>
      <c r="C796" s="273" t="s">
        <v>184</v>
      </c>
      <c r="D796" s="264">
        <v>95877</v>
      </c>
      <c r="E796" s="274" t="s">
        <v>599</v>
      </c>
      <c r="F796" s="266">
        <f>'MC-DRE'!P188</f>
        <v>36805.86</v>
      </c>
      <c r="G796" s="267" t="s">
        <v>221</v>
      </c>
      <c r="H796" s="286">
        <v>1.83</v>
      </c>
      <c r="I796" s="269">
        <f t="shared" si="26"/>
        <v>2.33</v>
      </c>
      <c r="J796" s="1114"/>
      <c r="K796" s="270">
        <f t="shared" si="27"/>
        <v>85757.65</v>
      </c>
    </row>
    <row r="797" spans="2:11" ht="45" customHeight="1">
      <c r="B797" s="285" t="s">
        <v>2937</v>
      </c>
      <c r="C797" s="264" t="s">
        <v>184</v>
      </c>
      <c r="D797" s="271">
        <v>93590</v>
      </c>
      <c r="E797" s="274" t="s">
        <v>600</v>
      </c>
      <c r="F797" s="266">
        <f>'MC-DRE'!Q188</f>
        <v>8956.09</v>
      </c>
      <c r="G797" s="267" t="s">
        <v>221</v>
      </c>
      <c r="H797" s="284">
        <v>0.96</v>
      </c>
      <c r="I797" s="269">
        <f t="shared" si="26"/>
        <v>1.22</v>
      </c>
      <c r="J797" s="1114"/>
      <c r="K797" s="270">
        <f t="shared" si="27"/>
        <v>10926.43</v>
      </c>
    </row>
    <row r="798" spans="2:11" ht="45" customHeight="1">
      <c r="B798" s="285" t="s">
        <v>2938</v>
      </c>
      <c r="C798" s="277" t="s">
        <v>184</v>
      </c>
      <c r="D798" s="271" t="s">
        <v>290</v>
      </c>
      <c r="E798" s="274" t="s">
        <v>499</v>
      </c>
      <c r="F798" s="266">
        <f>'MC-DRE'!O188</f>
        <v>404.46</v>
      </c>
      <c r="G798" s="267" t="s">
        <v>0</v>
      </c>
      <c r="H798" s="284">
        <v>17.27</v>
      </c>
      <c r="I798" s="269">
        <f t="shared" si="26"/>
        <v>22.01</v>
      </c>
      <c r="J798" s="1114"/>
      <c r="K798" s="270">
        <f t="shared" si="27"/>
        <v>8902.16</v>
      </c>
    </row>
    <row r="799" spans="2:11" ht="43.5" customHeight="1">
      <c r="B799" s="285" t="s">
        <v>2939</v>
      </c>
      <c r="C799" s="273" t="s">
        <v>184</v>
      </c>
      <c r="D799" s="264">
        <v>101579</v>
      </c>
      <c r="E799" s="274" t="s">
        <v>498</v>
      </c>
      <c r="F799" s="266">
        <f>'MC-DRE'!R188</f>
        <v>2394</v>
      </c>
      <c r="G799" s="266" t="s">
        <v>2</v>
      </c>
      <c r="H799" s="284">
        <v>40.6</v>
      </c>
      <c r="I799" s="269">
        <f t="shared" si="26"/>
        <v>51.75</v>
      </c>
      <c r="J799" s="1114"/>
      <c r="K799" s="270">
        <f t="shared" si="27"/>
        <v>123889.5</v>
      </c>
    </row>
    <row r="800" spans="2:11" ht="75.75" customHeight="1">
      <c r="B800" s="285" t="s">
        <v>2940</v>
      </c>
      <c r="C800" s="277" t="s">
        <v>184</v>
      </c>
      <c r="D800" s="264">
        <v>92828</v>
      </c>
      <c r="E800" s="272" t="s">
        <v>352</v>
      </c>
      <c r="F800" s="266">
        <f>'MC-DRE'!S188</f>
        <v>420</v>
      </c>
      <c r="G800" s="267" t="s">
        <v>3</v>
      </c>
      <c r="H800" s="284">
        <v>100.53</v>
      </c>
      <c r="I800" s="269">
        <f t="shared" si="26"/>
        <v>128.13999999999999</v>
      </c>
      <c r="J800" s="1114"/>
      <c r="K800" s="270">
        <f t="shared" si="27"/>
        <v>53818.8</v>
      </c>
    </row>
    <row r="801" spans="2:11" ht="24.95" customHeight="1">
      <c r="B801" s="285" t="s">
        <v>593</v>
      </c>
      <c r="C801" s="287"/>
      <c r="D801" s="288"/>
      <c r="E801" s="289" t="s">
        <v>219</v>
      </c>
      <c r="F801" s="266"/>
      <c r="G801" s="267"/>
      <c r="H801" s="284"/>
      <c r="I801" s="269"/>
      <c r="J801" s="1114"/>
      <c r="K801" s="270"/>
    </row>
    <row r="802" spans="2:11" ht="45" customHeight="1">
      <c r="B802" s="285" t="s">
        <v>2941</v>
      </c>
      <c r="C802" s="273" t="s">
        <v>184</v>
      </c>
      <c r="D802" s="271" t="s">
        <v>212</v>
      </c>
      <c r="E802" s="272" t="s">
        <v>213</v>
      </c>
      <c r="F802" s="266">
        <f>'MC-DRE'!C317</f>
        <v>81</v>
      </c>
      <c r="G802" s="264" t="s">
        <v>275</v>
      </c>
      <c r="H802" s="284">
        <v>1550.61</v>
      </c>
      <c r="I802" s="269">
        <f t="shared" si="26"/>
        <v>1976.41</v>
      </c>
      <c r="J802" s="1114"/>
      <c r="K802" s="270">
        <f t="shared" si="27"/>
        <v>160089.21</v>
      </c>
    </row>
    <row r="803" spans="2:11" ht="24.95" customHeight="1">
      <c r="B803" s="285" t="s">
        <v>594</v>
      </c>
      <c r="C803" s="287"/>
      <c r="D803" s="288"/>
      <c r="E803" s="289" t="s">
        <v>402</v>
      </c>
      <c r="F803" s="266"/>
      <c r="G803" s="267"/>
      <c r="H803" s="284"/>
      <c r="I803" s="269"/>
      <c r="J803" s="1114"/>
      <c r="K803" s="270"/>
    </row>
    <row r="804" spans="2:11" ht="76.5">
      <c r="B804" s="285" t="s">
        <v>2942</v>
      </c>
      <c r="C804" s="273" t="s">
        <v>184</v>
      </c>
      <c r="D804" s="271" t="s">
        <v>954</v>
      </c>
      <c r="E804" s="272" t="s">
        <v>955</v>
      </c>
      <c r="F804" s="266">
        <f>'MC-DRE'!J317</f>
        <v>81</v>
      </c>
      <c r="G804" s="264" t="s">
        <v>275</v>
      </c>
      <c r="H804" s="284">
        <v>100.11</v>
      </c>
      <c r="I804" s="269">
        <f t="shared" si="26"/>
        <v>127.6</v>
      </c>
      <c r="J804" s="1114"/>
      <c r="K804" s="270">
        <f t="shared" si="27"/>
        <v>10335.6</v>
      </c>
    </row>
    <row r="805" spans="2:11" ht="24.95" customHeight="1">
      <c r="B805" s="285" t="s">
        <v>595</v>
      </c>
      <c r="C805" s="287"/>
      <c r="D805" s="288"/>
      <c r="E805" s="289" t="s">
        <v>220</v>
      </c>
      <c r="F805" s="266"/>
      <c r="G805" s="267"/>
      <c r="H805" s="284"/>
      <c r="I805" s="269"/>
      <c r="J805" s="1114"/>
      <c r="K805" s="270"/>
    </row>
    <row r="806" spans="2:11" ht="76.5">
      <c r="B806" s="285" t="s">
        <v>2943</v>
      </c>
      <c r="C806" s="273" t="s">
        <v>184</v>
      </c>
      <c r="D806" s="271" t="s">
        <v>950</v>
      </c>
      <c r="E806" s="272" t="s">
        <v>3480</v>
      </c>
      <c r="F806" s="266">
        <f>'MC-DRE'!C360</f>
        <v>28</v>
      </c>
      <c r="G806" s="264" t="s">
        <v>275</v>
      </c>
      <c r="H806" s="284">
        <v>6452.76</v>
      </c>
      <c r="I806" s="269">
        <f t="shared" si="26"/>
        <v>8224.69</v>
      </c>
      <c r="J806" s="1114"/>
      <c r="K806" s="270">
        <f t="shared" si="27"/>
        <v>230291.32</v>
      </c>
    </row>
    <row r="807" spans="2:11" ht="76.5">
      <c r="B807" s="285" t="s">
        <v>2944</v>
      </c>
      <c r="C807" s="273" t="s">
        <v>184</v>
      </c>
      <c r="D807" s="271" t="s">
        <v>951</v>
      </c>
      <c r="E807" s="272" t="s">
        <v>3481</v>
      </c>
      <c r="F807" s="266">
        <f>F806</f>
        <v>28</v>
      </c>
      <c r="G807" s="264" t="s">
        <v>3</v>
      </c>
      <c r="H807" s="284">
        <v>2324.96</v>
      </c>
      <c r="I807" s="269">
        <f t="shared" si="26"/>
        <v>2963.39</v>
      </c>
      <c r="J807" s="1114"/>
      <c r="K807" s="270">
        <f t="shared" si="27"/>
        <v>82974.92</v>
      </c>
    </row>
    <row r="808" spans="2:11" ht="24.95" customHeight="1">
      <c r="B808" s="285" t="s">
        <v>646</v>
      </c>
      <c r="C808" s="287"/>
      <c r="D808" s="288"/>
      <c r="E808" s="289" t="s">
        <v>451</v>
      </c>
      <c r="F808" s="266"/>
      <c r="G808" s="267"/>
      <c r="H808" s="284"/>
      <c r="I808" s="269"/>
      <c r="J808" s="1114"/>
      <c r="K808" s="270"/>
    </row>
    <row r="809" spans="2:11" ht="24.95" customHeight="1">
      <c r="B809" s="285" t="s">
        <v>2945</v>
      </c>
      <c r="C809" s="273" t="s">
        <v>184</v>
      </c>
      <c r="D809" s="271" t="s">
        <v>1004</v>
      </c>
      <c r="E809" s="272" t="s">
        <v>1003</v>
      </c>
      <c r="F809" s="266">
        <f>'MC-DRE'!N340</f>
        <v>0</v>
      </c>
      <c r="G809" s="264" t="s">
        <v>275</v>
      </c>
      <c r="H809" s="284">
        <v>3981.25</v>
      </c>
      <c r="I809" s="269">
        <f>H809*(1+$I$16)</f>
        <v>5074.5</v>
      </c>
      <c r="J809" s="1114"/>
      <c r="K809" s="270">
        <f>F809*I809</f>
        <v>0</v>
      </c>
    </row>
    <row r="810" spans="2:11" ht="24.95" customHeight="1">
      <c r="B810" s="285" t="s">
        <v>2946</v>
      </c>
      <c r="C810" s="273" t="s">
        <v>184</v>
      </c>
      <c r="D810" s="271" t="s">
        <v>996</v>
      </c>
      <c r="E810" s="272" t="s">
        <v>1002</v>
      </c>
      <c r="F810" s="266">
        <f>'MC-DRE'!N327</f>
        <v>1</v>
      </c>
      <c r="G810" s="264" t="s">
        <v>275</v>
      </c>
      <c r="H810" s="284">
        <v>5969.29</v>
      </c>
      <c r="I810" s="269">
        <f t="shared" si="26"/>
        <v>7608.46</v>
      </c>
      <c r="J810" s="1114"/>
      <c r="K810" s="270">
        <f t="shared" si="27"/>
        <v>7608.46</v>
      </c>
    </row>
    <row r="811" spans="2:11" ht="51">
      <c r="B811" s="1036" t="s">
        <v>2637</v>
      </c>
      <c r="C811" s="955"/>
      <c r="D811" s="955"/>
      <c r="E811" s="289" t="s">
        <v>1073</v>
      </c>
      <c r="F811" s="1522"/>
      <c r="G811" s="1522"/>
      <c r="H811" s="1522"/>
      <c r="I811" s="1522"/>
      <c r="J811" s="1522"/>
      <c r="K811" s="1523"/>
    </row>
    <row r="812" spans="2:11" s="293" customFormat="1" ht="24.95" customHeight="1">
      <c r="B812" s="294" t="s">
        <v>2947</v>
      </c>
      <c r="C812" s="273" t="s">
        <v>184</v>
      </c>
      <c r="D812" s="295">
        <v>98525</v>
      </c>
      <c r="E812" s="296" t="s">
        <v>431</v>
      </c>
      <c r="F812" s="297">
        <f>'MC-TER'!E97</f>
        <v>32168.17</v>
      </c>
      <c r="G812" s="298" t="s">
        <v>2</v>
      </c>
      <c r="H812" s="299">
        <v>0.61</v>
      </c>
      <c r="I812" s="269">
        <f>H812*(1+$I$16)</f>
        <v>0.78</v>
      </c>
      <c r="J812" s="1114"/>
      <c r="K812" s="270">
        <f>F812*I812</f>
        <v>25091.17</v>
      </c>
    </row>
    <row r="813" spans="2:11" ht="76.5">
      <c r="B813" s="294" t="s">
        <v>2948</v>
      </c>
      <c r="C813" s="273" t="s">
        <v>184</v>
      </c>
      <c r="D813" s="273">
        <v>101125</v>
      </c>
      <c r="E813" s="274" t="s">
        <v>596</v>
      </c>
      <c r="F813" s="275">
        <f>'MC-TER'!G97</f>
        <v>16235.13</v>
      </c>
      <c r="G813" s="266" t="s">
        <v>0</v>
      </c>
      <c r="H813" s="300">
        <v>14.57</v>
      </c>
      <c r="I813" s="269">
        <f t="shared" ref="I813:I819" si="28">H813*(1+$I$16)</f>
        <v>18.57</v>
      </c>
      <c r="J813" s="1114"/>
      <c r="K813" s="270">
        <f t="shared" ref="K813:K819" si="29">F813*I813</f>
        <v>301486.36</v>
      </c>
    </row>
    <row r="814" spans="2:11" ht="45" customHeight="1">
      <c r="B814" s="294" t="s">
        <v>2949</v>
      </c>
      <c r="C814" s="273" t="s">
        <v>184</v>
      </c>
      <c r="D814" s="264">
        <v>97914</v>
      </c>
      <c r="E814" s="274" t="s">
        <v>597</v>
      </c>
      <c r="F814" s="266">
        <f>'MC-TER'!H97</f>
        <v>325027.34000000003</v>
      </c>
      <c r="G814" s="267" t="s">
        <v>221</v>
      </c>
      <c r="H814" s="286">
        <v>2.89</v>
      </c>
      <c r="I814" s="269">
        <f t="shared" si="28"/>
        <v>3.68</v>
      </c>
      <c r="J814" s="1114"/>
      <c r="K814" s="270">
        <f t="shared" si="29"/>
        <v>1196100.6100000001</v>
      </c>
    </row>
    <row r="815" spans="2:11" ht="76.5" customHeight="1">
      <c r="B815" s="294" t="s">
        <v>2950</v>
      </c>
      <c r="C815" s="273" t="s">
        <v>184</v>
      </c>
      <c r="D815" s="264">
        <v>101125</v>
      </c>
      <c r="E815" s="274" t="s">
        <v>645</v>
      </c>
      <c r="F815" s="266">
        <f>'MC-TER'!I97</f>
        <v>14046.19</v>
      </c>
      <c r="G815" s="267" t="s">
        <v>0</v>
      </c>
      <c r="H815" s="286">
        <v>14.57</v>
      </c>
      <c r="I815" s="269">
        <f t="shared" si="28"/>
        <v>18.57</v>
      </c>
      <c r="J815" s="1114"/>
      <c r="K815" s="270">
        <f t="shared" si="29"/>
        <v>260837.75</v>
      </c>
    </row>
    <row r="816" spans="2:11" ht="45" customHeight="1">
      <c r="B816" s="294" t="s">
        <v>2951</v>
      </c>
      <c r="C816" s="264" t="s">
        <v>2610</v>
      </c>
      <c r="D816" s="271">
        <v>6079</v>
      </c>
      <c r="E816" s="274" t="s">
        <v>598</v>
      </c>
      <c r="F816" s="266">
        <f>'MC-TER'!K97</f>
        <v>12338.67</v>
      </c>
      <c r="G816" s="267" t="s">
        <v>0</v>
      </c>
      <c r="H816" s="284">
        <v>37.35</v>
      </c>
      <c r="I816" s="269">
        <f t="shared" si="28"/>
        <v>47.61</v>
      </c>
      <c r="J816" s="1114"/>
      <c r="K816" s="270">
        <f t="shared" si="29"/>
        <v>587444.07999999996</v>
      </c>
    </row>
    <row r="817" spans="2:12" ht="45" customHeight="1">
      <c r="B817" s="294" t="s">
        <v>2952</v>
      </c>
      <c r="C817" s="273" t="s">
        <v>184</v>
      </c>
      <c r="D817" s="264">
        <v>95877</v>
      </c>
      <c r="E817" s="274" t="s">
        <v>465</v>
      </c>
      <c r="F817" s="266">
        <f>'MC-TER'!L97</f>
        <v>481208.13</v>
      </c>
      <c r="G817" s="267" t="s">
        <v>602</v>
      </c>
      <c r="H817" s="286">
        <v>1.83</v>
      </c>
      <c r="I817" s="269">
        <f t="shared" si="28"/>
        <v>2.33</v>
      </c>
      <c r="J817" s="1114"/>
      <c r="K817" s="270">
        <f t="shared" si="29"/>
        <v>1121214.94</v>
      </c>
    </row>
    <row r="818" spans="2:12" ht="45" customHeight="1">
      <c r="B818" s="294" t="s">
        <v>2953</v>
      </c>
      <c r="C818" s="264" t="s">
        <v>184</v>
      </c>
      <c r="D818" s="271">
        <v>93590</v>
      </c>
      <c r="E818" s="274" t="s">
        <v>600</v>
      </c>
      <c r="F818" s="266">
        <f>'MC-TER'!M97</f>
        <v>117093.95</v>
      </c>
      <c r="G818" s="267" t="s">
        <v>602</v>
      </c>
      <c r="H818" s="284">
        <v>0.96</v>
      </c>
      <c r="I818" s="269">
        <f t="shared" si="28"/>
        <v>1.22</v>
      </c>
      <c r="J818" s="1114"/>
      <c r="K818" s="270">
        <f t="shared" si="29"/>
        <v>142854.62</v>
      </c>
    </row>
    <row r="819" spans="2:12" ht="45" customHeight="1">
      <c r="B819" s="294" t="s">
        <v>2954</v>
      </c>
      <c r="C819" s="264" t="s">
        <v>184</v>
      </c>
      <c r="D819" s="271">
        <v>96385</v>
      </c>
      <c r="E819" s="274" t="s">
        <v>601</v>
      </c>
      <c r="F819" s="266">
        <f>'MC-TER'!N97</f>
        <v>12338.67</v>
      </c>
      <c r="G819" s="267" t="s">
        <v>0</v>
      </c>
      <c r="H819" s="284">
        <v>11.37</v>
      </c>
      <c r="I819" s="269">
        <f t="shared" si="28"/>
        <v>14.49</v>
      </c>
      <c r="J819" s="1114"/>
      <c r="K819" s="270">
        <f t="shared" si="29"/>
        <v>178787.33</v>
      </c>
    </row>
    <row r="820" spans="2:12" ht="27.95" customHeight="1">
      <c r="B820" s="1524" t="s">
        <v>15</v>
      </c>
      <c r="C820" s="1525"/>
      <c r="D820" s="1525"/>
      <c r="E820" s="1525"/>
      <c r="F820" s="1525"/>
      <c r="G820" s="1525"/>
      <c r="H820" s="1525"/>
      <c r="I820" s="1526"/>
      <c r="J820" s="982"/>
      <c r="K820" s="290">
        <f>SUM(K758:K819)</f>
        <v>7902207.5099999998</v>
      </c>
      <c r="L820" s="1041"/>
    </row>
    <row r="821" spans="2:12" ht="27.95" customHeight="1">
      <c r="B821" s="991">
        <v>6</v>
      </c>
      <c r="C821" s="305"/>
      <c r="D821" s="305"/>
      <c r="E821" s="305" t="s">
        <v>28</v>
      </c>
      <c r="F821" s="1527"/>
      <c r="G821" s="1527"/>
      <c r="H821" s="1527"/>
      <c r="I821" s="1527"/>
      <c r="J821" s="1527"/>
      <c r="K821" s="1528"/>
    </row>
    <row r="822" spans="2:12" ht="76.5">
      <c r="B822" s="294" t="s">
        <v>178</v>
      </c>
      <c r="C822" s="273" t="s">
        <v>183</v>
      </c>
      <c r="D822" s="273" t="s">
        <v>201</v>
      </c>
      <c r="E822" s="274" t="s">
        <v>677</v>
      </c>
      <c r="F822" s="275">
        <f>'MC-TER'!P97</f>
        <v>3896.43</v>
      </c>
      <c r="G822" s="266" t="s">
        <v>0</v>
      </c>
      <c r="H822" s="301">
        <v>176.15</v>
      </c>
      <c r="I822" s="269">
        <f t="shared" ref="I822:I828" si="30">H822*(1+$I$16)</f>
        <v>224.52</v>
      </c>
      <c r="J822" s="1114"/>
      <c r="K822" s="270">
        <f t="shared" ref="K822:K829" si="31">F822*I822</f>
        <v>874826.46</v>
      </c>
    </row>
    <row r="823" spans="2:12" ht="45" customHeight="1">
      <c r="B823" s="294" t="s">
        <v>179</v>
      </c>
      <c r="C823" s="273" t="s">
        <v>184</v>
      </c>
      <c r="D823" s="264">
        <v>101125</v>
      </c>
      <c r="E823" s="274" t="s">
        <v>645</v>
      </c>
      <c r="F823" s="266">
        <f>'MC-TER'!Q97</f>
        <v>3896.43</v>
      </c>
      <c r="G823" s="267" t="s">
        <v>0</v>
      </c>
      <c r="H823" s="300">
        <v>14.57</v>
      </c>
      <c r="I823" s="269">
        <f t="shared" si="30"/>
        <v>18.57</v>
      </c>
      <c r="J823" s="1114"/>
      <c r="K823" s="270">
        <f t="shared" si="31"/>
        <v>72356.710000000006</v>
      </c>
    </row>
    <row r="824" spans="2:12" ht="45" customHeight="1">
      <c r="B824" s="294" t="s">
        <v>501</v>
      </c>
      <c r="C824" s="273" t="s">
        <v>184</v>
      </c>
      <c r="D824" s="273" t="s">
        <v>464</v>
      </c>
      <c r="E824" s="274" t="s">
        <v>465</v>
      </c>
      <c r="F824" s="275">
        <f>'MC-TER'!R97</f>
        <v>151960.76999999999</v>
      </c>
      <c r="G824" s="266" t="s">
        <v>466</v>
      </c>
      <c r="H824" s="286">
        <v>1.83</v>
      </c>
      <c r="I824" s="269">
        <f t="shared" si="30"/>
        <v>2.33</v>
      </c>
      <c r="J824" s="1114"/>
      <c r="K824" s="270">
        <f t="shared" si="31"/>
        <v>354068.59</v>
      </c>
    </row>
    <row r="825" spans="2:12" ht="45" customHeight="1">
      <c r="B825" s="294" t="s">
        <v>502</v>
      </c>
      <c r="C825" s="273" t="s">
        <v>184</v>
      </c>
      <c r="D825" s="273">
        <v>93590</v>
      </c>
      <c r="E825" s="274" t="s">
        <v>600</v>
      </c>
      <c r="F825" s="275">
        <f>'MC-TER'!S97</f>
        <v>764869.22</v>
      </c>
      <c r="G825" s="266" t="s">
        <v>466</v>
      </c>
      <c r="H825" s="284">
        <v>0.96</v>
      </c>
      <c r="I825" s="269">
        <f>H825*(1+$I$16)</f>
        <v>1.22</v>
      </c>
      <c r="J825" s="1114"/>
      <c r="K825" s="270">
        <f t="shared" si="31"/>
        <v>933140.45</v>
      </c>
    </row>
    <row r="826" spans="2:12" ht="76.5">
      <c r="B826" s="294" t="s">
        <v>503</v>
      </c>
      <c r="C826" s="273" t="s">
        <v>183</v>
      </c>
      <c r="D826" s="273" t="s">
        <v>251</v>
      </c>
      <c r="E826" s="274" t="s">
        <v>543</v>
      </c>
      <c r="F826" s="275">
        <f>'MC-TER'!U97</f>
        <v>6494.04</v>
      </c>
      <c r="G826" s="266" t="s">
        <v>417</v>
      </c>
      <c r="H826" s="301">
        <v>78.94</v>
      </c>
      <c r="I826" s="269">
        <f t="shared" si="30"/>
        <v>100.62</v>
      </c>
      <c r="J826" s="1114"/>
      <c r="K826" s="270">
        <f t="shared" si="31"/>
        <v>653430.30000000005</v>
      </c>
    </row>
    <row r="827" spans="2:12" ht="45" customHeight="1">
      <c r="B827" s="294" t="s">
        <v>504</v>
      </c>
      <c r="C827" s="273" t="s">
        <v>184</v>
      </c>
      <c r="D827" s="264">
        <v>101125</v>
      </c>
      <c r="E827" s="274" t="s">
        <v>645</v>
      </c>
      <c r="F827" s="266">
        <f>'MC-TER'!V97</f>
        <v>6494.04</v>
      </c>
      <c r="G827" s="267" t="s">
        <v>0</v>
      </c>
      <c r="H827" s="302">
        <v>14.57</v>
      </c>
      <c r="I827" s="269">
        <f t="shared" si="30"/>
        <v>18.57</v>
      </c>
      <c r="J827" s="1114"/>
      <c r="K827" s="270">
        <f t="shared" si="31"/>
        <v>120594.32</v>
      </c>
    </row>
    <row r="828" spans="2:12" ht="45" customHeight="1">
      <c r="B828" s="294" t="s">
        <v>647</v>
      </c>
      <c r="C828" s="273" t="s">
        <v>184</v>
      </c>
      <c r="D828" s="273" t="s">
        <v>464</v>
      </c>
      <c r="E828" s="274" t="s">
        <v>465</v>
      </c>
      <c r="F828" s="275">
        <f>'MC-TER'!X97</f>
        <v>253267.56</v>
      </c>
      <c r="G828" s="266" t="s">
        <v>466</v>
      </c>
      <c r="H828" s="286">
        <v>1.83</v>
      </c>
      <c r="I828" s="269">
        <f t="shared" si="30"/>
        <v>2.33</v>
      </c>
      <c r="J828" s="1114"/>
      <c r="K828" s="270">
        <f t="shared" si="31"/>
        <v>590113.41</v>
      </c>
    </row>
    <row r="829" spans="2:12" ht="45" customHeight="1">
      <c r="B829" s="294" t="s">
        <v>648</v>
      </c>
      <c r="C829" s="273" t="s">
        <v>184</v>
      </c>
      <c r="D829" s="273">
        <v>93590</v>
      </c>
      <c r="E829" s="274" t="s">
        <v>600</v>
      </c>
      <c r="F829" s="275">
        <f>'MC-TER'!Y97</f>
        <v>61628.43</v>
      </c>
      <c r="G829" s="266" t="s">
        <v>466</v>
      </c>
      <c r="H829" s="284">
        <v>0.96</v>
      </c>
      <c r="I829" s="269">
        <f>H829*(1+$I$16)</f>
        <v>1.22</v>
      </c>
      <c r="J829" s="1114"/>
      <c r="K829" s="270">
        <f t="shared" si="31"/>
        <v>75186.679999999993</v>
      </c>
    </row>
    <row r="830" spans="2:12" ht="27.95" customHeight="1">
      <c r="B830" s="1524" t="s">
        <v>144</v>
      </c>
      <c r="C830" s="1525"/>
      <c r="D830" s="1525"/>
      <c r="E830" s="1525"/>
      <c r="F830" s="1525"/>
      <c r="G830" s="1525"/>
      <c r="H830" s="1525"/>
      <c r="I830" s="1526"/>
      <c r="J830" s="982"/>
      <c r="K830" s="290">
        <f>SUM(K822:K829)</f>
        <v>3673716.92</v>
      </c>
      <c r="L830" s="291"/>
    </row>
    <row r="831" spans="2:12" ht="27.95" customHeight="1">
      <c r="B831" s="1037"/>
      <c r="C831" s="982"/>
      <c r="D831" s="982"/>
      <c r="E831" s="982"/>
      <c r="F831" s="982"/>
      <c r="G831" s="982"/>
      <c r="H831" s="982"/>
      <c r="I831" s="982"/>
      <c r="J831" s="982"/>
      <c r="K831" s="985"/>
    </row>
    <row r="832" spans="2:12" ht="27.95" customHeight="1">
      <c r="B832" s="991">
        <v>7</v>
      </c>
      <c r="C832" s="305"/>
      <c r="D832" s="305"/>
      <c r="E832" s="305" t="s">
        <v>1072</v>
      </c>
      <c r="F832" s="1527"/>
      <c r="G832" s="1527"/>
      <c r="H832" s="1527"/>
      <c r="I832" s="1527"/>
      <c r="J832" s="1527"/>
      <c r="K832" s="1528"/>
    </row>
    <row r="833" spans="2:11" ht="45" customHeight="1">
      <c r="B833" s="294" t="s">
        <v>180</v>
      </c>
      <c r="C833" s="264" t="s">
        <v>183</v>
      </c>
      <c r="D833" s="273" t="s">
        <v>345</v>
      </c>
      <c r="E833" s="296" t="s">
        <v>198</v>
      </c>
      <c r="F833" s="275">
        <f>'MC-PAV e DREN SUPER'!T126</f>
        <v>31590.01</v>
      </c>
      <c r="G833" s="267" t="s">
        <v>2</v>
      </c>
      <c r="H833" s="300">
        <v>8.66</v>
      </c>
      <c r="I833" s="269">
        <f>H833*(1+$I$16)</f>
        <v>11.04</v>
      </c>
      <c r="J833" s="1114"/>
      <c r="K833" s="270">
        <f>F833*I833</f>
        <v>348753.71</v>
      </c>
    </row>
    <row r="834" spans="2:11" ht="45" customHeight="1">
      <c r="B834" s="294" t="s">
        <v>412</v>
      </c>
      <c r="C834" s="264" t="s">
        <v>183</v>
      </c>
      <c r="D834" s="273" t="s">
        <v>494</v>
      </c>
      <c r="E834" s="296" t="s">
        <v>199</v>
      </c>
      <c r="F834" s="275">
        <f>'MC-PAV e DREN SUPER'!U126</f>
        <v>31590.01</v>
      </c>
      <c r="G834" s="267" t="s">
        <v>2</v>
      </c>
      <c r="H834" s="300">
        <v>3.25</v>
      </c>
      <c r="I834" s="269">
        <f>H834*(1+$I$16)</f>
        <v>4.1399999999999997</v>
      </c>
      <c r="J834" s="1114"/>
      <c r="K834" s="270">
        <f>F834*I834</f>
        <v>130782.64</v>
      </c>
    </row>
    <row r="835" spans="2:11" ht="45" customHeight="1">
      <c r="B835" s="294" t="s">
        <v>413</v>
      </c>
      <c r="C835" s="273" t="s">
        <v>184</v>
      </c>
      <c r="D835" s="273" t="s">
        <v>475</v>
      </c>
      <c r="E835" s="296" t="s">
        <v>476</v>
      </c>
      <c r="F835" s="275">
        <f>'MC-PAV e DREN SUPER'!W126</f>
        <v>1263.5899999999999</v>
      </c>
      <c r="G835" s="266" t="s">
        <v>0</v>
      </c>
      <c r="H835" s="300">
        <v>2568.34</v>
      </c>
      <c r="I835" s="269">
        <f>H835*(1+$I$16)</f>
        <v>3273.61</v>
      </c>
      <c r="J835" s="1114"/>
      <c r="K835" s="270">
        <f>F835*I835</f>
        <v>4136500.86</v>
      </c>
    </row>
    <row r="836" spans="2:11" ht="45" customHeight="1">
      <c r="B836" s="294" t="s">
        <v>414</v>
      </c>
      <c r="C836" s="273" t="s">
        <v>184</v>
      </c>
      <c r="D836" s="407">
        <v>93592</v>
      </c>
      <c r="E836" s="274" t="s">
        <v>289</v>
      </c>
      <c r="F836" s="275">
        <f>'MC-PAV e DREN SUPER'!X126</f>
        <v>16932.11</v>
      </c>
      <c r="G836" s="266" t="s">
        <v>466</v>
      </c>
      <c r="H836" s="300">
        <v>2.34</v>
      </c>
      <c r="I836" s="269">
        <f>H836*(1+$I$16)</f>
        <v>2.98</v>
      </c>
      <c r="J836" s="1114"/>
      <c r="K836" s="270">
        <f>F836*I836</f>
        <v>50457.69</v>
      </c>
    </row>
    <row r="837" spans="2:11" ht="27.95" customHeight="1">
      <c r="B837" s="1524" t="s">
        <v>175</v>
      </c>
      <c r="C837" s="1525"/>
      <c r="D837" s="1525"/>
      <c r="E837" s="1525"/>
      <c r="F837" s="1525"/>
      <c r="G837" s="1525"/>
      <c r="H837" s="1525"/>
      <c r="I837" s="1526"/>
      <c r="J837" s="982"/>
      <c r="K837" s="290">
        <f>SUM(K833:K836)</f>
        <v>4666494.9000000004</v>
      </c>
    </row>
    <row r="838" spans="2:11" ht="27.95" customHeight="1">
      <c r="B838" s="991">
        <v>8</v>
      </c>
      <c r="C838" s="305"/>
      <c r="D838" s="305"/>
      <c r="E838" s="305" t="s">
        <v>559</v>
      </c>
      <c r="F838" s="1527"/>
      <c r="G838" s="1527"/>
      <c r="H838" s="1527"/>
      <c r="I838" s="1527"/>
      <c r="J838" s="1527"/>
      <c r="K838" s="1528"/>
    </row>
    <row r="839" spans="2:11" ht="45" customHeight="1">
      <c r="B839" s="294" t="s">
        <v>415</v>
      </c>
      <c r="C839" s="264"/>
      <c r="D839" s="273"/>
      <c r="E839" s="444" t="s">
        <v>560</v>
      </c>
      <c r="F839" s="275"/>
      <c r="G839" s="267"/>
      <c r="H839" s="300"/>
      <c r="I839" s="269"/>
      <c r="J839" s="1114"/>
      <c r="K839" s="270"/>
    </row>
    <row r="840" spans="2:11" ht="45" customHeight="1">
      <c r="B840" s="294" t="s">
        <v>571</v>
      </c>
      <c r="C840" s="264" t="s">
        <v>561</v>
      </c>
      <c r="D840" s="273" t="s">
        <v>562</v>
      </c>
      <c r="E840" s="296" t="s">
        <v>563</v>
      </c>
      <c r="F840" s="275">
        <f>'MC-SINALIZAÇÃO'!D126+'MC-SINALIZAÇÃO'!E126</f>
        <v>1399.48</v>
      </c>
      <c r="G840" s="267" t="s">
        <v>2</v>
      </c>
      <c r="H840" s="300">
        <v>50.51</v>
      </c>
      <c r="I840" s="269">
        <f>H840*(1+$I$16)</f>
        <v>64.38</v>
      </c>
      <c r="J840" s="1114"/>
      <c r="K840" s="270">
        <f>F840*I840</f>
        <v>90098.52</v>
      </c>
    </row>
    <row r="841" spans="2:11" ht="45" customHeight="1">
      <c r="B841" s="294" t="s">
        <v>572</v>
      </c>
      <c r="C841" s="273" t="s">
        <v>561</v>
      </c>
      <c r="D841" s="273" t="s">
        <v>564</v>
      </c>
      <c r="E841" s="296" t="s">
        <v>565</v>
      </c>
      <c r="F841" s="275">
        <f>0.4*4*6*76</f>
        <v>729.6</v>
      </c>
      <c r="G841" s="267" t="s">
        <v>2</v>
      </c>
      <c r="H841" s="300">
        <v>37.61</v>
      </c>
      <c r="I841" s="269">
        <f>H841*(1+$I$16)</f>
        <v>47.94</v>
      </c>
      <c r="J841" s="1114"/>
      <c r="K841" s="270">
        <f>F841*I841</f>
        <v>34977.019999999997</v>
      </c>
    </row>
    <row r="842" spans="2:11" ht="45" customHeight="1">
      <c r="B842" s="294" t="s">
        <v>573</v>
      </c>
      <c r="C842" s="273"/>
      <c r="D842" s="407"/>
      <c r="E842" s="443" t="s">
        <v>566</v>
      </c>
      <c r="F842" s="275"/>
      <c r="G842" s="267"/>
      <c r="H842" s="300"/>
      <c r="I842" s="269"/>
      <c r="J842" s="1114"/>
      <c r="K842" s="270"/>
    </row>
    <row r="843" spans="2:11" ht="45" customHeight="1">
      <c r="B843" s="294" t="s">
        <v>574</v>
      </c>
      <c r="C843" s="273" t="s">
        <v>561</v>
      </c>
      <c r="D843" s="273">
        <v>5213440</v>
      </c>
      <c r="E843" s="296" t="s">
        <v>2098</v>
      </c>
      <c r="F843" s="275">
        <f>'MC-SINALIZAÇÃO'!G126</f>
        <v>176</v>
      </c>
      <c r="G843" s="264" t="s">
        <v>1093</v>
      </c>
      <c r="H843" s="300">
        <v>256.64</v>
      </c>
      <c r="I843" s="269">
        <f>H843*(1+$I$16)</f>
        <v>327.11</v>
      </c>
      <c r="J843" s="1114"/>
      <c r="K843" s="270">
        <f>F843*I843</f>
        <v>57571.360000000001</v>
      </c>
    </row>
    <row r="844" spans="2:11" ht="45" customHeight="1">
      <c r="B844" s="294" t="s">
        <v>575</v>
      </c>
      <c r="C844" s="273" t="s">
        <v>561</v>
      </c>
      <c r="D844" s="273" t="s">
        <v>3492</v>
      </c>
      <c r="E844" s="296" t="s">
        <v>3493</v>
      </c>
      <c r="F844" s="1284">
        <f>F845</f>
        <v>88</v>
      </c>
      <c r="G844" s="264" t="s">
        <v>1093</v>
      </c>
      <c r="H844" s="300">
        <v>256.7</v>
      </c>
      <c r="I844" s="269">
        <f>H844*(1+$I$16)</f>
        <v>327.19</v>
      </c>
      <c r="J844" s="1114"/>
      <c r="K844" s="270">
        <f>F844*I844</f>
        <v>28792.720000000001</v>
      </c>
    </row>
    <row r="845" spans="2:11" ht="45" customHeight="1">
      <c r="B845" s="294" t="s">
        <v>2096</v>
      </c>
      <c r="C845" s="273" t="s">
        <v>561</v>
      </c>
      <c r="D845" s="407" t="s">
        <v>569</v>
      </c>
      <c r="E845" s="274" t="s">
        <v>570</v>
      </c>
      <c r="F845" s="275">
        <f>'MC-SINALIZAÇÃO'!F126</f>
        <v>88</v>
      </c>
      <c r="G845" s="264" t="s">
        <v>1093</v>
      </c>
      <c r="H845" s="300">
        <v>114.89</v>
      </c>
      <c r="I845" s="269">
        <f>H845*(1+$I$16)</f>
        <v>146.44</v>
      </c>
      <c r="J845" s="1114"/>
      <c r="K845" s="270">
        <f>F845*I845</f>
        <v>12886.72</v>
      </c>
    </row>
    <row r="846" spans="2:11" ht="45" customHeight="1">
      <c r="B846" s="294" t="s">
        <v>2475</v>
      </c>
      <c r="C846" s="273" t="s">
        <v>561</v>
      </c>
      <c r="D846" s="273">
        <v>5213855</v>
      </c>
      <c r="E846" s="274" t="s">
        <v>2097</v>
      </c>
      <c r="F846" s="275">
        <f>F843/2</f>
        <v>88</v>
      </c>
      <c r="G846" s="264" t="s">
        <v>1093</v>
      </c>
      <c r="H846" s="300">
        <v>406.5</v>
      </c>
      <c r="I846" s="269">
        <f>H846*(1+$I$16)</f>
        <v>518.12</v>
      </c>
      <c r="J846" s="1114"/>
      <c r="K846" s="270">
        <f>F846*I846</f>
        <v>45594.559999999998</v>
      </c>
    </row>
    <row r="847" spans="2:11" ht="27.6" customHeight="1">
      <c r="B847" s="1524" t="s">
        <v>411</v>
      </c>
      <c r="C847" s="1525"/>
      <c r="D847" s="1525"/>
      <c r="E847" s="1525"/>
      <c r="F847" s="1525"/>
      <c r="G847" s="1525"/>
      <c r="H847" s="1525"/>
      <c r="I847" s="1526"/>
      <c r="J847" s="982"/>
      <c r="K847" s="290">
        <f>SUM(K839:K846)</f>
        <v>269920.90000000002</v>
      </c>
    </row>
    <row r="848" spans="2:11" ht="27.95" customHeight="1">
      <c r="B848" s="1035">
        <v>9</v>
      </c>
      <c r="C848" s="304"/>
      <c r="D848" s="304"/>
      <c r="E848" s="305" t="s">
        <v>10</v>
      </c>
      <c r="F848" s="1527"/>
      <c r="G848" s="1527"/>
      <c r="H848" s="1527"/>
      <c r="I848" s="1527"/>
      <c r="J848" s="1527"/>
      <c r="K848" s="1528"/>
    </row>
    <row r="849" spans="2:11" ht="45" customHeight="1">
      <c r="B849" s="306" t="s">
        <v>727</v>
      </c>
      <c r="C849" s="277" t="s">
        <v>184</v>
      </c>
      <c r="D849" s="271" t="s">
        <v>1009</v>
      </c>
      <c r="E849" s="274" t="s">
        <v>145</v>
      </c>
      <c r="F849" s="275">
        <f>'MC-PAV e DREN SUPER'!AD126</f>
        <v>4738.54</v>
      </c>
      <c r="G849" s="267" t="s">
        <v>2</v>
      </c>
      <c r="H849" s="276">
        <v>1.8</v>
      </c>
      <c r="I849" s="269">
        <f>H849*(1+$I$16)</f>
        <v>2.29</v>
      </c>
      <c r="J849" s="1114"/>
      <c r="K849" s="270">
        <f>F849*I849-0.06</f>
        <v>10851.2</v>
      </c>
    </row>
    <row r="850" spans="2:11" ht="27.6" customHeight="1">
      <c r="B850" s="1524" t="s">
        <v>558</v>
      </c>
      <c r="C850" s="1525"/>
      <c r="D850" s="1525"/>
      <c r="E850" s="1525"/>
      <c r="F850" s="1525"/>
      <c r="G850" s="1525"/>
      <c r="H850" s="1525"/>
      <c r="I850" s="1526"/>
      <c r="J850" s="982"/>
      <c r="K850" s="290">
        <f>K849</f>
        <v>10851.2</v>
      </c>
    </row>
    <row r="851" spans="2:11" ht="76.900000000000006" customHeight="1">
      <c r="B851" s="1035">
        <v>10</v>
      </c>
      <c r="C851" s="304"/>
      <c r="D851" s="304"/>
      <c r="E851" s="1372" t="s">
        <v>2611</v>
      </c>
      <c r="F851" s="1527"/>
      <c r="G851" s="1527"/>
      <c r="H851" s="1527"/>
      <c r="I851" s="1527"/>
      <c r="J851" s="1527"/>
      <c r="K851" s="1528"/>
    </row>
    <row r="852" spans="2:11">
      <c r="B852" s="306" t="s">
        <v>751</v>
      </c>
      <c r="C852" s="277"/>
      <c r="D852" s="271"/>
      <c r="E852" s="274" t="s">
        <v>3482</v>
      </c>
      <c r="F852" s="275">
        <v>1</v>
      </c>
      <c r="G852" s="267" t="s">
        <v>729</v>
      </c>
      <c r="H852" s="276">
        <f>53649.3/(1+I16)</f>
        <v>42091.09</v>
      </c>
      <c r="I852" s="269">
        <f>H852*(1+$I$16)</f>
        <v>53649.3</v>
      </c>
      <c r="J852" s="1114"/>
      <c r="K852" s="270">
        <f>F852*I852</f>
        <v>53649.3</v>
      </c>
    </row>
    <row r="853" spans="2:11">
      <c r="B853" s="1529" t="s">
        <v>3767</v>
      </c>
      <c r="C853" s="1529"/>
      <c r="D853" s="1529"/>
      <c r="E853" s="1529"/>
      <c r="F853" s="1529"/>
      <c r="G853" s="1529"/>
      <c r="H853" s="1529"/>
      <c r="I853" s="1529"/>
      <c r="J853" s="1388"/>
      <c r="K853" s="1368">
        <f>SUM(K852)</f>
        <v>53649.3</v>
      </c>
    </row>
    <row r="854" spans="2:11">
      <c r="B854" s="1369">
        <v>11</v>
      </c>
      <c r="C854" s="1370"/>
      <c r="D854" s="1370"/>
      <c r="E854" s="1371" t="s">
        <v>3678</v>
      </c>
      <c r="F854" s="1365"/>
      <c r="G854" s="1365"/>
      <c r="H854" s="1365"/>
      <c r="I854" s="1366"/>
      <c r="J854" s="1365"/>
      <c r="K854" s="1367"/>
    </row>
    <row r="855" spans="2:11">
      <c r="B855" s="264" t="s">
        <v>834</v>
      </c>
      <c r="C855" s="264" t="s">
        <v>182</v>
      </c>
      <c r="D855" s="264">
        <v>260278</v>
      </c>
      <c r="E855" s="1374" t="s">
        <v>3670</v>
      </c>
      <c r="F855" s="1376">
        <f>'MC- URBANIZAÇÃO '!C21</f>
        <v>1600</v>
      </c>
      <c r="G855" s="1373" t="s">
        <v>2</v>
      </c>
      <c r="H855" s="1373">
        <v>40.04</v>
      </c>
      <c r="I855" s="269">
        <f>H855*(1+$I$16)</f>
        <v>51.03</v>
      </c>
      <c r="J855" s="1114"/>
      <c r="K855" s="270">
        <f>F855*I855</f>
        <v>81648</v>
      </c>
    </row>
    <row r="856" spans="2:11">
      <c r="B856" s="264" t="s">
        <v>838</v>
      </c>
      <c r="C856" s="264" t="s">
        <v>182</v>
      </c>
      <c r="D856" s="264">
        <v>250532</v>
      </c>
      <c r="E856" s="1374" t="s">
        <v>3671</v>
      </c>
      <c r="F856" s="1413">
        <v>12</v>
      </c>
      <c r="G856" s="1373" t="s">
        <v>729</v>
      </c>
      <c r="H856" s="1373">
        <v>440.09</v>
      </c>
      <c r="I856" s="269">
        <f t="shared" ref="I856:I861" si="32">H856*(1+$I$16)</f>
        <v>560.94000000000005</v>
      </c>
      <c r="J856" s="1114"/>
      <c r="K856" s="270">
        <f t="shared" ref="K856:K861" si="33">F856*I856</f>
        <v>6731.28</v>
      </c>
    </row>
    <row r="857" spans="2:11">
      <c r="B857" s="264" t="s">
        <v>861</v>
      </c>
      <c r="C857" s="264" t="s">
        <v>184</v>
      </c>
      <c r="D857" s="264">
        <v>98516</v>
      </c>
      <c r="E857" s="1374" t="s">
        <v>3672</v>
      </c>
      <c r="F857" s="1413">
        <v>30</v>
      </c>
      <c r="G857" s="1373" t="s">
        <v>729</v>
      </c>
      <c r="H857" s="1373">
        <v>363.81</v>
      </c>
      <c r="I857" s="269">
        <f t="shared" si="32"/>
        <v>463.71</v>
      </c>
      <c r="J857" s="1114"/>
      <c r="K857" s="270">
        <f t="shared" si="33"/>
        <v>13911.3</v>
      </c>
    </row>
    <row r="858" spans="2:11" ht="66" customHeight="1">
      <c r="B858" s="264" t="s">
        <v>864</v>
      </c>
      <c r="C858" s="264" t="s">
        <v>184</v>
      </c>
      <c r="D858" s="264">
        <v>94201</v>
      </c>
      <c r="E858" s="1374" t="s">
        <v>3673</v>
      </c>
      <c r="F858" s="1413">
        <f>'MC- URBANIZAÇÃO '!F21</f>
        <v>120</v>
      </c>
      <c r="G858" s="1373" t="s">
        <v>2</v>
      </c>
      <c r="H858" s="1373">
        <v>45.71</v>
      </c>
      <c r="I858" s="269">
        <f t="shared" si="32"/>
        <v>58.26</v>
      </c>
      <c r="J858" s="1114"/>
      <c r="K858" s="270">
        <f t="shared" si="33"/>
        <v>6991.2</v>
      </c>
    </row>
    <row r="859" spans="2:11" ht="102">
      <c r="B859" s="264" t="s">
        <v>866</v>
      </c>
      <c r="C859" s="264" t="s">
        <v>184</v>
      </c>
      <c r="D859" s="264">
        <v>92540</v>
      </c>
      <c r="E859" s="1374" t="s">
        <v>3674</v>
      </c>
      <c r="F859" s="1413">
        <f>'MC- URBANIZAÇÃO '!G21</f>
        <v>120</v>
      </c>
      <c r="G859" s="1373" t="s">
        <v>2</v>
      </c>
      <c r="H859" s="1373">
        <v>78.45</v>
      </c>
      <c r="I859" s="269">
        <f t="shared" si="32"/>
        <v>99.99</v>
      </c>
      <c r="J859" s="1114"/>
      <c r="K859" s="270">
        <f t="shared" si="33"/>
        <v>11998.8</v>
      </c>
    </row>
    <row r="860" spans="2:11" ht="51">
      <c r="B860" s="264" t="s">
        <v>3753</v>
      </c>
      <c r="C860" s="264" t="s">
        <v>182</v>
      </c>
      <c r="D860" s="264">
        <v>51171</v>
      </c>
      <c r="E860" s="1375" t="s">
        <v>3675</v>
      </c>
      <c r="F860" s="1413">
        <f>'MC- URBANIZAÇÃO '!H21</f>
        <v>9.94</v>
      </c>
      <c r="G860" s="1373" t="s">
        <v>0</v>
      </c>
      <c r="H860" s="1373">
        <v>3442.32</v>
      </c>
      <c r="I860" s="269">
        <f t="shared" si="32"/>
        <v>4387.58</v>
      </c>
      <c r="J860" s="1114"/>
      <c r="K860" s="270">
        <f t="shared" si="33"/>
        <v>43612.55</v>
      </c>
    </row>
    <row r="861" spans="2:11" ht="76.5">
      <c r="B861" s="264" t="s">
        <v>3754</v>
      </c>
      <c r="C861" s="264" t="s">
        <v>184</v>
      </c>
      <c r="D861" s="264">
        <v>94221</v>
      </c>
      <c r="E861" s="1375" t="s">
        <v>3685</v>
      </c>
      <c r="F861" s="1376">
        <f>'MC- URBANIZAÇÃO '!T21</f>
        <v>56</v>
      </c>
      <c r="G861" s="1373" t="s">
        <v>3</v>
      </c>
      <c r="H861" s="1373">
        <v>26.05</v>
      </c>
      <c r="I861" s="269">
        <f t="shared" si="32"/>
        <v>33.200000000000003</v>
      </c>
      <c r="J861" s="1114"/>
      <c r="K861" s="270">
        <f t="shared" si="33"/>
        <v>1859.2</v>
      </c>
    </row>
    <row r="862" spans="2:11" ht="76.5">
      <c r="B862" s="264" t="s">
        <v>3755</v>
      </c>
      <c r="C862" s="264" t="s">
        <v>184</v>
      </c>
      <c r="D862" s="264">
        <v>92549</v>
      </c>
      <c r="E862" s="1374" t="s">
        <v>3676</v>
      </c>
      <c r="F862" s="1413">
        <f>'MC- URBANIZAÇÃO '!J21</f>
        <v>8</v>
      </c>
      <c r="G862" s="1373" t="s">
        <v>3677</v>
      </c>
      <c r="H862" s="1373">
        <v>1687.46</v>
      </c>
      <c r="I862" s="269">
        <f t="shared" ref="I862:I872" si="34">H862*(1+$I$16)</f>
        <v>2150.84</v>
      </c>
      <c r="J862" s="1114"/>
      <c r="K862" s="270">
        <f>F862*I862</f>
        <v>17206.72</v>
      </c>
    </row>
    <row r="863" spans="2:11" ht="53.45" customHeight="1">
      <c r="B863" s="264" t="s">
        <v>3756</v>
      </c>
      <c r="C863" s="264" t="s">
        <v>183</v>
      </c>
      <c r="D863" s="264" t="s">
        <v>3698</v>
      </c>
      <c r="E863" s="1375" t="s">
        <v>3699</v>
      </c>
      <c r="F863" s="1376">
        <v>1</v>
      </c>
      <c r="G863" s="1373" t="s">
        <v>756</v>
      </c>
      <c r="H863" s="1393">
        <v>16580.25</v>
      </c>
      <c r="I863" s="269"/>
      <c r="J863" s="269">
        <f>H863*(1+$J$16)</f>
        <v>19826.66</v>
      </c>
      <c r="K863" s="270">
        <f>F863*J863</f>
        <v>19826.66</v>
      </c>
    </row>
    <row r="864" spans="2:11" ht="53.45" customHeight="1">
      <c r="B864" s="264" t="s">
        <v>3757</v>
      </c>
      <c r="C864" s="264" t="s">
        <v>1099</v>
      </c>
      <c r="D864" s="264">
        <v>8817</v>
      </c>
      <c r="E864" s="1375" t="s">
        <v>3740</v>
      </c>
      <c r="F864" s="1376">
        <f>'MC- URBANIZAÇÃO '!K21</f>
        <v>300</v>
      </c>
      <c r="G864" s="1373" t="s">
        <v>275</v>
      </c>
      <c r="H864" s="1373">
        <v>7.97</v>
      </c>
      <c r="I864" s="269">
        <f t="shared" ref="I864:I867" si="35">H864*(1+$I$16)</f>
        <v>10.16</v>
      </c>
      <c r="J864" s="1114"/>
      <c r="K864" s="270">
        <f t="shared" ref="K864:K867" si="36">F864*I864</f>
        <v>3048</v>
      </c>
    </row>
    <row r="865" spans="2:12" ht="53.45" customHeight="1">
      <c r="B865" s="264" t="s">
        <v>3758</v>
      </c>
      <c r="C865" s="264" t="s">
        <v>1099</v>
      </c>
      <c r="D865" s="264">
        <v>9794</v>
      </c>
      <c r="E865" s="1375" t="s">
        <v>3741</v>
      </c>
      <c r="F865" s="1376">
        <f>'MC- URBANIZAÇÃO '!L21</f>
        <v>22</v>
      </c>
      <c r="G865" s="1373" t="s">
        <v>275</v>
      </c>
      <c r="H865" s="1373">
        <v>141.27000000000001</v>
      </c>
      <c r="I865" s="269">
        <f t="shared" si="35"/>
        <v>180.06</v>
      </c>
      <c r="J865" s="1114"/>
      <c r="K865" s="270">
        <f t="shared" si="36"/>
        <v>3961.32</v>
      </c>
    </row>
    <row r="866" spans="2:12" ht="53.45" customHeight="1">
      <c r="B866" s="264" t="s">
        <v>3759</v>
      </c>
      <c r="C866" s="264" t="s">
        <v>1099</v>
      </c>
      <c r="D866" s="264" t="s">
        <v>3742</v>
      </c>
      <c r="E866" s="1375" t="s">
        <v>3743</v>
      </c>
      <c r="F866" s="1376">
        <f>'MC- URBANIZAÇÃO '!M21</f>
        <v>22</v>
      </c>
      <c r="G866" s="1373" t="s">
        <v>275</v>
      </c>
      <c r="H866" s="1373">
        <v>301.66000000000003</v>
      </c>
      <c r="I866" s="269">
        <f t="shared" si="35"/>
        <v>384.5</v>
      </c>
      <c r="J866" s="1114"/>
      <c r="K866" s="270">
        <f t="shared" si="36"/>
        <v>8459</v>
      </c>
    </row>
    <row r="867" spans="2:12" ht="53.45" customHeight="1">
      <c r="B867" s="264" t="s">
        <v>3760</v>
      </c>
      <c r="C867" s="264" t="s">
        <v>184</v>
      </c>
      <c r="D867" s="264">
        <v>89355</v>
      </c>
      <c r="E867" s="1375" t="s">
        <v>3744</v>
      </c>
      <c r="F867" s="1376">
        <f>'MC- URBANIZAÇÃO '!N21</f>
        <v>12</v>
      </c>
      <c r="G867" s="1373" t="s">
        <v>3</v>
      </c>
      <c r="H867" s="1373">
        <v>18.59</v>
      </c>
      <c r="I867" s="269">
        <f t="shared" si="35"/>
        <v>23.69</v>
      </c>
      <c r="J867" s="1114"/>
      <c r="K867" s="270">
        <f t="shared" si="36"/>
        <v>284.27999999999997</v>
      </c>
    </row>
    <row r="868" spans="2:12" ht="51.6" customHeight="1">
      <c r="B868" s="264" t="s">
        <v>3761</v>
      </c>
      <c r="C868" s="264" t="s">
        <v>184</v>
      </c>
      <c r="D868" s="264">
        <v>89349</v>
      </c>
      <c r="E868" s="1375" t="s">
        <v>3745</v>
      </c>
      <c r="F868" s="1376">
        <f>'MC- URBANIZAÇÃO '!O21</f>
        <v>8</v>
      </c>
      <c r="G868" s="1373" t="s">
        <v>275</v>
      </c>
      <c r="H868" s="1373">
        <v>20.309999999999999</v>
      </c>
      <c r="I868" s="269">
        <f t="shared" si="34"/>
        <v>25.89</v>
      </c>
      <c r="J868" s="1114"/>
      <c r="K868" s="270">
        <f>F868*I868</f>
        <v>207.12</v>
      </c>
    </row>
    <row r="869" spans="2:12" ht="48" customHeight="1">
      <c r="B869" s="264" t="s">
        <v>3762</v>
      </c>
      <c r="C869" s="264" t="s">
        <v>184</v>
      </c>
      <c r="D869" s="264">
        <v>89987</v>
      </c>
      <c r="E869" s="1375" t="s">
        <v>3746</v>
      </c>
      <c r="F869" s="1376">
        <f>'MC- URBANIZAÇÃO '!P21</f>
        <v>2</v>
      </c>
      <c r="G869" s="1373" t="s">
        <v>275</v>
      </c>
      <c r="H869" s="1373">
        <v>71.78</v>
      </c>
      <c r="I869" s="269">
        <f t="shared" si="34"/>
        <v>91.49</v>
      </c>
      <c r="J869" s="1114"/>
      <c r="K869" s="270">
        <f>F869*I869</f>
        <v>182.98</v>
      </c>
    </row>
    <row r="870" spans="2:12" ht="48" customHeight="1">
      <c r="B870" s="264" t="s">
        <v>3763</v>
      </c>
      <c r="C870" s="264" t="s">
        <v>182</v>
      </c>
      <c r="D870" s="264">
        <v>150127</v>
      </c>
      <c r="E870" s="1375" t="s">
        <v>3748</v>
      </c>
      <c r="F870" s="1376">
        <f>'MC- URBANIZAÇÃO '!Q21</f>
        <v>7.04</v>
      </c>
      <c r="G870" s="1373" t="s">
        <v>2</v>
      </c>
      <c r="H870" s="1373">
        <v>88.24</v>
      </c>
      <c r="I870" s="269">
        <f t="shared" si="34"/>
        <v>112.47</v>
      </c>
      <c r="J870" s="1114"/>
      <c r="K870" s="270">
        <f>F870*I870</f>
        <v>791.79</v>
      </c>
    </row>
    <row r="871" spans="2:12" ht="48" customHeight="1">
      <c r="B871" s="264" t="s">
        <v>3764</v>
      </c>
      <c r="C871" s="264" t="s">
        <v>184</v>
      </c>
      <c r="D871" s="264">
        <v>94264</v>
      </c>
      <c r="E871" s="1375" t="s">
        <v>3750</v>
      </c>
      <c r="F871" s="1376">
        <f>'MC- URBANIZAÇÃO '!R21</f>
        <v>9.42</v>
      </c>
      <c r="G871" s="1373" t="s">
        <v>3</v>
      </c>
      <c r="H871" s="1373">
        <v>41.81</v>
      </c>
      <c r="I871" s="269">
        <f t="shared" si="34"/>
        <v>53.29</v>
      </c>
      <c r="J871" s="1114"/>
      <c r="K871" s="270">
        <f>F871*I871</f>
        <v>501.99</v>
      </c>
    </row>
    <row r="872" spans="2:12" ht="51.6" customHeight="1">
      <c r="B872" s="264" t="s">
        <v>3765</v>
      </c>
      <c r="C872" s="264" t="s">
        <v>182</v>
      </c>
      <c r="D872" s="264">
        <v>190231</v>
      </c>
      <c r="E872" s="1375" t="s">
        <v>3747</v>
      </c>
      <c r="F872" s="1376">
        <f>'MC- URBANIZAÇÃO '!S21</f>
        <v>8</v>
      </c>
      <c r="G872" s="1373" t="s">
        <v>275</v>
      </c>
      <c r="H872" s="1373">
        <v>91.68</v>
      </c>
      <c r="I872" s="269">
        <f t="shared" si="34"/>
        <v>116.86</v>
      </c>
      <c r="J872" s="1114"/>
      <c r="K872" s="270">
        <f>F872*I872</f>
        <v>934.88</v>
      </c>
    </row>
    <row r="873" spans="2:12" ht="26.25" thickBot="1">
      <c r="B873" s="1362"/>
      <c r="C873" s="1484" t="s">
        <v>3669</v>
      </c>
      <c r="D873" s="1484"/>
      <c r="E873" s="1484"/>
      <c r="F873" s="1484"/>
      <c r="G873" s="1484"/>
      <c r="H873" s="1484"/>
      <c r="I873" s="1533"/>
      <c r="J873" s="1363"/>
      <c r="K873" s="1364">
        <f>SUM(K855:K872)</f>
        <v>222157.07</v>
      </c>
    </row>
    <row r="874" spans="2:12" ht="41.25" customHeight="1" thickBot="1">
      <c r="B874" s="1530" t="s">
        <v>24</v>
      </c>
      <c r="C874" s="1531"/>
      <c r="D874" s="1531"/>
      <c r="E874" s="1531"/>
      <c r="F874" s="1531"/>
      <c r="G874" s="1531"/>
      <c r="H874" s="1531"/>
      <c r="I874" s="1532"/>
      <c r="J874" s="1389"/>
      <c r="K874" s="429">
        <f>K853+K850+K847+K837+K830+K820+K756+K746+K741+K22+K873</f>
        <v>26964488.739999998</v>
      </c>
      <c r="L874" s="853"/>
    </row>
    <row r="875" spans="2:12">
      <c r="K875" s="853"/>
    </row>
    <row r="876" spans="2:12">
      <c r="H876" s="291"/>
      <c r="I876" s="1041"/>
      <c r="J876" s="1041"/>
      <c r="K876" s="853"/>
    </row>
    <row r="877" spans="2:12">
      <c r="K877" s="291"/>
    </row>
    <row r="878" spans="2:12">
      <c r="K878" s="259" t="s">
        <v>754</v>
      </c>
    </row>
    <row r="887" spans="6:8">
      <c r="F887" s="1488"/>
      <c r="G887" s="1488"/>
      <c r="H887" s="1488"/>
    </row>
  </sheetData>
  <sheetProtection formatCells="0" formatColumns="0" formatRows="0" insertColumns="0" insertRows="0" insertHyperlinks="0" deleteColumns="0" deleteRows="0" sort="0" autoFilter="0" pivotTables="0"/>
  <mergeCells count="48">
    <mergeCell ref="B756:I756"/>
    <mergeCell ref="F757:K757"/>
    <mergeCell ref="F23:K23"/>
    <mergeCell ref="B10:C10"/>
    <mergeCell ref="D10:E10"/>
    <mergeCell ref="F10:G10"/>
    <mergeCell ref="B11:K11"/>
    <mergeCell ref="B12:K12"/>
    <mergeCell ref="B13:K13"/>
    <mergeCell ref="B14:K14"/>
    <mergeCell ref="B15:B16"/>
    <mergeCell ref="C15:C16"/>
    <mergeCell ref="D15:D16"/>
    <mergeCell ref="K15:K16"/>
    <mergeCell ref="F17:K17"/>
    <mergeCell ref="B741:I741"/>
    <mergeCell ref="B1:K4"/>
    <mergeCell ref="B5:K5"/>
    <mergeCell ref="B6:K6"/>
    <mergeCell ref="B7:K7"/>
    <mergeCell ref="C9:K9"/>
    <mergeCell ref="M17:M18"/>
    <mergeCell ref="M19:M22"/>
    <mergeCell ref="E15:E16"/>
    <mergeCell ref="F15:F16"/>
    <mergeCell ref="G15:G16"/>
    <mergeCell ref="B22:I22"/>
    <mergeCell ref="H15:H16"/>
    <mergeCell ref="M741:M743"/>
    <mergeCell ref="F747:K747"/>
    <mergeCell ref="L745:L746"/>
    <mergeCell ref="M745:M746"/>
    <mergeCell ref="B746:I746"/>
    <mergeCell ref="F811:K811"/>
    <mergeCell ref="B820:I820"/>
    <mergeCell ref="F887:H887"/>
    <mergeCell ref="F821:K821"/>
    <mergeCell ref="B830:I830"/>
    <mergeCell ref="F832:K832"/>
    <mergeCell ref="B837:I837"/>
    <mergeCell ref="F838:K838"/>
    <mergeCell ref="B847:I847"/>
    <mergeCell ref="F851:K851"/>
    <mergeCell ref="B853:I853"/>
    <mergeCell ref="B874:I874"/>
    <mergeCell ref="F848:K848"/>
    <mergeCell ref="B850:I850"/>
    <mergeCell ref="C873:I873"/>
  </mergeCells>
  <phoneticPr fontId="95" type="noConversion"/>
  <hyperlinks>
    <hyperlink ref="D577" r:id="rId1" display="https://app.orcafascio.com/orc/orcamentos/65dcd4ef3ada2806031d3b4e/composicoes/664b66308a85cb0b9b92b720" xr:uid="{00000000-0004-0000-0400-000000000000}"/>
  </hyperlinks>
  <printOptions horizontalCentered="1"/>
  <pageMargins left="0" right="0" top="0.43307086614173229" bottom="0" header="0" footer="0"/>
  <pageSetup paperSize="9" scale="32" fitToHeight="0" orientation="portrait" verticalDpi="300" r:id="rId2"/>
  <rowBreaks count="2" manualBreakCount="2">
    <brk id="53" min="1" max="9" man="1"/>
    <brk id="837" min="1" max="10" man="1"/>
  </rowBreaks>
  <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tabColor theme="7" tint="0.39997558519241921"/>
    <pageSetUpPr fitToPage="1"/>
  </sheetPr>
  <dimension ref="A1:P176"/>
  <sheetViews>
    <sheetView view="pageBreakPreview" topLeftCell="A120" zoomScale="40" zoomScaleNormal="60" zoomScaleSheetLayoutView="40" workbookViewId="0">
      <selection activeCell="F118" sqref="F118"/>
    </sheetView>
  </sheetViews>
  <sheetFormatPr defaultColWidth="9.140625" defaultRowHeight="25.5"/>
  <cols>
    <col min="1" max="2" width="4.42578125" style="259" customWidth="1"/>
    <col min="3" max="4" width="16.7109375" style="259" customWidth="1"/>
    <col min="5" max="5" width="22.7109375" style="259" customWidth="1"/>
    <col min="6" max="6" width="100.7109375" style="259" customWidth="1"/>
    <col min="7" max="8" width="20.7109375" style="259" customWidth="1"/>
    <col min="9" max="9" width="21.7109375" style="259" customWidth="1"/>
    <col min="10" max="10" width="22.5703125" style="259" customWidth="1"/>
    <col min="11" max="11" width="30.7109375" style="259" customWidth="1"/>
    <col min="12" max="12" width="18.5703125" style="259" customWidth="1"/>
    <col min="13" max="13" width="20.7109375" style="259" customWidth="1"/>
    <col min="14" max="14" width="14.85546875" style="259" bestFit="1" customWidth="1"/>
    <col min="15" max="15" width="15.85546875" style="259" customWidth="1"/>
    <col min="16" max="16" width="16.28515625" style="259" customWidth="1"/>
    <col min="17" max="16384" width="9.140625" style="259"/>
  </cols>
  <sheetData>
    <row r="1" spans="1:16" ht="24.95" customHeight="1">
      <c r="A1" s="430"/>
      <c r="B1" s="431"/>
      <c r="C1" s="1461"/>
      <c r="D1" s="1462"/>
      <c r="E1" s="1462"/>
      <c r="F1" s="1462"/>
      <c r="G1" s="1462"/>
      <c r="H1" s="1462"/>
      <c r="I1" s="1462"/>
      <c r="J1" s="1462"/>
      <c r="K1" s="1540"/>
    </row>
    <row r="2" spans="1:16" ht="24.95" customHeight="1">
      <c r="A2" s="432"/>
      <c r="C2" s="1463"/>
      <c r="D2" s="1464"/>
      <c r="E2" s="1464"/>
      <c r="F2" s="1464"/>
      <c r="G2" s="1464"/>
      <c r="H2" s="1464"/>
      <c r="I2" s="1464"/>
      <c r="J2" s="1464"/>
      <c r="K2" s="1541"/>
    </row>
    <row r="3" spans="1:16" ht="24.95" customHeight="1">
      <c r="A3" s="432"/>
      <c r="C3" s="1463"/>
      <c r="D3" s="1464"/>
      <c r="E3" s="1464"/>
      <c r="F3" s="1464"/>
      <c r="G3" s="1464"/>
      <c r="H3" s="1464"/>
      <c r="I3" s="1464"/>
      <c r="J3" s="1464"/>
      <c r="K3" s="1541"/>
    </row>
    <row r="4" spans="1:16" ht="24.95" customHeight="1">
      <c r="A4" s="432"/>
      <c r="C4" s="1463"/>
      <c r="D4" s="1464"/>
      <c r="E4" s="1464"/>
      <c r="F4" s="1464"/>
      <c r="G4" s="1464"/>
      <c r="H4" s="1464"/>
      <c r="I4" s="1464"/>
      <c r="J4" s="1464"/>
      <c r="K4" s="1541"/>
    </row>
    <row r="5" spans="1:16" ht="27.95" customHeight="1">
      <c r="A5" s="432"/>
      <c r="C5" s="1542" t="s">
        <v>17</v>
      </c>
      <c r="D5" s="1500"/>
      <c r="E5" s="1500"/>
      <c r="F5" s="1500"/>
      <c r="G5" s="1500"/>
      <c r="H5" s="1500"/>
      <c r="I5" s="1500"/>
      <c r="J5" s="1500"/>
      <c r="K5" s="1543"/>
    </row>
    <row r="6" spans="1:16" ht="27.95" customHeight="1">
      <c r="A6" s="432"/>
      <c r="C6" s="1544" t="s">
        <v>185</v>
      </c>
      <c r="D6" s="1503"/>
      <c r="E6" s="1503"/>
      <c r="F6" s="1503"/>
      <c r="G6" s="1503"/>
      <c r="H6" s="1503"/>
      <c r="I6" s="1503"/>
      <c r="J6" s="1503"/>
      <c r="K6" s="1545"/>
    </row>
    <row r="7" spans="1:16" ht="27.95" customHeight="1">
      <c r="A7" s="432"/>
      <c r="C7" s="1544" t="s">
        <v>16</v>
      </c>
      <c r="D7" s="1503"/>
      <c r="E7" s="1503"/>
      <c r="F7" s="1503"/>
      <c r="G7" s="1503"/>
      <c r="H7" s="1503"/>
      <c r="I7" s="1503"/>
      <c r="J7" s="1503"/>
      <c r="K7" s="1545"/>
    </row>
    <row r="8" spans="1:16" ht="24.95" customHeight="1">
      <c r="A8" s="432"/>
      <c r="C8" s="383"/>
      <c r="D8" s="384"/>
      <c r="E8" s="384"/>
      <c r="F8" s="384"/>
      <c r="G8" s="384"/>
      <c r="H8" s="384"/>
      <c r="I8" s="384"/>
      <c r="J8" s="384"/>
      <c r="K8" s="385"/>
    </row>
    <row r="9" spans="1:16" ht="50.45" customHeight="1">
      <c r="A9" s="432"/>
      <c r="C9" s="946" t="s">
        <v>532</v>
      </c>
      <c r="D9" s="1490" t="s">
        <v>1069</v>
      </c>
      <c r="E9" s="1490"/>
      <c r="F9" s="1490"/>
      <c r="G9" s="1490"/>
      <c r="H9" s="1490"/>
      <c r="I9" s="1490"/>
      <c r="J9" s="1490"/>
      <c r="K9" s="1546"/>
    </row>
    <row r="10" spans="1:16" ht="30" customHeight="1">
      <c r="A10" s="432"/>
      <c r="C10" s="1547" t="s">
        <v>533</v>
      </c>
      <c r="D10" s="1490"/>
      <c r="E10" s="1491" t="e">
        <f>K163</f>
        <v>#REF!</v>
      </c>
      <c r="F10" s="1491"/>
      <c r="G10" s="1548" t="s">
        <v>1071</v>
      </c>
      <c r="H10" s="1548"/>
      <c r="I10" s="947" t="s">
        <v>1070</v>
      </c>
      <c r="J10" s="947"/>
      <c r="K10" s="948"/>
    </row>
    <row r="11" spans="1:16" ht="30" customHeight="1">
      <c r="A11" s="432"/>
      <c r="C11" s="1549" t="s">
        <v>935</v>
      </c>
      <c r="D11" s="1492"/>
      <c r="E11" s="1492"/>
      <c r="F11" s="1492"/>
      <c r="G11" s="1492"/>
      <c r="H11" s="1492"/>
      <c r="I11" s="1492"/>
      <c r="J11" s="1492"/>
      <c r="K11" s="1550"/>
    </row>
    <row r="12" spans="1:16" ht="24.95" customHeight="1" thickBot="1">
      <c r="A12" s="432"/>
      <c r="C12" s="1551"/>
      <c r="D12" s="1512"/>
      <c r="E12" s="1512"/>
      <c r="F12" s="1512"/>
      <c r="G12" s="1512"/>
      <c r="H12" s="1512"/>
      <c r="I12" s="1512"/>
      <c r="J12" s="1512"/>
      <c r="K12" s="1552"/>
    </row>
    <row r="13" spans="1:16" ht="36.75" customHeight="1" thickTop="1" thickBot="1">
      <c r="A13" s="432"/>
      <c r="C13" s="1553" t="s">
        <v>22</v>
      </c>
      <c r="D13" s="1515"/>
      <c r="E13" s="1515"/>
      <c r="F13" s="1515"/>
      <c r="G13" s="1515"/>
      <c r="H13" s="1515"/>
      <c r="I13" s="1515"/>
      <c r="J13" s="1515"/>
      <c r="K13" s="1554"/>
    </row>
    <row r="14" spans="1:16" ht="8.1" customHeight="1" thickTop="1">
      <c r="A14" s="432"/>
      <c r="C14" s="1555"/>
      <c r="D14" s="1518"/>
      <c r="E14" s="1518"/>
      <c r="F14" s="1518"/>
      <c r="G14" s="1518"/>
      <c r="H14" s="1518"/>
      <c r="I14" s="1518"/>
      <c r="J14" s="1518"/>
      <c r="K14" s="1556"/>
    </row>
    <row r="15" spans="1:16" ht="48">
      <c r="A15" s="432"/>
      <c r="C15" s="1562" t="s">
        <v>6</v>
      </c>
      <c r="D15" s="1520" t="s">
        <v>181</v>
      </c>
      <c r="E15" s="1520" t="s">
        <v>473</v>
      </c>
      <c r="F15" s="1520" t="s">
        <v>5</v>
      </c>
      <c r="G15" s="1509" t="s">
        <v>146</v>
      </c>
      <c r="H15" s="1509" t="s">
        <v>20</v>
      </c>
      <c r="I15" s="1509" t="s">
        <v>23</v>
      </c>
      <c r="J15" s="475" t="s">
        <v>229</v>
      </c>
      <c r="K15" s="1559" t="s">
        <v>354</v>
      </c>
      <c r="M15" s="260"/>
      <c r="N15" s="261"/>
      <c r="O15" s="261"/>
      <c r="P15" s="261"/>
    </row>
    <row r="16" spans="1:16">
      <c r="A16" s="432"/>
      <c r="C16" s="1563"/>
      <c r="D16" s="1521"/>
      <c r="E16" s="1521"/>
      <c r="F16" s="1521"/>
      <c r="G16" s="1509"/>
      <c r="H16" s="1509"/>
      <c r="I16" s="1509"/>
      <c r="J16" s="474">
        <v>0.27460000000000001</v>
      </c>
      <c r="K16" s="1559"/>
      <c r="M16" s="260"/>
      <c r="N16" s="261"/>
      <c r="O16" s="261"/>
      <c r="P16" s="261"/>
    </row>
    <row r="17" spans="1:16" ht="27.95" customHeight="1">
      <c r="A17" s="432"/>
      <c r="C17" s="473">
        <v>1</v>
      </c>
      <c r="D17" s="477"/>
      <c r="E17" s="477"/>
      <c r="F17" s="479" t="s">
        <v>1</v>
      </c>
      <c r="G17" s="1560"/>
      <c r="H17" s="1560"/>
      <c r="I17" s="1560"/>
      <c r="J17" s="1560"/>
      <c r="K17" s="1561"/>
      <c r="M17" s="1454"/>
      <c r="N17" s="1453"/>
      <c r="O17" s="1453"/>
      <c r="P17" s="1453"/>
    </row>
    <row r="18" spans="1:16" ht="45" customHeight="1">
      <c r="A18" s="432"/>
      <c r="C18" s="262" t="s">
        <v>18</v>
      </c>
      <c r="D18" s="263" t="s">
        <v>184</v>
      </c>
      <c r="E18" s="264">
        <v>103689</v>
      </c>
      <c r="F18" s="265" t="s">
        <v>246</v>
      </c>
      <c r="G18" s="266">
        <v>18</v>
      </c>
      <c r="H18" s="267" t="s">
        <v>2</v>
      </c>
      <c r="I18" s="268">
        <v>309.41000000000003</v>
      </c>
      <c r="J18" s="269">
        <f t="shared" ref="J18:J24" si="0">I18*(1+$J$16)</f>
        <v>394.37</v>
      </c>
      <c r="K18" s="270">
        <f t="shared" ref="K18:K24" si="1">G18*J18</f>
        <v>7098.66</v>
      </c>
      <c r="M18" s="1454"/>
      <c r="N18" s="1453"/>
      <c r="O18" s="1453"/>
      <c r="P18" s="1453"/>
    </row>
    <row r="19" spans="1:16" ht="45" hidden="1" customHeight="1">
      <c r="A19" s="432"/>
      <c r="C19" s="262" t="s">
        <v>19</v>
      </c>
      <c r="D19" s="263" t="s">
        <v>182</v>
      </c>
      <c r="E19" s="264">
        <v>10005</v>
      </c>
      <c r="F19" s="265" t="s">
        <v>424</v>
      </c>
      <c r="G19" s="266"/>
      <c r="H19" s="267" t="s">
        <v>2</v>
      </c>
      <c r="I19" s="268">
        <v>433.79</v>
      </c>
      <c r="J19" s="269">
        <f t="shared" si="0"/>
        <v>552.91</v>
      </c>
      <c r="K19" s="270">
        <f t="shared" si="1"/>
        <v>0</v>
      </c>
      <c r="M19" s="260"/>
      <c r="N19" s="261"/>
      <c r="O19" s="261"/>
      <c r="P19" s="261"/>
    </row>
    <row r="20" spans="1:16" ht="45" customHeight="1">
      <c r="A20" s="432"/>
      <c r="C20" s="262" t="s">
        <v>19</v>
      </c>
      <c r="D20" s="263" t="s">
        <v>184</v>
      </c>
      <c r="E20" s="264">
        <v>99064</v>
      </c>
      <c r="F20" s="265" t="s">
        <v>474</v>
      </c>
      <c r="G20" s="266">
        <f>'MC-PAV e DREN SUPER'!C126</f>
        <v>6585.35</v>
      </c>
      <c r="H20" s="267" t="s">
        <v>3</v>
      </c>
      <c r="I20" s="268">
        <v>0.47</v>
      </c>
      <c r="J20" s="269">
        <f t="shared" si="0"/>
        <v>0.6</v>
      </c>
      <c r="K20" s="270">
        <f t="shared" si="1"/>
        <v>3951.21</v>
      </c>
      <c r="M20" s="260"/>
      <c r="N20" s="261"/>
      <c r="O20" s="261"/>
      <c r="P20" s="261"/>
    </row>
    <row r="21" spans="1:16" ht="45" hidden="1" customHeight="1">
      <c r="A21" s="432"/>
      <c r="C21" s="262" t="s">
        <v>423</v>
      </c>
      <c r="D21" s="263" t="s">
        <v>183</v>
      </c>
      <c r="E21" s="264" t="s">
        <v>342</v>
      </c>
      <c r="F21" s="265" t="s">
        <v>344</v>
      </c>
      <c r="G21" s="266"/>
      <c r="H21" s="264" t="s">
        <v>275</v>
      </c>
      <c r="I21" s="268">
        <f>'CPU I'!G37</f>
        <v>49687.83</v>
      </c>
      <c r="J21" s="269">
        <f t="shared" si="0"/>
        <v>63332.11</v>
      </c>
      <c r="K21" s="270">
        <f t="shared" si="1"/>
        <v>0</v>
      </c>
      <c r="M21" s="260"/>
      <c r="N21" s="261"/>
      <c r="O21" s="261"/>
      <c r="P21" s="261"/>
    </row>
    <row r="22" spans="1:16" ht="45" customHeight="1">
      <c r="A22" s="432"/>
      <c r="C22" s="262" t="s">
        <v>341</v>
      </c>
      <c r="D22" s="263" t="s">
        <v>183</v>
      </c>
      <c r="E22" s="271" t="s">
        <v>200</v>
      </c>
      <c r="F22" s="272" t="s">
        <v>353</v>
      </c>
      <c r="G22" s="266">
        <v>1</v>
      </c>
      <c r="H22" s="264" t="s">
        <v>275</v>
      </c>
      <c r="I22" s="268">
        <f>'CPU II'!G28</f>
        <v>25782</v>
      </c>
      <c r="J22" s="269">
        <f t="shared" si="0"/>
        <v>32861.74</v>
      </c>
      <c r="K22" s="270">
        <f t="shared" si="1"/>
        <v>32861.74</v>
      </c>
      <c r="M22" s="1454"/>
      <c r="N22" s="1453"/>
      <c r="O22" s="1453"/>
      <c r="P22" s="1453"/>
    </row>
    <row r="23" spans="1:16" ht="45" customHeight="1">
      <c r="A23" s="432"/>
      <c r="C23" s="262" t="s">
        <v>423</v>
      </c>
      <c r="D23" s="263" t="s">
        <v>183</v>
      </c>
      <c r="E23" s="271" t="s">
        <v>342</v>
      </c>
      <c r="F23" s="272" t="str">
        <f>'CPU I'!C10</f>
        <v>Administração da obra</v>
      </c>
      <c r="G23" s="266">
        <v>12</v>
      </c>
      <c r="H23" s="264" t="s">
        <v>1030</v>
      </c>
      <c r="I23" s="268">
        <f>'CPU I'!G37</f>
        <v>49687.83</v>
      </c>
      <c r="J23" s="269">
        <f t="shared" si="0"/>
        <v>63332.11</v>
      </c>
      <c r="K23" s="270">
        <f t="shared" si="1"/>
        <v>759985.32</v>
      </c>
      <c r="L23" s="934"/>
      <c r="M23" s="1454"/>
      <c r="N23" s="1453"/>
      <c r="O23" s="1453"/>
      <c r="P23" s="1453"/>
    </row>
    <row r="24" spans="1:16" ht="45" customHeight="1">
      <c r="A24" s="432"/>
      <c r="C24" s="262" t="s">
        <v>1011</v>
      </c>
      <c r="D24" s="263" t="s">
        <v>183</v>
      </c>
      <c r="E24" s="271" t="s">
        <v>200</v>
      </c>
      <c r="F24" s="272" t="s">
        <v>1068</v>
      </c>
      <c r="G24" s="266">
        <v>2</v>
      </c>
      <c r="H24" s="264" t="s">
        <v>275</v>
      </c>
      <c r="I24" s="268">
        <f>'CPU Ia'!I54</f>
        <v>8506.9</v>
      </c>
      <c r="J24" s="269">
        <f t="shared" si="0"/>
        <v>10842.89</v>
      </c>
      <c r="K24" s="270">
        <f t="shared" si="1"/>
        <v>21685.78</v>
      </c>
      <c r="M24" s="1454"/>
      <c r="N24" s="1453"/>
      <c r="O24" s="1453"/>
      <c r="P24" s="1453"/>
    </row>
    <row r="25" spans="1:16" ht="27.95" customHeight="1">
      <c r="A25" s="432"/>
      <c r="C25" s="1534" t="s">
        <v>8</v>
      </c>
      <c r="D25" s="1535"/>
      <c r="E25" s="1535"/>
      <c r="F25" s="1535"/>
      <c r="G25" s="1535"/>
      <c r="H25" s="1535"/>
      <c r="I25" s="1535"/>
      <c r="J25" s="1536"/>
      <c r="K25" s="290">
        <f>SUM(K18:K24)</f>
        <v>825582.71</v>
      </c>
      <c r="M25" s="1454"/>
      <c r="N25" s="1453"/>
      <c r="O25" s="1453"/>
      <c r="P25" s="1453"/>
    </row>
    <row r="26" spans="1:16" ht="27.95" customHeight="1">
      <c r="A26" s="432"/>
      <c r="C26" s="473">
        <v>2</v>
      </c>
      <c r="D26" s="478"/>
      <c r="E26" s="478"/>
      <c r="F26" s="479" t="s">
        <v>355</v>
      </c>
      <c r="G26" s="1560"/>
      <c r="H26" s="1560"/>
      <c r="I26" s="1560"/>
      <c r="J26" s="1560"/>
      <c r="K26" s="1561"/>
      <c r="M26" s="1454"/>
      <c r="N26" s="1453"/>
      <c r="O26" s="1453"/>
      <c r="P26" s="1453"/>
    </row>
    <row r="27" spans="1:16" ht="45" customHeight="1">
      <c r="A27" s="432"/>
      <c r="C27" s="262" t="s">
        <v>4</v>
      </c>
      <c r="D27" s="273" t="s">
        <v>184</v>
      </c>
      <c r="E27" s="271" t="s">
        <v>1005</v>
      </c>
      <c r="F27" s="274" t="s">
        <v>214</v>
      </c>
      <c r="G27" s="275">
        <f>'MC-PAV e DREN SUPER'!I126</f>
        <v>129.61000000000001</v>
      </c>
      <c r="H27" s="267" t="s">
        <v>0</v>
      </c>
      <c r="I27" s="276">
        <v>184.86</v>
      </c>
      <c r="J27" s="269">
        <f>I27*(1+$J$16)</f>
        <v>235.62</v>
      </c>
      <c r="K27" s="270">
        <f>G27*J27</f>
        <v>30538.71</v>
      </c>
      <c r="M27" s="1454"/>
      <c r="N27" s="1453"/>
      <c r="O27" s="1453"/>
      <c r="P27" s="1453"/>
    </row>
    <row r="28" spans="1:16" ht="102">
      <c r="A28" s="432"/>
      <c r="C28" s="262" t="s">
        <v>1006</v>
      </c>
      <c r="D28" s="273" t="s">
        <v>184</v>
      </c>
      <c r="E28" s="264">
        <v>100981</v>
      </c>
      <c r="F28" s="274" t="s">
        <v>1008</v>
      </c>
      <c r="G28" s="266">
        <f>'MC-PAV e DREN SUPER'!R126</f>
        <v>663.15</v>
      </c>
      <c r="H28" s="267" t="s">
        <v>0</v>
      </c>
      <c r="I28" s="286">
        <v>9.2799999999999994</v>
      </c>
      <c r="J28" s="269">
        <f>I28*(1+$J$16)</f>
        <v>11.83</v>
      </c>
      <c r="K28" s="270">
        <f>G28*J28</f>
        <v>7845.06</v>
      </c>
      <c r="M28" s="260"/>
      <c r="N28" s="261"/>
      <c r="O28" s="261"/>
      <c r="P28" s="261"/>
    </row>
    <row r="29" spans="1:16" ht="45" customHeight="1">
      <c r="A29" s="432"/>
      <c r="C29" s="262" t="s">
        <v>1007</v>
      </c>
      <c r="D29" s="277" t="s">
        <v>184</v>
      </c>
      <c r="E29" s="264">
        <v>97914</v>
      </c>
      <c r="F29" s="274" t="s">
        <v>597</v>
      </c>
      <c r="G29" s="266">
        <f>'MC-PAV e DREN SUPER'!S126</f>
        <v>13276.25</v>
      </c>
      <c r="H29" s="267" t="s">
        <v>221</v>
      </c>
      <c r="I29" s="284">
        <v>2.97</v>
      </c>
      <c r="J29" s="269">
        <f>I29*(1+$J$16)</f>
        <v>3.79</v>
      </c>
      <c r="K29" s="270">
        <f>G29*J29</f>
        <v>50316.99</v>
      </c>
      <c r="M29" s="1454"/>
      <c r="N29" s="1453"/>
      <c r="O29" s="1453"/>
      <c r="P29" s="1453"/>
    </row>
    <row r="30" spans="1:16" ht="27.95" customHeight="1">
      <c r="A30" s="432"/>
      <c r="C30" s="1534" t="s">
        <v>356</v>
      </c>
      <c r="D30" s="1535"/>
      <c r="E30" s="1535"/>
      <c r="F30" s="1535"/>
      <c r="G30" s="1535"/>
      <c r="H30" s="1535"/>
      <c r="I30" s="1535"/>
      <c r="J30" s="1536"/>
      <c r="K30" s="290">
        <f>SUM(K27:K29)</f>
        <v>88700.76</v>
      </c>
      <c r="M30" s="1454"/>
      <c r="N30" s="1453"/>
      <c r="O30" s="1453"/>
      <c r="P30" s="1453"/>
    </row>
    <row r="31" spans="1:16" ht="27.95" customHeight="1">
      <c r="A31" s="432"/>
      <c r="C31" s="473">
        <v>3</v>
      </c>
      <c r="D31" s="476"/>
      <c r="E31" s="476"/>
      <c r="F31" s="305" t="s">
        <v>620</v>
      </c>
      <c r="G31" s="1527"/>
      <c r="H31" s="1527"/>
      <c r="I31" s="1527"/>
      <c r="J31" s="1527"/>
      <c r="K31" s="1528"/>
      <c r="M31" s="260"/>
      <c r="N31" s="261"/>
      <c r="O31" s="261"/>
      <c r="P31" s="261"/>
    </row>
    <row r="32" spans="1:16" ht="45" customHeight="1">
      <c r="A32" s="432"/>
      <c r="C32" s="278" t="s">
        <v>9</v>
      </c>
      <c r="D32" s="273" t="s">
        <v>184</v>
      </c>
      <c r="E32" s="264">
        <v>94304</v>
      </c>
      <c r="F32" s="274" t="s">
        <v>938</v>
      </c>
      <c r="G32" s="275">
        <f>'MC-PAV e DREN SUPER'!J126</f>
        <v>90.74</v>
      </c>
      <c r="H32" s="267" t="s">
        <v>0</v>
      </c>
      <c r="I32" s="286">
        <v>72.930000000000007</v>
      </c>
      <c r="J32" s="269">
        <f t="shared" ref="J32:J38" si="2">I32*(1+$J$16)</f>
        <v>92.96</v>
      </c>
      <c r="K32" s="270">
        <f t="shared" ref="K32:K38" si="3">G32*J32</f>
        <v>8435.19</v>
      </c>
      <c r="M32" s="260"/>
      <c r="N32" s="261"/>
      <c r="O32" s="261"/>
      <c r="P32" s="261"/>
    </row>
    <row r="33" spans="1:16" ht="45" customHeight="1">
      <c r="A33" s="432"/>
      <c r="C33" s="278" t="s">
        <v>26</v>
      </c>
      <c r="D33" s="273" t="s">
        <v>184</v>
      </c>
      <c r="E33" s="264">
        <v>95877</v>
      </c>
      <c r="F33" s="274" t="s">
        <v>599</v>
      </c>
      <c r="G33" s="275">
        <f>'MC-PAV e DREN SUPER'!K126</f>
        <v>3538.86</v>
      </c>
      <c r="H33" s="267" t="s">
        <v>602</v>
      </c>
      <c r="I33" s="286">
        <v>1.89</v>
      </c>
      <c r="J33" s="269">
        <f t="shared" si="2"/>
        <v>2.41</v>
      </c>
      <c r="K33" s="270">
        <f t="shared" si="3"/>
        <v>8528.65</v>
      </c>
      <c r="M33" s="260"/>
      <c r="N33" s="261"/>
      <c r="O33" s="261"/>
      <c r="P33" s="261"/>
    </row>
    <row r="34" spans="1:16" ht="45" customHeight="1">
      <c r="A34" s="432"/>
      <c r="C34" s="278" t="s">
        <v>63</v>
      </c>
      <c r="D34" s="264" t="s">
        <v>184</v>
      </c>
      <c r="E34" s="271">
        <v>93590</v>
      </c>
      <c r="F34" s="274" t="s">
        <v>600</v>
      </c>
      <c r="G34" s="275">
        <f>'MC-PAV e DREN SUPER'!L126</f>
        <v>861.12</v>
      </c>
      <c r="H34" s="267" t="s">
        <v>602</v>
      </c>
      <c r="I34" s="284">
        <v>0.99</v>
      </c>
      <c r="J34" s="269">
        <f t="shared" si="2"/>
        <v>1.26</v>
      </c>
      <c r="K34" s="270">
        <f t="shared" si="3"/>
        <v>1085.01</v>
      </c>
      <c r="M34" s="260"/>
      <c r="N34" s="261"/>
      <c r="O34" s="261"/>
      <c r="P34" s="261"/>
    </row>
    <row r="35" spans="1:16" ht="45" customHeight="1">
      <c r="A35" s="432"/>
      <c r="C35" s="278" t="s">
        <v>997</v>
      </c>
      <c r="D35" s="273" t="s">
        <v>184</v>
      </c>
      <c r="E35" s="271" t="s">
        <v>27</v>
      </c>
      <c r="F35" s="274" t="s">
        <v>202</v>
      </c>
      <c r="G35" s="275">
        <f>'MC-PAV e DREN SUPER'!M126</f>
        <v>10105.280000000001</v>
      </c>
      <c r="H35" s="267" t="s">
        <v>2</v>
      </c>
      <c r="I35" s="276">
        <v>93.7</v>
      </c>
      <c r="J35" s="269">
        <f t="shared" si="2"/>
        <v>119.43</v>
      </c>
      <c r="K35" s="270">
        <f t="shared" si="3"/>
        <v>1206873.5900000001</v>
      </c>
      <c r="M35" s="260"/>
      <c r="N35" s="261"/>
      <c r="O35" s="261"/>
      <c r="P35" s="261"/>
    </row>
    <row r="36" spans="1:16" ht="45" customHeight="1">
      <c r="A36" s="432"/>
      <c r="C36" s="278" t="s">
        <v>998</v>
      </c>
      <c r="D36" s="273" t="s">
        <v>184</v>
      </c>
      <c r="E36" s="271" t="s">
        <v>147</v>
      </c>
      <c r="F36" s="274" t="s">
        <v>148</v>
      </c>
      <c r="G36" s="275">
        <f>'MC-PAV e DREN SUPER'!O126</f>
        <v>533.54</v>
      </c>
      <c r="H36" s="266" t="s">
        <v>0</v>
      </c>
      <c r="I36" s="520">
        <v>16.09</v>
      </c>
      <c r="J36" s="269">
        <f t="shared" si="2"/>
        <v>20.51</v>
      </c>
      <c r="K36" s="270">
        <f t="shared" si="3"/>
        <v>10942.91</v>
      </c>
      <c r="M36" s="260"/>
      <c r="N36" s="261"/>
      <c r="O36" s="261"/>
      <c r="P36" s="261"/>
    </row>
    <row r="37" spans="1:16" ht="45" customHeight="1">
      <c r="A37" s="432"/>
      <c r="C37" s="278" t="s">
        <v>999</v>
      </c>
      <c r="D37" s="273" t="s">
        <v>184</v>
      </c>
      <c r="E37" s="271" t="s">
        <v>61</v>
      </c>
      <c r="F37" s="274" t="s">
        <v>62</v>
      </c>
      <c r="G37" s="275">
        <f>'MC-PAV e DREN SUPER'!Q126</f>
        <v>12407.19</v>
      </c>
      <c r="H37" s="264" t="s">
        <v>3</v>
      </c>
      <c r="I37" s="276">
        <v>48.52</v>
      </c>
      <c r="J37" s="269">
        <f t="shared" si="2"/>
        <v>61.84</v>
      </c>
      <c r="K37" s="270">
        <f t="shared" si="3"/>
        <v>767260.63</v>
      </c>
    </row>
    <row r="38" spans="1:16" ht="127.5">
      <c r="A38" s="432"/>
      <c r="C38" s="278" t="s">
        <v>1000</v>
      </c>
      <c r="D38" s="273" t="s">
        <v>184</v>
      </c>
      <c r="E38" s="279" t="s">
        <v>936</v>
      </c>
      <c r="F38" s="280" t="s">
        <v>1001</v>
      </c>
      <c r="G38" s="275">
        <f>'MC-PAV e DREN SUPER'!P126</f>
        <v>12407.19</v>
      </c>
      <c r="H38" s="264" t="s">
        <v>3</v>
      </c>
      <c r="I38" s="269">
        <v>46.82</v>
      </c>
      <c r="J38" s="269">
        <f t="shared" si="2"/>
        <v>59.68</v>
      </c>
      <c r="K38" s="270">
        <f t="shared" si="3"/>
        <v>740461.1</v>
      </c>
    </row>
    <row r="39" spans="1:16" ht="27.95" customHeight="1">
      <c r="A39" s="432"/>
      <c r="C39" s="1524" t="s">
        <v>11</v>
      </c>
      <c r="D39" s="1525"/>
      <c r="E39" s="1525"/>
      <c r="F39" s="1525"/>
      <c r="G39" s="1525"/>
      <c r="H39" s="1525"/>
      <c r="I39" s="1525"/>
      <c r="J39" s="1525"/>
      <c r="K39" s="290">
        <f>SUM(K32:K38)</f>
        <v>2743587.08</v>
      </c>
    </row>
    <row r="40" spans="1:16" ht="27.95" customHeight="1">
      <c r="A40" s="432"/>
      <c r="C40" s="303">
        <v>4</v>
      </c>
      <c r="D40" s="304"/>
      <c r="E40" s="304"/>
      <c r="F40" s="305" t="s">
        <v>619</v>
      </c>
      <c r="G40" s="1527"/>
      <c r="H40" s="1527"/>
      <c r="I40" s="1527"/>
      <c r="J40" s="1527"/>
      <c r="K40" s="1528"/>
    </row>
    <row r="41" spans="1:16" ht="45" customHeight="1">
      <c r="A41" s="432"/>
      <c r="C41" s="281" t="s">
        <v>29</v>
      </c>
      <c r="D41" s="287" t="s">
        <v>184</v>
      </c>
      <c r="E41" s="282">
        <v>7745</v>
      </c>
      <c r="F41" s="283" t="s">
        <v>536</v>
      </c>
      <c r="G41" s="266">
        <f>'MC-DRE'!E58</f>
        <v>405</v>
      </c>
      <c r="H41" s="264" t="s">
        <v>275</v>
      </c>
      <c r="I41" s="284">
        <v>113.69</v>
      </c>
      <c r="J41" s="269">
        <f t="shared" ref="J41:J116" si="4">I41*(1+$J$16)</f>
        <v>144.91</v>
      </c>
      <c r="K41" s="270">
        <f t="shared" ref="K41:K116" si="5">G41*J41</f>
        <v>58688.55</v>
      </c>
    </row>
    <row r="42" spans="1:16" ht="127.5">
      <c r="A42" s="432"/>
      <c r="C42" s="285" t="s">
        <v>359</v>
      </c>
      <c r="D42" s="273" t="s">
        <v>184</v>
      </c>
      <c r="E42" s="271" t="s">
        <v>940</v>
      </c>
      <c r="F42" s="272" t="s">
        <v>941</v>
      </c>
      <c r="G42" s="266">
        <f>'MC-DRE'!H58</f>
        <v>173.36</v>
      </c>
      <c r="H42" s="267" t="s">
        <v>0</v>
      </c>
      <c r="I42" s="284">
        <v>13.66</v>
      </c>
      <c r="J42" s="269">
        <f t="shared" si="4"/>
        <v>17.41</v>
      </c>
      <c r="K42" s="270">
        <f t="shared" si="5"/>
        <v>3018.2</v>
      </c>
    </row>
    <row r="43" spans="1:16" ht="102">
      <c r="A43" s="432"/>
      <c r="C43" s="306" t="s">
        <v>360</v>
      </c>
      <c r="D43" s="273" t="s">
        <v>184</v>
      </c>
      <c r="E43" s="264">
        <v>100977</v>
      </c>
      <c r="F43" s="274" t="s">
        <v>939</v>
      </c>
      <c r="G43" s="266">
        <f>'MC-DRE'!I58</f>
        <v>38.31</v>
      </c>
      <c r="H43" s="267" t="s">
        <v>0</v>
      </c>
      <c r="I43" s="286">
        <v>7.62</v>
      </c>
      <c r="J43" s="269">
        <f t="shared" si="4"/>
        <v>9.7100000000000009</v>
      </c>
      <c r="K43" s="270">
        <f t="shared" si="5"/>
        <v>371.99</v>
      </c>
    </row>
    <row r="44" spans="1:16" ht="45" customHeight="1">
      <c r="A44" s="432"/>
      <c r="C44" s="306" t="s">
        <v>361</v>
      </c>
      <c r="D44" s="277" t="s">
        <v>184</v>
      </c>
      <c r="E44" s="264">
        <v>97914</v>
      </c>
      <c r="F44" s="274" t="s">
        <v>597</v>
      </c>
      <c r="G44" s="266">
        <f>'MC-DRE'!J58</f>
        <v>737.48</v>
      </c>
      <c r="H44" s="267" t="s">
        <v>221</v>
      </c>
      <c r="I44" s="284">
        <v>2.97</v>
      </c>
      <c r="J44" s="269">
        <f t="shared" si="4"/>
        <v>3.79</v>
      </c>
      <c r="K44" s="270">
        <f t="shared" si="5"/>
        <v>2795.05</v>
      </c>
    </row>
    <row r="45" spans="1:16" ht="51">
      <c r="A45" s="432"/>
      <c r="C45" s="306" t="s">
        <v>362</v>
      </c>
      <c r="D45" s="273" t="s">
        <v>184</v>
      </c>
      <c r="E45" s="264">
        <v>101618</v>
      </c>
      <c r="F45" s="274" t="s">
        <v>937</v>
      </c>
      <c r="G45" s="266">
        <f>'MC-DRE'!L58</f>
        <v>298.89999999999998</v>
      </c>
      <c r="H45" s="266" t="s">
        <v>0</v>
      </c>
      <c r="I45" s="286">
        <f>213.45</f>
        <v>213.45</v>
      </c>
      <c r="J45" s="269">
        <f t="shared" si="4"/>
        <v>272.06</v>
      </c>
      <c r="K45" s="270">
        <f t="shared" si="5"/>
        <v>81318.73</v>
      </c>
    </row>
    <row r="46" spans="1:16" ht="102">
      <c r="A46" s="432"/>
      <c r="C46" s="306" t="s">
        <v>363</v>
      </c>
      <c r="D46" s="273" t="s">
        <v>184</v>
      </c>
      <c r="E46" s="264">
        <v>94304</v>
      </c>
      <c r="F46" s="274" t="s">
        <v>938</v>
      </c>
      <c r="G46" s="266">
        <f>'MC-DRE'!N58</f>
        <v>94.54</v>
      </c>
      <c r="H46" s="267" t="s">
        <v>0</v>
      </c>
      <c r="I46" s="286">
        <v>72.930000000000007</v>
      </c>
      <c r="J46" s="269">
        <f t="shared" si="4"/>
        <v>92.96</v>
      </c>
      <c r="K46" s="270">
        <f t="shared" si="5"/>
        <v>8788.44</v>
      </c>
    </row>
    <row r="47" spans="1:16" ht="51">
      <c r="A47" s="432"/>
      <c r="C47" s="306" t="s">
        <v>364</v>
      </c>
      <c r="D47" s="273" t="s">
        <v>184</v>
      </c>
      <c r="E47" s="264">
        <v>95877</v>
      </c>
      <c r="F47" s="274" t="s">
        <v>599</v>
      </c>
      <c r="G47" s="266">
        <f>'MC-DRE'!P58</f>
        <v>2176.1999999999998</v>
      </c>
      <c r="H47" s="267" t="s">
        <v>602</v>
      </c>
      <c r="I47" s="286">
        <v>1.89</v>
      </c>
      <c r="J47" s="269">
        <f>I47*(1+$J$16)</f>
        <v>2.41</v>
      </c>
      <c r="K47" s="270">
        <f>G47*J47</f>
        <v>5244.64</v>
      </c>
    </row>
    <row r="48" spans="1:16" ht="51">
      <c r="A48" s="432"/>
      <c r="C48" s="306" t="s">
        <v>428</v>
      </c>
      <c r="D48" s="264" t="s">
        <v>184</v>
      </c>
      <c r="E48" s="271">
        <v>93590</v>
      </c>
      <c r="F48" s="274" t="s">
        <v>600</v>
      </c>
      <c r="G48" s="266">
        <f>'MC-DRE'!Q58</f>
        <v>529.54</v>
      </c>
      <c r="H48" s="267" t="s">
        <v>602</v>
      </c>
      <c r="I48" s="284">
        <v>0.99</v>
      </c>
      <c r="J48" s="269">
        <f>I48*(1+$J$16)</f>
        <v>1.26</v>
      </c>
      <c r="K48" s="270">
        <f>G48*J48</f>
        <v>667.22</v>
      </c>
    </row>
    <row r="49" spans="1:14" ht="45" customHeight="1">
      <c r="A49" s="432"/>
      <c r="C49" s="306" t="s">
        <v>429</v>
      </c>
      <c r="D49" s="277" t="s">
        <v>184</v>
      </c>
      <c r="E49" s="271" t="s">
        <v>290</v>
      </c>
      <c r="F49" s="274" t="s">
        <v>499</v>
      </c>
      <c r="G49" s="266">
        <f>'MC-DRE'!O58</f>
        <v>40.51</v>
      </c>
      <c r="H49" s="267" t="s">
        <v>0</v>
      </c>
      <c r="I49" s="284">
        <v>17.45</v>
      </c>
      <c r="J49" s="269">
        <f t="shared" si="4"/>
        <v>22.24</v>
      </c>
      <c r="K49" s="270">
        <f t="shared" si="5"/>
        <v>900.94</v>
      </c>
    </row>
    <row r="50" spans="1:14" ht="45" customHeight="1">
      <c r="A50" s="432"/>
      <c r="C50" s="306" t="s">
        <v>945</v>
      </c>
      <c r="D50" s="273" t="s">
        <v>184</v>
      </c>
      <c r="E50" s="264">
        <v>101579</v>
      </c>
      <c r="F50" s="274" t="s">
        <v>498</v>
      </c>
      <c r="G50" s="266">
        <f>'MC-DRE'!R58</f>
        <v>0</v>
      </c>
      <c r="H50" s="266" t="s">
        <v>2</v>
      </c>
      <c r="I50" s="286">
        <v>40.659999999999997</v>
      </c>
      <c r="J50" s="269">
        <f t="shared" si="4"/>
        <v>51.83</v>
      </c>
      <c r="K50" s="270">
        <f t="shared" si="5"/>
        <v>0</v>
      </c>
    </row>
    <row r="51" spans="1:14" ht="45" customHeight="1">
      <c r="A51" s="432"/>
      <c r="C51" s="306" t="s">
        <v>946</v>
      </c>
      <c r="D51" s="273" t="s">
        <v>184</v>
      </c>
      <c r="E51" s="271" t="s">
        <v>348</v>
      </c>
      <c r="F51" s="274" t="s">
        <v>349</v>
      </c>
      <c r="G51" s="266">
        <f>G41</f>
        <v>405</v>
      </c>
      <c r="H51" s="267" t="s">
        <v>3</v>
      </c>
      <c r="I51" s="284">
        <v>59.64</v>
      </c>
      <c r="J51" s="269">
        <f t="shared" si="4"/>
        <v>76.02</v>
      </c>
      <c r="K51" s="270">
        <f t="shared" si="5"/>
        <v>30788.1</v>
      </c>
      <c r="L51" s="291">
        <f>K51+K41</f>
        <v>89476.65</v>
      </c>
      <c r="M51" s="291">
        <f>G51*176.74*1.2746</f>
        <v>91235.49</v>
      </c>
      <c r="N51" s="259">
        <f>M51/L51</f>
        <v>1.0196569719586099</v>
      </c>
    </row>
    <row r="52" spans="1:14" ht="45" customHeight="1">
      <c r="A52" s="432"/>
      <c r="C52" s="281" t="s">
        <v>30</v>
      </c>
      <c r="D52" s="273" t="s">
        <v>184</v>
      </c>
      <c r="E52" s="288" t="s">
        <v>947</v>
      </c>
      <c r="F52" s="289" t="s">
        <v>537</v>
      </c>
      <c r="G52" s="266">
        <f>'MC-DRE'!E101</f>
        <v>1054</v>
      </c>
      <c r="H52" s="264" t="s">
        <v>275</v>
      </c>
      <c r="I52" s="284">
        <v>286.55</v>
      </c>
      <c r="J52" s="269">
        <f t="shared" si="4"/>
        <v>365.24</v>
      </c>
      <c r="K52" s="270">
        <f t="shared" si="5"/>
        <v>384962.96</v>
      </c>
    </row>
    <row r="53" spans="1:14" ht="127.5">
      <c r="A53" s="432"/>
      <c r="C53" s="285" t="s">
        <v>365</v>
      </c>
      <c r="D53" s="273" t="s">
        <v>184</v>
      </c>
      <c r="E53" s="271" t="s">
        <v>940</v>
      </c>
      <c r="F53" s="272" t="s">
        <v>941</v>
      </c>
      <c r="G53" s="266">
        <f>'MC-DRE'!H101</f>
        <v>2078.19</v>
      </c>
      <c r="H53" s="267" t="s">
        <v>0</v>
      </c>
      <c r="I53" s="284">
        <f>I42</f>
        <v>13.66</v>
      </c>
      <c r="J53" s="269">
        <f t="shared" si="4"/>
        <v>17.41</v>
      </c>
      <c r="K53" s="270">
        <f t="shared" si="5"/>
        <v>36181.29</v>
      </c>
    </row>
    <row r="54" spans="1:14" ht="45" customHeight="1">
      <c r="A54" s="432"/>
      <c r="C54" s="285" t="s">
        <v>366</v>
      </c>
      <c r="D54" s="273" t="s">
        <v>184</v>
      </c>
      <c r="E54" s="264">
        <v>100977</v>
      </c>
      <c r="F54" s="274" t="s">
        <v>939</v>
      </c>
      <c r="G54" s="266">
        <f>'MC-DRE'!I101</f>
        <v>297.86</v>
      </c>
      <c r="H54" s="267" t="s">
        <v>0</v>
      </c>
      <c r="I54" s="284">
        <f>I43</f>
        <v>7.62</v>
      </c>
      <c r="J54" s="269">
        <f t="shared" si="4"/>
        <v>9.7100000000000009</v>
      </c>
      <c r="K54" s="270">
        <f t="shared" si="5"/>
        <v>2892.22</v>
      </c>
    </row>
    <row r="55" spans="1:14" ht="45" customHeight="1">
      <c r="A55" s="432"/>
      <c r="C55" s="285" t="s">
        <v>367</v>
      </c>
      <c r="D55" s="277" t="s">
        <v>184</v>
      </c>
      <c r="E55" s="264">
        <v>97914</v>
      </c>
      <c r="F55" s="274" t="s">
        <v>597</v>
      </c>
      <c r="G55" s="266">
        <f>'MC-DRE'!J101</f>
        <v>5733.81</v>
      </c>
      <c r="H55" s="267" t="s">
        <v>221</v>
      </c>
      <c r="I55" s="284">
        <v>2.97</v>
      </c>
      <c r="J55" s="269">
        <f t="shared" si="4"/>
        <v>3.79</v>
      </c>
      <c r="K55" s="270">
        <f t="shared" si="5"/>
        <v>21731.14</v>
      </c>
    </row>
    <row r="56" spans="1:14" ht="45" customHeight="1">
      <c r="A56" s="432"/>
      <c r="C56" s="285" t="s">
        <v>368</v>
      </c>
      <c r="D56" s="273" t="s">
        <v>184</v>
      </c>
      <c r="E56" s="264">
        <v>101618</v>
      </c>
      <c r="F56" s="274" t="s">
        <v>937</v>
      </c>
      <c r="G56" s="266">
        <f>'MC-DRE'!K101</f>
        <v>1285.8800000000001</v>
      </c>
      <c r="H56" s="267" t="s">
        <v>2</v>
      </c>
      <c r="I56" s="286">
        <f>213.45</f>
        <v>213.45</v>
      </c>
      <c r="J56" s="269">
        <f t="shared" si="4"/>
        <v>272.06</v>
      </c>
      <c r="K56" s="270">
        <f t="shared" si="5"/>
        <v>349836.51</v>
      </c>
    </row>
    <row r="57" spans="1:14" ht="102">
      <c r="A57" s="432"/>
      <c r="C57" s="285" t="s">
        <v>369</v>
      </c>
      <c r="D57" s="273" t="s">
        <v>184</v>
      </c>
      <c r="E57" s="264">
        <v>94304</v>
      </c>
      <c r="F57" s="274" t="s">
        <v>938</v>
      </c>
      <c r="G57" s="266">
        <f>'MC-DRE'!N101</f>
        <v>1246.24</v>
      </c>
      <c r="H57" s="266" t="s">
        <v>2</v>
      </c>
      <c r="I57" s="286">
        <v>72.930000000000007</v>
      </c>
      <c r="J57" s="269">
        <f t="shared" si="4"/>
        <v>92.96</v>
      </c>
      <c r="K57" s="270">
        <f t="shared" si="5"/>
        <v>115850.47</v>
      </c>
    </row>
    <row r="58" spans="1:14" ht="45" customHeight="1">
      <c r="A58" s="432"/>
      <c r="C58" s="285" t="s">
        <v>370</v>
      </c>
      <c r="D58" s="273" t="s">
        <v>184</v>
      </c>
      <c r="E58" s="264">
        <v>95877</v>
      </c>
      <c r="F58" s="274" t="s">
        <v>599</v>
      </c>
      <c r="G58" s="266">
        <f>'MC-DRE'!P101</f>
        <v>48603.360000000001</v>
      </c>
      <c r="H58" s="267" t="s">
        <v>602</v>
      </c>
      <c r="I58" s="286">
        <v>1.89</v>
      </c>
      <c r="J58" s="269">
        <f t="shared" si="4"/>
        <v>2.41</v>
      </c>
      <c r="K58" s="270">
        <f t="shared" si="5"/>
        <v>117134.1</v>
      </c>
    </row>
    <row r="59" spans="1:14" ht="45" customHeight="1">
      <c r="A59" s="432"/>
      <c r="C59" s="285" t="s">
        <v>371</v>
      </c>
      <c r="D59" s="264" t="s">
        <v>184</v>
      </c>
      <c r="E59" s="271">
        <v>93590</v>
      </c>
      <c r="F59" s="274" t="s">
        <v>600</v>
      </c>
      <c r="G59" s="266">
        <f>'MC-DRE'!Q101</f>
        <v>11826.82</v>
      </c>
      <c r="H59" s="267" t="s">
        <v>602</v>
      </c>
      <c r="I59" s="284">
        <v>0.99</v>
      </c>
      <c r="J59" s="269">
        <f>I59*(1+$J$16)</f>
        <v>1.26</v>
      </c>
      <c r="K59" s="270">
        <f>G59*J59</f>
        <v>14901.79</v>
      </c>
    </row>
    <row r="60" spans="1:14" ht="45" customHeight="1">
      <c r="A60" s="432"/>
      <c r="C60" s="285" t="s">
        <v>432</v>
      </c>
      <c r="D60" s="277" t="s">
        <v>184</v>
      </c>
      <c r="E60" s="271" t="s">
        <v>290</v>
      </c>
      <c r="F60" s="274" t="s">
        <v>499</v>
      </c>
      <c r="G60" s="266">
        <f>'MC-DRE'!O101</f>
        <v>534.11</v>
      </c>
      <c r="H60" s="267" t="s">
        <v>0</v>
      </c>
      <c r="I60" s="284">
        <f>I49</f>
        <v>17.45</v>
      </c>
      <c r="J60" s="269">
        <f t="shared" si="4"/>
        <v>22.24</v>
      </c>
      <c r="K60" s="270">
        <f t="shared" si="5"/>
        <v>11878.61</v>
      </c>
    </row>
    <row r="61" spans="1:14" ht="45" customHeight="1">
      <c r="A61" s="432"/>
      <c r="C61" s="285" t="s">
        <v>433</v>
      </c>
      <c r="D61" s="273" t="s">
        <v>184</v>
      </c>
      <c r="E61" s="264">
        <v>101579</v>
      </c>
      <c r="F61" s="274" t="s">
        <v>498</v>
      </c>
      <c r="G61" s="266">
        <f>'MC-DRE'!R101</f>
        <v>4039.38</v>
      </c>
      <c r="H61" s="266" t="s">
        <v>2</v>
      </c>
      <c r="I61" s="284">
        <f>I50</f>
        <v>40.659999999999997</v>
      </c>
      <c r="J61" s="269">
        <f t="shared" si="4"/>
        <v>51.83</v>
      </c>
      <c r="K61" s="270">
        <f t="shared" si="5"/>
        <v>209361.07</v>
      </c>
    </row>
    <row r="62" spans="1:14" ht="45" customHeight="1">
      <c r="A62" s="432"/>
      <c r="C62" s="285" t="s">
        <v>993</v>
      </c>
      <c r="D62" s="277" t="s">
        <v>184</v>
      </c>
      <c r="E62" s="264">
        <v>92824</v>
      </c>
      <c r="F62" s="272" t="s">
        <v>350</v>
      </c>
      <c r="G62" s="266">
        <f>'MC-DRE'!S101</f>
        <v>1054</v>
      </c>
      <c r="H62" s="267" t="s">
        <v>3</v>
      </c>
      <c r="I62" s="284">
        <v>86.92</v>
      </c>
      <c r="J62" s="269">
        <f t="shared" si="4"/>
        <v>110.79</v>
      </c>
      <c r="K62" s="270">
        <f t="shared" si="5"/>
        <v>116772.66</v>
      </c>
    </row>
    <row r="63" spans="1:14" ht="45" customHeight="1">
      <c r="A63" s="432"/>
      <c r="C63" s="281" t="s">
        <v>31</v>
      </c>
      <c r="D63" s="287" t="s">
        <v>184</v>
      </c>
      <c r="E63" s="288" t="s">
        <v>948</v>
      </c>
      <c r="F63" s="289" t="s">
        <v>538</v>
      </c>
      <c r="G63" s="266">
        <f>'MC-DRE'!E145</f>
        <v>653</v>
      </c>
      <c r="H63" s="264" t="s">
        <v>275</v>
      </c>
      <c r="I63" s="284">
        <v>514.30999999999995</v>
      </c>
      <c r="J63" s="269">
        <f t="shared" si="4"/>
        <v>655.54</v>
      </c>
      <c r="K63" s="270">
        <f t="shared" si="5"/>
        <v>428067.62</v>
      </c>
    </row>
    <row r="64" spans="1:14" ht="127.5">
      <c r="A64" s="432"/>
      <c r="C64" s="285" t="s">
        <v>372</v>
      </c>
      <c r="D64" s="273" t="s">
        <v>184</v>
      </c>
      <c r="E64" s="271" t="s">
        <v>940</v>
      </c>
      <c r="F64" s="272" t="s">
        <v>941</v>
      </c>
      <c r="G64" s="266">
        <f>'MC-DRE'!H145</f>
        <v>1904.04</v>
      </c>
      <c r="H64" s="267" t="s">
        <v>0</v>
      </c>
      <c r="I64" s="284">
        <f>I42</f>
        <v>13.66</v>
      </c>
      <c r="J64" s="269">
        <f t="shared" si="4"/>
        <v>17.41</v>
      </c>
      <c r="K64" s="270">
        <f t="shared" si="5"/>
        <v>33149.339999999997</v>
      </c>
    </row>
    <row r="65" spans="1:11" ht="102">
      <c r="A65" s="432"/>
      <c r="C65" s="285" t="s">
        <v>373</v>
      </c>
      <c r="D65" s="273" t="s">
        <v>184</v>
      </c>
      <c r="E65" s="264">
        <v>100977</v>
      </c>
      <c r="F65" s="274" t="s">
        <v>939</v>
      </c>
      <c r="G65" s="266">
        <f>'MC-DRE'!I145</f>
        <v>328.07</v>
      </c>
      <c r="H65" s="267" t="s">
        <v>0</v>
      </c>
      <c r="I65" s="284">
        <f>I43</f>
        <v>7.62</v>
      </c>
      <c r="J65" s="269">
        <f t="shared" si="4"/>
        <v>9.7100000000000009</v>
      </c>
      <c r="K65" s="270">
        <f t="shared" si="5"/>
        <v>3185.56</v>
      </c>
    </row>
    <row r="66" spans="1:11" ht="45" customHeight="1">
      <c r="A66" s="432"/>
      <c r="C66" s="285" t="s">
        <v>374</v>
      </c>
      <c r="D66" s="277" t="s">
        <v>184</v>
      </c>
      <c r="E66" s="264">
        <v>97914</v>
      </c>
      <c r="F66" s="274" t="s">
        <v>597</v>
      </c>
      <c r="G66" s="266">
        <f>'MC-DRE'!J145</f>
        <v>6315.36</v>
      </c>
      <c r="H66" s="267" t="s">
        <v>221</v>
      </c>
      <c r="I66" s="284">
        <f>I44</f>
        <v>2.97</v>
      </c>
      <c r="J66" s="269">
        <f t="shared" si="4"/>
        <v>3.79</v>
      </c>
      <c r="K66" s="270">
        <f t="shared" si="5"/>
        <v>23935.21</v>
      </c>
    </row>
    <row r="67" spans="1:11" ht="45" customHeight="1">
      <c r="A67" s="432"/>
      <c r="C67" s="285" t="s">
        <v>375</v>
      </c>
      <c r="D67" s="273" t="s">
        <v>184</v>
      </c>
      <c r="E67" s="264">
        <v>101618</v>
      </c>
      <c r="F67" s="274" t="s">
        <v>937</v>
      </c>
      <c r="G67" s="266">
        <f>'MC-DRE'!K145</f>
        <v>953.38</v>
      </c>
      <c r="H67" s="267" t="s">
        <v>2</v>
      </c>
      <c r="I67" s="286">
        <f>213.45</f>
        <v>213.45</v>
      </c>
      <c r="J67" s="269">
        <f t="shared" si="4"/>
        <v>272.06</v>
      </c>
      <c r="K67" s="270">
        <f t="shared" si="5"/>
        <v>259376.56</v>
      </c>
    </row>
    <row r="68" spans="1:11" ht="45" customHeight="1">
      <c r="A68" s="432"/>
      <c r="C68" s="285" t="s">
        <v>376</v>
      </c>
      <c r="D68" s="273" t="s">
        <v>184</v>
      </c>
      <c r="E68" s="264">
        <v>94304</v>
      </c>
      <c r="F68" s="274" t="s">
        <v>938</v>
      </c>
      <c r="G68" s="266">
        <f>'MC-DRE'!N145</f>
        <v>1103.18</v>
      </c>
      <c r="H68" s="266" t="s">
        <v>2</v>
      </c>
      <c r="I68" s="286">
        <v>72.930000000000007</v>
      </c>
      <c r="J68" s="269">
        <f t="shared" si="4"/>
        <v>92.96</v>
      </c>
      <c r="K68" s="270">
        <f t="shared" si="5"/>
        <v>102551.61</v>
      </c>
    </row>
    <row r="69" spans="1:11" ht="45" customHeight="1">
      <c r="A69" s="432"/>
      <c r="C69" s="285" t="s">
        <v>377</v>
      </c>
      <c r="D69" s="273" t="s">
        <v>184</v>
      </c>
      <c r="E69" s="264">
        <v>95877</v>
      </c>
      <c r="F69" s="274" t="s">
        <v>599</v>
      </c>
      <c r="G69" s="266">
        <f>'MC-DRE'!P145</f>
        <v>43024.02</v>
      </c>
      <c r="H69" s="267" t="s">
        <v>221</v>
      </c>
      <c r="I69" s="286">
        <v>1.89</v>
      </c>
      <c r="J69" s="269">
        <f>I69*(1+$J$16)</f>
        <v>2.41</v>
      </c>
      <c r="K69" s="270">
        <f>G69*J69</f>
        <v>103687.89</v>
      </c>
    </row>
    <row r="70" spans="1:11" ht="45" customHeight="1">
      <c r="A70" s="432"/>
      <c r="C70" s="285" t="s">
        <v>378</v>
      </c>
      <c r="D70" s="264" t="s">
        <v>184</v>
      </c>
      <c r="E70" s="271">
        <v>93590</v>
      </c>
      <c r="F70" s="274" t="s">
        <v>600</v>
      </c>
      <c r="G70" s="266">
        <f>'MC-DRE'!Q145</f>
        <v>10469.18</v>
      </c>
      <c r="H70" s="267" t="s">
        <v>221</v>
      </c>
      <c r="I70" s="284">
        <v>0.99</v>
      </c>
      <c r="J70" s="269">
        <f t="shared" si="4"/>
        <v>1.26</v>
      </c>
      <c r="K70" s="270">
        <f t="shared" si="5"/>
        <v>13191.17</v>
      </c>
    </row>
    <row r="71" spans="1:11" ht="45" customHeight="1">
      <c r="A71" s="432"/>
      <c r="C71" s="285" t="s">
        <v>434</v>
      </c>
      <c r="D71" s="277" t="s">
        <v>184</v>
      </c>
      <c r="E71" s="271" t="s">
        <v>290</v>
      </c>
      <c r="F71" s="274" t="s">
        <v>499</v>
      </c>
      <c r="G71" s="266">
        <f>'MC-DRE'!O145</f>
        <v>472.79</v>
      </c>
      <c r="H71" s="267" t="s">
        <v>0</v>
      </c>
      <c r="I71" s="284">
        <f>I49</f>
        <v>17.45</v>
      </c>
      <c r="J71" s="269">
        <f t="shared" si="4"/>
        <v>22.24</v>
      </c>
      <c r="K71" s="270">
        <f t="shared" si="5"/>
        <v>10514.85</v>
      </c>
    </row>
    <row r="72" spans="1:11" ht="45" customHeight="1">
      <c r="A72" s="432"/>
      <c r="C72" s="285" t="s">
        <v>435</v>
      </c>
      <c r="D72" s="273" t="s">
        <v>184</v>
      </c>
      <c r="E72" s="264">
        <v>101579</v>
      </c>
      <c r="F72" s="274" t="s">
        <v>498</v>
      </c>
      <c r="G72" s="266">
        <f>'MC-DRE'!R145</f>
        <v>3003.28</v>
      </c>
      <c r="H72" s="266" t="s">
        <v>2</v>
      </c>
      <c r="I72" s="284">
        <f>I50</f>
        <v>40.659999999999997</v>
      </c>
      <c r="J72" s="269">
        <f t="shared" si="4"/>
        <v>51.83</v>
      </c>
      <c r="K72" s="270">
        <f t="shared" si="5"/>
        <v>155660</v>
      </c>
    </row>
    <row r="73" spans="1:11" ht="45" customHeight="1">
      <c r="A73" s="432"/>
      <c r="C73" s="285" t="s">
        <v>994</v>
      </c>
      <c r="D73" s="277" t="s">
        <v>184</v>
      </c>
      <c r="E73" s="521">
        <v>92826</v>
      </c>
      <c r="F73" s="272" t="s">
        <v>351</v>
      </c>
      <c r="G73" s="266">
        <f>'MC-DRE'!S145</f>
        <v>653</v>
      </c>
      <c r="H73" s="267" t="s">
        <v>3</v>
      </c>
      <c r="I73" s="284">
        <v>117.33</v>
      </c>
      <c r="J73" s="269">
        <f t="shared" si="4"/>
        <v>149.55000000000001</v>
      </c>
      <c r="K73" s="270">
        <f t="shared" si="5"/>
        <v>97656.15</v>
      </c>
    </row>
    <row r="74" spans="1:11" ht="45" customHeight="1">
      <c r="A74" s="432"/>
      <c r="C74" s="281" t="s">
        <v>292</v>
      </c>
      <c r="D74" s="287" t="s">
        <v>184</v>
      </c>
      <c r="E74" s="288" t="s">
        <v>949</v>
      </c>
      <c r="F74" s="289" t="s">
        <v>539</v>
      </c>
      <c r="G74" s="266">
        <f>'MC-DRE'!E188</f>
        <v>420</v>
      </c>
      <c r="H74" s="264" t="s">
        <v>275</v>
      </c>
      <c r="I74" s="284">
        <v>600.84</v>
      </c>
      <c r="J74" s="269">
        <f t="shared" si="4"/>
        <v>765.83</v>
      </c>
      <c r="K74" s="270">
        <f t="shared" si="5"/>
        <v>321648.59999999998</v>
      </c>
    </row>
    <row r="75" spans="1:11" ht="127.5">
      <c r="A75" s="432"/>
      <c r="C75" s="285" t="s">
        <v>379</v>
      </c>
      <c r="D75" s="273" t="s">
        <v>184</v>
      </c>
      <c r="E75" s="271" t="s">
        <v>940</v>
      </c>
      <c r="F75" s="272" t="s">
        <v>941</v>
      </c>
      <c r="G75" s="266">
        <f>'MC-DRE'!H188</f>
        <v>1677.9</v>
      </c>
      <c r="H75" s="267" t="s">
        <v>0</v>
      </c>
      <c r="I75" s="284">
        <f>I53</f>
        <v>13.66</v>
      </c>
      <c r="J75" s="269">
        <f t="shared" si="4"/>
        <v>17.41</v>
      </c>
      <c r="K75" s="270">
        <f t="shared" si="5"/>
        <v>29212.240000000002</v>
      </c>
    </row>
    <row r="76" spans="1:11" ht="102">
      <c r="A76" s="432"/>
      <c r="C76" s="285" t="s">
        <v>380</v>
      </c>
      <c r="D76" s="273" t="s">
        <v>184</v>
      </c>
      <c r="E76" s="264">
        <v>100977</v>
      </c>
      <c r="F76" s="274" t="s">
        <v>939</v>
      </c>
      <c r="G76" s="266">
        <f>'MC-DRE'!I188</f>
        <v>329.7</v>
      </c>
      <c r="H76" s="267" t="s">
        <v>0</v>
      </c>
      <c r="I76" s="284">
        <f>I54</f>
        <v>7.62</v>
      </c>
      <c r="J76" s="269">
        <f t="shared" si="4"/>
        <v>9.7100000000000009</v>
      </c>
      <c r="K76" s="270">
        <f t="shared" si="5"/>
        <v>3201.39</v>
      </c>
    </row>
    <row r="77" spans="1:11" ht="45" customHeight="1">
      <c r="A77" s="432"/>
      <c r="C77" s="285" t="s">
        <v>381</v>
      </c>
      <c r="D77" s="277" t="s">
        <v>184</v>
      </c>
      <c r="E77" s="264">
        <v>97914</v>
      </c>
      <c r="F77" s="274" t="s">
        <v>597</v>
      </c>
      <c r="G77" s="266">
        <f>'MC-DRE'!J188</f>
        <v>6346.73</v>
      </c>
      <c r="H77" s="267" t="s">
        <v>221</v>
      </c>
      <c r="I77" s="284">
        <f>I55</f>
        <v>2.97</v>
      </c>
      <c r="J77" s="269">
        <f t="shared" si="4"/>
        <v>3.79</v>
      </c>
      <c r="K77" s="270">
        <f t="shared" si="5"/>
        <v>24054.11</v>
      </c>
    </row>
    <row r="78" spans="1:11" ht="45" customHeight="1">
      <c r="A78" s="432"/>
      <c r="C78" s="285" t="s">
        <v>382</v>
      </c>
      <c r="D78" s="273" t="s">
        <v>184</v>
      </c>
      <c r="E78" s="264">
        <v>101618</v>
      </c>
      <c r="F78" s="274" t="s">
        <v>937</v>
      </c>
      <c r="G78" s="266">
        <f>'MC-DRE'!K188</f>
        <v>714</v>
      </c>
      <c r="H78" s="267" t="s">
        <v>2</v>
      </c>
      <c r="I78" s="286">
        <f>213.45</f>
        <v>213.45</v>
      </c>
      <c r="J78" s="269">
        <f t="shared" si="4"/>
        <v>272.06</v>
      </c>
      <c r="K78" s="270">
        <f t="shared" si="5"/>
        <v>194250.84</v>
      </c>
    </row>
    <row r="79" spans="1:11" ht="45" customHeight="1">
      <c r="A79" s="432"/>
      <c r="C79" s="285" t="s">
        <v>383</v>
      </c>
      <c r="D79" s="273" t="s">
        <v>184</v>
      </c>
      <c r="E79" s="264">
        <v>94304</v>
      </c>
      <c r="F79" s="274" t="s">
        <v>938</v>
      </c>
      <c r="G79" s="266">
        <f>'MC-DRE'!N188</f>
        <v>943.74</v>
      </c>
      <c r="H79" s="266" t="s">
        <v>2</v>
      </c>
      <c r="I79" s="286">
        <v>72.930000000000007</v>
      </c>
      <c r="J79" s="269">
        <f t="shared" si="4"/>
        <v>92.96</v>
      </c>
      <c r="K79" s="270">
        <f t="shared" si="5"/>
        <v>87730.07</v>
      </c>
    </row>
    <row r="80" spans="1:11" ht="45" customHeight="1">
      <c r="A80" s="432"/>
      <c r="C80" s="285" t="s">
        <v>384</v>
      </c>
      <c r="D80" s="273" t="s">
        <v>184</v>
      </c>
      <c r="E80" s="264">
        <v>95877</v>
      </c>
      <c r="F80" s="274" t="s">
        <v>599</v>
      </c>
      <c r="G80" s="266">
        <f>'MC-DRE'!P188</f>
        <v>36805.86</v>
      </c>
      <c r="H80" s="267" t="s">
        <v>221</v>
      </c>
      <c r="I80" s="286">
        <v>1.89</v>
      </c>
      <c r="J80" s="269">
        <f t="shared" si="4"/>
        <v>2.41</v>
      </c>
      <c r="K80" s="270">
        <f t="shared" si="5"/>
        <v>88702.12</v>
      </c>
    </row>
    <row r="81" spans="1:11" ht="45" customHeight="1">
      <c r="A81" s="432"/>
      <c r="C81" s="285" t="s">
        <v>385</v>
      </c>
      <c r="D81" s="264" t="s">
        <v>184</v>
      </c>
      <c r="E81" s="271">
        <v>93590</v>
      </c>
      <c r="F81" s="274" t="s">
        <v>600</v>
      </c>
      <c r="G81" s="266">
        <f>'MC-DRE'!Q188</f>
        <v>8956.09</v>
      </c>
      <c r="H81" s="267" t="s">
        <v>221</v>
      </c>
      <c r="I81" s="284">
        <v>0.99</v>
      </c>
      <c r="J81" s="269">
        <f>I81*(1+$J$16)</f>
        <v>1.26</v>
      </c>
      <c r="K81" s="270">
        <f>G81*J81</f>
        <v>11284.67</v>
      </c>
    </row>
    <row r="82" spans="1:11" ht="45" customHeight="1">
      <c r="A82" s="432"/>
      <c r="C82" s="285" t="s">
        <v>436</v>
      </c>
      <c r="D82" s="277" t="s">
        <v>184</v>
      </c>
      <c r="E82" s="271" t="s">
        <v>290</v>
      </c>
      <c r="F82" s="274" t="s">
        <v>499</v>
      </c>
      <c r="G82" s="266">
        <f>'MC-DRE'!O188</f>
        <v>404.46</v>
      </c>
      <c r="H82" s="267" t="s">
        <v>0</v>
      </c>
      <c r="I82" s="284">
        <f>I49</f>
        <v>17.45</v>
      </c>
      <c r="J82" s="269">
        <f t="shared" si="4"/>
        <v>22.24</v>
      </c>
      <c r="K82" s="270">
        <f t="shared" si="5"/>
        <v>8995.19</v>
      </c>
    </row>
    <row r="83" spans="1:11" ht="43.5" customHeight="1">
      <c r="A83" s="432"/>
      <c r="C83" s="285" t="s">
        <v>437</v>
      </c>
      <c r="D83" s="273" t="s">
        <v>184</v>
      </c>
      <c r="E83" s="264">
        <v>101579</v>
      </c>
      <c r="F83" s="274" t="s">
        <v>498</v>
      </c>
      <c r="G83" s="266">
        <f>'MC-DRE'!R188</f>
        <v>2394</v>
      </c>
      <c r="H83" s="266" t="s">
        <v>2</v>
      </c>
      <c r="I83" s="284">
        <f>I50</f>
        <v>40.659999999999997</v>
      </c>
      <c r="J83" s="269">
        <f t="shared" si="4"/>
        <v>51.83</v>
      </c>
      <c r="K83" s="270">
        <f t="shared" si="5"/>
        <v>124081.02</v>
      </c>
    </row>
    <row r="84" spans="1:11" ht="75.75" customHeight="1">
      <c r="A84" s="432"/>
      <c r="C84" s="285" t="s">
        <v>995</v>
      </c>
      <c r="D84" s="277" t="s">
        <v>184</v>
      </c>
      <c r="E84" s="264">
        <v>92828</v>
      </c>
      <c r="F84" s="272" t="s">
        <v>352</v>
      </c>
      <c r="G84" s="266">
        <f>'MC-DRE'!S188</f>
        <v>420</v>
      </c>
      <c r="H84" s="267" t="s">
        <v>3</v>
      </c>
      <c r="I84" s="284">
        <v>155.24</v>
      </c>
      <c r="J84" s="269">
        <f t="shared" si="4"/>
        <v>197.87</v>
      </c>
      <c r="K84" s="270">
        <f t="shared" si="5"/>
        <v>83105.399999999994</v>
      </c>
    </row>
    <row r="85" spans="1:11" ht="45" hidden="1" customHeight="1">
      <c r="A85" s="432"/>
      <c r="C85" s="281" t="s">
        <v>386</v>
      </c>
      <c r="D85" s="287" t="s">
        <v>184</v>
      </c>
      <c r="E85" s="288" t="s">
        <v>357</v>
      </c>
      <c r="F85" s="289" t="s">
        <v>540</v>
      </c>
      <c r="G85" s="266">
        <f>'MC-DRE'!E229</f>
        <v>0</v>
      </c>
      <c r="H85" s="264" t="s">
        <v>275</v>
      </c>
      <c r="I85" s="284">
        <v>955.61</v>
      </c>
      <c r="J85" s="269">
        <f t="shared" si="4"/>
        <v>1218.02</v>
      </c>
      <c r="K85" s="270">
        <f t="shared" si="5"/>
        <v>0</v>
      </c>
    </row>
    <row r="86" spans="1:11" ht="45" hidden="1" customHeight="1">
      <c r="A86" s="432"/>
      <c r="C86" s="285" t="s">
        <v>387</v>
      </c>
      <c r="D86" s="273" t="s">
        <v>182</v>
      </c>
      <c r="E86" s="271" t="s">
        <v>426</v>
      </c>
      <c r="F86" s="272" t="s">
        <v>427</v>
      </c>
      <c r="G86" s="266">
        <f>'MC-DRE'!H229</f>
        <v>0</v>
      </c>
      <c r="H86" s="267" t="s">
        <v>0</v>
      </c>
      <c r="I86" s="284">
        <f>I42</f>
        <v>13.66</v>
      </c>
      <c r="J86" s="269">
        <f t="shared" si="4"/>
        <v>17.41</v>
      </c>
      <c r="K86" s="270">
        <f t="shared" si="5"/>
        <v>0</v>
      </c>
    </row>
    <row r="87" spans="1:11" ht="45" hidden="1" customHeight="1">
      <c r="A87" s="432"/>
      <c r="C87" s="285" t="s">
        <v>388</v>
      </c>
      <c r="D87" s="273" t="s">
        <v>184</v>
      </c>
      <c r="E87" s="264">
        <v>100980</v>
      </c>
      <c r="F87" s="274" t="s">
        <v>291</v>
      </c>
      <c r="G87" s="266">
        <f>'MC-DRE'!I229</f>
        <v>0</v>
      </c>
      <c r="H87" s="267" t="s">
        <v>0</v>
      </c>
      <c r="I87" s="284">
        <f>I43</f>
        <v>7.62</v>
      </c>
      <c r="J87" s="269">
        <f t="shared" si="4"/>
        <v>9.7100000000000009</v>
      </c>
      <c r="K87" s="270">
        <f t="shared" si="5"/>
        <v>0</v>
      </c>
    </row>
    <row r="88" spans="1:11" ht="45" hidden="1" customHeight="1">
      <c r="A88" s="432"/>
      <c r="C88" s="285" t="s">
        <v>389</v>
      </c>
      <c r="D88" s="277" t="s">
        <v>184</v>
      </c>
      <c r="E88" s="271" t="s">
        <v>293</v>
      </c>
      <c r="F88" s="274" t="s">
        <v>294</v>
      </c>
      <c r="G88" s="266">
        <f>'MC-DRE'!J229</f>
        <v>0</v>
      </c>
      <c r="H88" s="267" t="s">
        <v>221</v>
      </c>
      <c r="I88" s="284">
        <f>I44</f>
        <v>2.97</v>
      </c>
      <c r="J88" s="269">
        <f t="shared" si="4"/>
        <v>3.79</v>
      </c>
      <c r="K88" s="270">
        <f t="shared" si="5"/>
        <v>0</v>
      </c>
    </row>
    <row r="89" spans="1:11" ht="45" hidden="1" customHeight="1">
      <c r="A89" s="432"/>
      <c r="C89" s="285" t="s">
        <v>390</v>
      </c>
      <c r="D89" s="273" t="s">
        <v>184</v>
      </c>
      <c r="E89" s="264">
        <v>101616</v>
      </c>
      <c r="F89" s="280" t="s">
        <v>218</v>
      </c>
      <c r="G89" s="266">
        <f>'MC-DRE'!K229</f>
        <v>0</v>
      </c>
      <c r="H89" s="267" t="s">
        <v>2</v>
      </c>
      <c r="I89" s="284"/>
      <c r="J89" s="269">
        <f t="shared" si="4"/>
        <v>0</v>
      </c>
      <c r="K89" s="270">
        <f t="shared" si="5"/>
        <v>0</v>
      </c>
    </row>
    <row r="90" spans="1:11" ht="45" hidden="1" customHeight="1">
      <c r="A90" s="432"/>
      <c r="C90" s="285" t="s">
        <v>391</v>
      </c>
      <c r="D90" s="273" t="s">
        <v>182</v>
      </c>
      <c r="E90" s="264">
        <v>260278</v>
      </c>
      <c r="F90" s="274" t="s">
        <v>288</v>
      </c>
      <c r="G90" s="266">
        <f>'MC-DRE'!L229</f>
        <v>0</v>
      </c>
      <c r="H90" s="266" t="s">
        <v>2</v>
      </c>
      <c r="I90" s="284">
        <f>I45</f>
        <v>213.45</v>
      </c>
      <c r="J90" s="269">
        <f t="shared" si="4"/>
        <v>272.06</v>
      </c>
      <c r="K90" s="270">
        <f t="shared" si="5"/>
        <v>0</v>
      </c>
    </row>
    <row r="91" spans="1:11" ht="45" hidden="1" customHeight="1">
      <c r="A91" s="432"/>
      <c r="C91" s="285" t="s">
        <v>392</v>
      </c>
      <c r="D91" s="273" t="s">
        <v>182</v>
      </c>
      <c r="E91" s="264">
        <v>30011</v>
      </c>
      <c r="F91" s="274" t="s">
        <v>425</v>
      </c>
      <c r="G91" s="266">
        <f>'MC-DRE'!N229</f>
        <v>0</v>
      </c>
      <c r="H91" s="267" t="s">
        <v>0</v>
      </c>
      <c r="I91" s="284">
        <f>I46</f>
        <v>72.930000000000007</v>
      </c>
      <c r="J91" s="269">
        <f t="shared" si="4"/>
        <v>92.96</v>
      </c>
      <c r="K91" s="270">
        <f t="shared" si="5"/>
        <v>0</v>
      </c>
    </row>
    <row r="92" spans="1:11" ht="45" hidden="1" customHeight="1">
      <c r="A92" s="432"/>
      <c r="C92" s="285" t="s">
        <v>393</v>
      </c>
      <c r="D92" s="277" t="s">
        <v>184</v>
      </c>
      <c r="E92" s="271" t="s">
        <v>290</v>
      </c>
      <c r="F92" s="274" t="s">
        <v>499</v>
      </c>
      <c r="G92" s="266">
        <f>'MC-DRE'!O229</f>
        <v>0</v>
      </c>
      <c r="H92" s="267" t="s">
        <v>0</v>
      </c>
      <c r="I92" s="284">
        <f>I49</f>
        <v>17.45</v>
      </c>
      <c r="J92" s="269">
        <f t="shared" si="4"/>
        <v>22.24</v>
      </c>
      <c r="K92" s="270">
        <f t="shared" si="5"/>
        <v>0</v>
      </c>
    </row>
    <row r="93" spans="1:11" ht="45" hidden="1" customHeight="1">
      <c r="A93" s="432"/>
      <c r="C93" s="285" t="s">
        <v>438</v>
      </c>
      <c r="D93" s="273" t="s">
        <v>184</v>
      </c>
      <c r="E93" s="264">
        <v>101579</v>
      </c>
      <c r="F93" s="274" t="s">
        <v>498</v>
      </c>
      <c r="G93" s="266">
        <f>'MC-DRE'!R229</f>
        <v>0</v>
      </c>
      <c r="H93" s="266" t="s">
        <v>2</v>
      </c>
      <c r="I93" s="284">
        <f>I50</f>
        <v>40.659999999999997</v>
      </c>
      <c r="J93" s="269">
        <f t="shared" si="4"/>
        <v>51.83</v>
      </c>
      <c r="K93" s="270">
        <f t="shared" si="5"/>
        <v>0</v>
      </c>
    </row>
    <row r="94" spans="1:11" ht="45" hidden="1" customHeight="1">
      <c r="A94" s="432"/>
      <c r="C94" s="285" t="s">
        <v>439</v>
      </c>
      <c r="D94" s="277" t="s">
        <v>184</v>
      </c>
      <c r="E94" s="264">
        <v>92830</v>
      </c>
      <c r="F94" s="272" t="s">
        <v>346</v>
      </c>
      <c r="G94" s="266">
        <f>'MC-DRE'!S229</f>
        <v>0</v>
      </c>
      <c r="H94" s="267" t="s">
        <v>3</v>
      </c>
      <c r="I94" s="284">
        <v>192.56</v>
      </c>
      <c r="J94" s="269">
        <f t="shared" si="4"/>
        <v>245.44</v>
      </c>
      <c r="K94" s="270">
        <f t="shared" si="5"/>
        <v>0</v>
      </c>
    </row>
    <row r="95" spans="1:11" ht="45" hidden="1" customHeight="1">
      <c r="A95" s="432"/>
      <c r="C95" s="281" t="s">
        <v>394</v>
      </c>
      <c r="D95" s="287" t="s">
        <v>184</v>
      </c>
      <c r="E95" s="288" t="s">
        <v>358</v>
      </c>
      <c r="F95" s="289" t="s">
        <v>541</v>
      </c>
      <c r="G95" s="266">
        <f>'MC-DRE'!E268</f>
        <v>0</v>
      </c>
      <c r="H95" s="264" t="s">
        <v>275</v>
      </c>
      <c r="I95" s="284">
        <v>1451.26</v>
      </c>
      <c r="J95" s="269">
        <f t="shared" si="4"/>
        <v>1849.78</v>
      </c>
      <c r="K95" s="270">
        <f t="shared" si="5"/>
        <v>0</v>
      </c>
    </row>
    <row r="96" spans="1:11" ht="45" hidden="1" customHeight="1">
      <c r="A96" s="432"/>
      <c r="C96" s="285" t="s">
        <v>395</v>
      </c>
      <c r="D96" s="273" t="s">
        <v>182</v>
      </c>
      <c r="E96" s="271" t="s">
        <v>426</v>
      </c>
      <c r="F96" s="272" t="s">
        <v>427</v>
      </c>
      <c r="G96" s="266">
        <f>'MC-DRE'!H268</f>
        <v>0</v>
      </c>
      <c r="H96" s="267" t="s">
        <v>0</v>
      </c>
      <c r="I96" s="284">
        <f>I42</f>
        <v>13.66</v>
      </c>
      <c r="J96" s="269">
        <f t="shared" si="4"/>
        <v>17.41</v>
      </c>
      <c r="K96" s="270">
        <f t="shared" si="5"/>
        <v>0</v>
      </c>
    </row>
    <row r="97" spans="1:12" ht="45" hidden="1" customHeight="1">
      <c r="A97" s="432"/>
      <c r="C97" s="285" t="s">
        <v>396</v>
      </c>
      <c r="D97" s="273" t="s">
        <v>184</v>
      </c>
      <c r="E97" s="264">
        <v>100980</v>
      </c>
      <c r="F97" s="274" t="s">
        <v>291</v>
      </c>
      <c r="G97" s="266">
        <f>'MC-DRE'!I268</f>
        <v>0</v>
      </c>
      <c r="H97" s="267" t="s">
        <v>0</v>
      </c>
      <c r="I97" s="284">
        <f>I43</f>
        <v>7.62</v>
      </c>
      <c r="J97" s="269">
        <f t="shared" si="4"/>
        <v>9.7100000000000009</v>
      </c>
      <c r="K97" s="270">
        <f t="shared" si="5"/>
        <v>0</v>
      </c>
    </row>
    <row r="98" spans="1:12" ht="45" hidden="1" customHeight="1">
      <c r="A98" s="432"/>
      <c r="C98" s="285" t="s">
        <v>397</v>
      </c>
      <c r="D98" s="277" t="s">
        <v>184</v>
      </c>
      <c r="E98" s="271" t="s">
        <v>293</v>
      </c>
      <c r="F98" s="274" t="s">
        <v>294</v>
      </c>
      <c r="G98" s="266">
        <f>'MC-DRE'!J268</f>
        <v>0</v>
      </c>
      <c r="H98" s="267" t="s">
        <v>221</v>
      </c>
      <c r="I98" s="284">
        <f>I44</f>
        <v>2.97</v>
      </c>
      <c r="J98" s="269">
        <f t="shared" si="4"/>
        <v>3.79</v>
      </c>
      <c r="K98" s="270">
        <f t="shared" si="5"/>
        <v>0</v>
      </c>
    </row>
    <row r="99" spans="1:12" ht="45" hidden="1" customHeight="1">
      <c r="A99" s="432"/>
      <c r="C99" s="285" t="s">
        <v>398</v>
      </c>
      <c r="D99" s="273" t="s">
        <v>184</v>
      </c>
      <c r="E99" s="264">
        <v>101616</v>
      </c>
      <c r="F99" s="280" t="s">
        <v>218</v>
      </c>
      <c r="G99" s="266">
        <f>'MC-DRE'!K268</f>
        <v>0</v>
      </c>
      <c r="H99" s="267" t="s">
        <v>2</v>
      </c>
      <c r="I99" s="284"/>
      <c r="J99" s="269">
        <f t="shared" si="4"/>
        <v>0</v>
      </c>
      <c r="K99" s="270">
        <f t="shared" si="5"/>
        <v>0</v>
      </c>
    </row>
    <row r="100" spans="1:12" ht="45" hidden="1" customHeight="1">
      <c r="A100" s="432"/>
      <c r="C100" s="285" t="s">
        <v>399</v>
      </c>
      <c r="D100" s="273" t="s">
        <v>182</v>
      </c>
      <c r="E100" s="264">
        <v>260278</v>
      </c>
      <c r="F100" s="274" t="s">
        <v>288</v>
      </c>
      <c r="G100" s="266">
        <f>'MC-DRE'!L268</f>
        <v>0</v>
      </c>
      <c r="H100" s="266" t="s">
        <v>2</v>
      </c>
      <c r="I100" s="284">
        <f>I45</f>
        <v>213.45</v>
      </c>
      <c r="J100" s="269">
        <f t="shared" si="4"/>
        <v>272.06</v>
      </c>
      <c r="K100" s="270">
        <f t="shared" si="5"/>
        <v>0</v>
      </c>
    </row>
    <row r="101" spans="1:12" ht="45" hidden="1" customHeight="1">
      <c r="A101" s="432"/>
      <c r="C101" s="285" t="s">
        <v>400</v>
      </c>
      <c r="D101" s="273" t="s">
        <v>182</v>
      </c>
      <c r="E101" s="264">
        <v>30011</v>
      </c>
      <c r="F101" s="274" t="s">
        <v>425</v>
      </c>
      <c r="G101" s="266">
        <f>'MC-DRE'!N268</f>
        <v>0</v>
      </c>
      <c r="H101" s="267" t="s">
        <v>0</v>
      </c>
      <c r="I101" s="284">
        <f>I46</f>
        <v>72.930000000000007</v>
      </c>
      <c r="J101" s="269">
        <f t="shared" si="4"/>
        <v>92.96</v>
      </c>
      <c r="K101" s="270">
        <f t="shared" si="5"/>
        <v>0</v>
      </c>
    </row>
    <row r="102" spans="1:12" ht="45" hidden="1" customHeight="1">
      <c r="A102" s="432"/>
      <c r="C102" s="285" t="s">
        <v>401</v>
      </c>
      <c r="D102" s="277" t="s">
        <v>184</v>
      </c>
      <c r="E102" s="271" t="s">
        <v>290</v>
      </c>
      <c r="F102" s="274" t="s">
        <v>499</v>
      </c>
      <c r="G102" s="266">
        <f>'MC-DRE'!O268</f>
        <v>0</v>
      </c>
      <c r="H102" s="267" t="s">
        <v>0</v>
      </c>
      <c r="I102" s="284">
        <f>I49</f>
        <v>17.45</v>
      </c>
      <c r="J102" s="269">
        <f t="shared" si="4"/>
        <v>22.24</v>
      </c>
      <c r="K102" s="270">
        <f t="shared" si="5"/>
        <v>0</v>
      </c>
    </row>
    <row r="103" spans="1:12" ht="45" hidden="1" customHeight="1">
      <c r="A103" s="432"/>
      <c r="C103" s="285" t="s">
        <v>440</v>
      </c>
      <c r="D103" s="273" t="s">
        <v>184</v>
      </c>
      <c r="E103" s="264">
        <v>101579</v>
      </c>
      <c r="F103" s="274" t="s">
        <v>498</v>
      </c>
      <c r="G103" s="266">
        <f>'MC-DRE'!R268</f>
        <v>0</v>
      </c>
      <c r="H103" s="266" t="s">
        <v>2</v>
      </c>
      <c r="I103" s="284">
        <f>I50</f>
        <v>40.659999999999997</v>
      </c>
      <c r="J103" s="269">
        <f t="shared" si="4"/>
        <v>51.83</v>
      </c>
      <c r="K103" s="270">
        <f t="shared" si="5"/>
        <v>0</v>
      </c>
    </row>
    <row r="104" spans="1:12" ht="45" hidden="1" customHeight="1">
      <c r="A104" s="432"/>
      <c r="C104" s="285" t="s">
        <v>441</v>
      </c>
      <c r="D104" s="277" t="s">
        <v>184</v>
      </c>
      <c r="E104" s="264">
        <v>92832</v>
      </c>
      <c r="F104" s="272" t="s">
        <v>347</v>
      </c>
      <c r="G104" s="266">
        <f>'MC-DRE'!S268</f>
        <v>0</v>
      </c>
      <c r="H104" s="267" t="s">
        <v>3</v>
      </c>
      <c r="I104" s="284">
        <v>256</v>
      </c>
      <c r="J104" s="269">
        <f t="shared" si="4"/>
        <v>326.3</v>
      </c>
      <c r="K104" s="270">
        <f t="shared" si="5"/>
        <v>0</v>
      </c>
    </row>
    <row r="105" spans="1:12" ht="45" customHeight="1">
      <c r="A105" s="432"/>
      <c r="C105" s="281" t="s">
        <v>31</v>
      </c>
      <c r="D105" s="287"/>
      <c r="E105" s="288"/>
      <c r="F105" s="289" t="s">
        <v>219</v>
      </c>
      <c r="G105" s="266"/>
      <c r="H105" s="267"/>
      <c r="I105" s="284"/>
      <c r="J105" s="269"/>
      <c r="K105" s="270"/>
    </row>
    <row r="106" spans="1:12" ht="45" customHeight="1">
      <c r="A106" s="432"/>
      <c r="C106" s="285" t="s">
        <v>372</v>
      </c>
      <c r="D106" s="273" t="s">
        <v>184</v>
      </c>
      <c r="E106" s="271" t="s">
        <v>212</v>
      </c>
      <c r="F106" s="272" t="s">
        <v>213</v>
      </c>
      <c r="G106" s="266">
        <f>'MC-DRE'!C317</f>
        <v>81</v>
      </c>
      <c r="H106" s="264" t="s">
        <v>275</v>
      </c>
      <c r="I106" s="284">
        <v>1565.86</v>
      </c>
      <c r="J106" s="269">
        <f t="shared" si="4"/>
        <v>1995.85</v>
      </c>
      <c r="K106" s="270">
        <f t="shared" si="5"/>
        <v>161663.85</v>
      </c>
    </row>
    <row r="107" spans="1:12" ht="45" customHeight="1">
      <c r="A107" s="432"/>
      <c r="C107" s="281" t="s">
        <v>292</v>
      </c>
      <c r="D107" s="287"/>
      <c r="E107" s="288"/>
      <c r="F107" s="289" t="s">
        <v>402</v>
      </c>
      <c r="G107" s="266"/>
      <c r="H107" s="267"/>
      <c r="I107" s="284"/>
      <c r="J107" s="269"/>
      <c r="K107" s="270"/>
    </row>
    <row r="108" spans="1:12" ht="76.5">
      <c r="A108" s="432"/>
      <c r="C108" s="285" t="s">
        <v>379</v>
      </c>
      <c r="D108" s="273" t="s">
        <v>184</v>
      </c>
      <c r="E108" s="271" t="s">
        <v>954</v>
      </c>
      <c r="F108" s="272" t="s">
        <v>955</v>
      </c>
      <c r="G108" s="266">
        <f>'MC-DRE'!J317</f>
        <v>81</v>
      </c>
      <c r="H108" s="264" t="s">
        <v>275</v>
      </c>
      <c r="I108" s="284">
        <v>101.09</v>
      </c>
      <c r="J108" s="269">
        <f t="shared" si="4"/>
        <v>128.85</v>
      </c>
      <c r="K108" s="270">
        <f t="shared" si="5"/>
        <v>10436.85</v>
      </c>
      <c r="L108" s="259" t="s">
        <v>430</v>
      </c>
    </row>
    <row r="109" spans="1:12" ht="45" customHeight="1">
      <c r="A109" s="432"/>
      <c r="C109" s="281" t="s">
        <v>292</v>
      </c>
      <c r="D109" s="287"/>
      <c r="E109" s="288"/>
      <c r="F109" s="289" t="s">
        <v>220</v>
      </c>
      <c r="G109" s="266"/>
      <c r="H109" s="267"/>
      <c r="I109" s="284"/>
      <c r="J109" s="269"/>
      <c r="K109" s="270"/>
    </row>
    <row r="110" spans="1:12" ht="102">
      <c r="A110" s="432"/>
      <c r="C110" s="285" t="s">
        <v>379</v>
      </c>
      <c r="D110" s="273" t="s">
        <v>184</v>
      </c>
      <c r="E110" s="271" t="s">
        <v>950</v>
      </c>
      <c r="F110" s="272" t="s">
        <v>953</v>
      </c>
      <c r="G110" s="266">
        <f>'MC-DRE'!C360</f>
        <v>28</v>
      </c>
      <c r="H110" s="264" t="s">
        <v>275</v>
      </c>
      <c r="I110" s="284">
        <v>6531.39</v>
      </c>
      <c r="J110" s="269">
        <f t="shared" si="4"/>
        <v>8324.91</v>
      </c>
      <c r="K110" s="270">
        <f t="shared" si="5"/>
        <v>233097.48</v>
      </c>
    </row>
    <row r="111" spans="1:12" ht="76.5">
      <c r="A111" s="432"/>
      <c r="C111" s="285" t="s">
        <v>380</v>
      </c>
      <c r="D111" s="273" t="s">
        <v>184</v>
      </c>
      <c r="E111" s="271" t="s">
        <v>951</v>
      </c>
      <c r="F111" s="272" t="s">
        <v>952</v>
      </c>
      <c r="G111" s="266">
        <f>G110</f>
        <v>28</v>
      </c>
      <c r="H111" s="264" t="s">
        <v>3</v>
      </c>
      <c r="I111" s="284">
        <v>2340.16</v>
      </c>
      <c r="J111" s="269">
        <f>I111*(1+$J$16)</f>
        <v>2982.77</v>
      </c>
      <c r="K111" s="270">
        <f>G111*J111</f>
        <v>83517.56</v>
      </c>
    </row>
    <row r="112" spans="1:12" ht="45" customHeight="1">
      <c r="A112" s="432"/>
      <c r="C112" s="285" t="s">
        <v>381</v>
      </c>
      <c r="D112" s="273" t="s">
        <v>689</v>
      </c>
      <c r="E112" s="288"/>
      <c r="F112" s="272" t="s">
        <v>690</v>
      </c>
      <c r="G112" s="266" t="e">
        <f>'MC-DRE'!T360</f>
        <v>#REF!</v>
      </c>
      <c r="H112" s="264" t="s">
        <v>275</v>
      </c>
      <c r="I112" s="284">
        <f>'CPU VII'!G53</f>
        <v>4671.29</v>
      </c>
      <c r="J112" s="269">
        <f t="shared" si="4"/>
        <v>5954.03</v>
      </c>
      <c r="K112" s="270" t="e">
        <f t="shared" si="5"/>
        <v>#REF!</v>
      </c>
    </row>
    <row r="113" spans="1:15" ht="45" customHeight="1">
      <c r="A113" s="432"/>
      <c r="C113" s="285" t="s">
        <v>382</v>
      </c>
      <c r="D113" s="273" t="s">
        <v>689</v>
      </c>
      <c r="E113" s="271"/>
      <c r="F113" s="272" t="s">
        <v>691</v>
      </c>
      <c r="G113" s="266" t="e">
        <f>'MC-DRE'!N317</f>
        <v>#REF!</v>
      </c>
      <c r="H113" s="264" t="s">
        <v>275</v>
      </c>
      <c r="I113" s="284">
        <f>'CPU VIII'!G57</f>
        <v>1550.75</v>
      </c>
      <c r="J113" s="269">
        <f t="shared" si="4"/>
        <v>1976.59</v>
      </c>
      <c r="K113" s="270" t="e">
        <f t="shared" si="5"/>
        <v>#REF!</v>
      </c>
    </row>
    <row r="114" spans="1:15" ht="45" customHeight="1">
      <c r="A114" s="432"/>
      <c r="C114" s="281" t="s">
        <v>386</v>
      </c>
      <c r="D114" s="287"/>
      <c r="E114" s="288"/>
      <c r="F114" s="289" t="s">
        <v>451</v>
      </c>
      <c r="G114" s="266"/>
      <c r="H114" s="267"/>
      <c r="I114" s="284"/>
      <c r="J114" s="269"/>
      <c r="K114" s="270"/>
    </row>
    <row r="115" spans="1:15" ht="45" customHeight="1">
      <c r="A115" s="432"/>
      <c r="C115" s="285" t="s">
        <v>387</v>
      </c>
      <c r="D115" s="273" t="s">
        <v>184</v>
      </c>
      <c r="E115" s="271" t="s">
        <v>1004</v>
      </c>
      <c r="F115" s="272" t="s">
        <v>1003</v>
      </c>
      <c r="G115" s="266">
        <f>'MC-DRE'!N340</f>
        <v>0</v>
      </c>
      <c r="H115" s="264" t="s">
        <v>275</v>
      </c>
      <c r="I115" s="284">
        <v>3917.3</v>
      </c>
      <c r="J115" s="269">
        <f>I115*(1+$J$16)</f>
        <v>4992.99</v>
      </c>
      <c r="K115" s="270">
        <f>G115*J115</f>
        <v>0</v>
      </c>
    </row>
    <row r="116" spans="1:15" ht="45" customHeight="1">
      <c r="A116" s="432"/>
      <c r="C116" s="285" t="s">
        <v>383</v>
      </c>
      <c r="D116" s="273" t="s">
        <v>184</v>
      </c>
      <c r="E116" s="271" t="s">
        <v>996</v>
      </c>
      <c r="F116" s="272" t="s">
        <v>1002</v>
      </c>
      <c r="G116" s="266">
        <f>'MC-DRE'!N327</f>
        <v>1</v>
      </c>
      <c r="H116" s="264" t="s">
        <v>275</v>
      </c>
      <c r="I116" s="284">
        <v>5881.95</v>
      </c>
      <c r="J116" s="269">
        <f t="shared" si="4"/>
        <v>7497.13</v>
      </c>
      <c r="K116" s="270">
        <f t="shared" si="5"/>
        <v>7497.13</v>
      </c>
    </row>
    <row r="117" spans="1:15" ht="27.95" customHeight="1">
      <c r="A117" s="432"/>
      <c r="C117" s="1524" t="s">
        <v>12</v>
      </c>
      <c r="D117" s="1525"/>
      <c r="E117" s="1525"/>
      <c r="F117" s="1525"/>
      <c r="G117" s="1525"/>
      <c r="H117" s="1525"/>
      <c r="I117" s="1525"/>
      <c r="J117" s="1526"/>
      <c r="K117" s="290" t="e">
        <f>SUM(K41:K116)</f>
        <v>#REF!</v>
      </c>
      <c r="L117" s="291"/>
    </row>
    <row r="118" spans="1:15" ht="27.95" customHeight="1">
      <c r="A118" s="432"/>
      <c r="C118" s="292">
        <v>5</v>
      </c>
      <c r="D118" s="305"/>
      <c r="E118" s="305"/>
      <c r="F118" s="305"/>
      <c r="G118" s="1527"/>
      <c r="H118" s="1527"/>
      <c r="I118" s="1527"/>
      <c r="J118" s="1527"/>
      <c r="K118" s="1528"/>
    </row>
    <row r="119" spans="1:15" s="293" customFormat="1" ht="45" customHeight="1">
      <c r="A119" s="433"/>
      <c r="C119" s="294" t="s">
        <v>13</v>
      </c>
      <c r="D119" s="273" t="s">
        <v>184</v>
      </c>
      <c r="E119" s="295">
        <v>98525</v>
      </c>
      <c r="F119" s="296" t="s">
        <v>431</v>
      </c>
      <c r="G119" s="297">
        <f>'MC-TER'!E97</f>
        <v>32168.17</v>
      </c>
      <c r="H119" s="298" t="s">
        <v>2</v>
      </c>
      <c r="I119" s="299">
        <v>0.38</v>
      </c>
      <c r="J119" s="269">
        <f>I119*(1+$J$16)</f>
        <v>0.48</v>
      </c>
      <c r="K119" s="270">
        <f>G119*J119</f>
        <v>15440.72</v>
      </c>
    </row>
    <row r="120" spans="1:15" ht="76.5">
      <c r="A120" s="432"/>
      <c r="C120" s="294" t="s">
        <v>142</v>
      </c>
      <c r="D120" s="273" t="s">
        <v>184</v>
      </c>
      <c r="E120" s="273">
        <v>101125</v>
      </c>
      <c r="F120" s="274" t="s">
        <v>596</v>
      </c>
      <c r="G120" s="275">
        <f>'MC-TER'!G97</f>
        <v>16235.13</v>
      </c>
      <c r="H120" s="266" t="s">
        <v>0</v>
      </c>
      <c r="I120" s="300">
        <v>14.73</v>
      </c>
      <c r="J120" s="269">
        <f t="shared" ref="J120:J126" si="6">I120*(1+$J$16)</f>
        <v>18.77</v>
      </c>
      <c r="K120" s="270">
        <f t="shared" ref="K120:K126" si="7">G120*J120</f>
        <v>304733.39</v>
      </c>
      <c r="L120" s="291"/>
    </row>
    <row r="121" spans="1:15" ht="45" customHeight="1">
      <c r="A121" s="432"/>
      <c r="C121" s="294" t="s">
        <v>143</v>
      </c>
      <c r="D121" s="273" t="s">
        <v>184</v>
      </c>
      <c r="E121" s="264">
        <v>97914</v>
      </c>
      <c r="F121" s="274" t="s">
        <v>597</v>
      </c>
      <c r="G121" s="266">
        <f>'MC-TER'!H97</f>
        <v>325027.34000000003</v>
      </c>
      <c r="H121" s="267" t="s">
        <v>221</v>
      </c>
      <c r="I121" s="286">
        <v>2.97</v>
      </c>
      <c r="J121" s="269">
        <f t="shared" si="6"/>
        <v>3.79</v>
      </c>
      <c r="K121" s="270">
        <f t="shared" si="7"/>
        <v>1231853.6200000001</v>
      </c>
    </row>
    <row r="122" spans="1:15" ht="76.5" customHeight="1">
      <c r="A122" s="432"/>
      <c r="C122" s="294" t="s">
        <v>410</v>
      </c>
      <c r="D122" s="273" t="s">
        <v>184</v>
      </c>
      <c r="E122" s="264">
        <v>101125</v>
      </c>
      <c r="F122" s="274" t="s">
        <v>645</v>
      </c>
      <c r="G122" s="266">
        <f>'MC-TER'!I97</f>
        <v>14046.19</v>
      </c>
      <c r="H122" s="267" t="s">
        <v>0</v>
      </c>
      <c r="I122" s="286">
        <f>I120</f>
        <v>14.73</v>
      </c>
      <c r="J122" s="269">
        <f t="shared" si="6"/>
        <v>18.77</v>
      </c>
      <c r="K122" s="270">
        <f t="shared" si="7"/>
        <v>263646.99</v>
      </c>
    </row>
    <row r="123" spans="1:15" ht="45" customHeight="1">
      <c r="A123" s="432"/>
      <c r="C123" s="294" t="s">
        <v>593</v>
      </c>
      <c r="D123" s="264" t="s">
        <v>184</v>
      </c>
      <c r="E123" s="271">
        <v>6079</v>
      </c>
      <c r="F123" s="274" t="s">
        <v>598</v>
      </c>
      <c r="G123" s="266">
        <f>'MC-TER'!K97</f>
        <v>12338.67</v>
      </c>
      <c r="H123" s="267" t="s">
        <v>0</v>
      </c>
      <c r="I123" s="284">
        <v>36.51</v>
      </c>
      <c r="J123" s="269">
        <f t="shared" si="6"/>
        <v>46.54</v>
      </c>
      <c r="K123" s="270">
        <f t="shared" si="7"/>
        <v>574241.69999999995</v>
      </c>
      <c r="L123" s="291"/>
    </row>
    <row r="124" spans="1:15" ht="45" customHeight="1">
      <c r="A124" s="432"/>
      <c r="C124" s="294" t="s">
        <v>594</v>
      </c>
      <c r="D124" s="273" t="s">
        <v>184</v>
      </c>
      <c r="E124" s="264">
        <v>95877</v>
      </c>
      <c r="F124" s="274" t="s">
        <v>599</v>
      </c>
      <c r="G124" s="266">
        <f>'MC-TER'!L97</f>
        <v>481208.13</v>
      </c>
      <c r="H124" s="267" t="s">
        <v>602</v>
      </c>
      <c r="I124" s="286">
        <v>1.89</v>
      </c>
      <c r="J124" s="269">
        <f t="shared" si="6"/>
        <v>2.41</v>
      </c>
      <c r="K124" s="270">
        <f t="shared" si="7"/>
        <v>1159711.5900000001</v>
      </c>
    </row>
    <row r="125" spans="1:15" ht="45" customHeight="1">
      <c r="A125" s="432"/>
      <c r="C125" s="294" t="s">
        <v>595</v>
      </c>
      <c r="D125" s="264" t="s">
        <v>184</v>
      </c>
      <c r="E125" s="271">
        <v>93590</v>
      </c>
      <c r="F125" s="274" t="s">
        <v>600</v>
      </c>
      <c r="G125" s="266">
        <f>'MC-TER'!M97</f>
        <v>117093.95</v>
      </c>
      <c r="H125" s="267" t="s">
        <v>602</v>
      </c>
      <c r="I125" s="284">
        <v>0.99</v>
      </c>
      <c r="J125" s="269">
        <f t="shared" si="6"/>
        <v>1.26</v>
      </c>
      <c r="K125" s="270">
        <f t="shared" si="7"/>
        <v>147538.38</v>
      </c>
      <c r="L125" s="291"/>
    </row>
    <row r="126" spans="1:15" ht="45" customHeight="1">
      <c r="A126" s="432"/>
      <c r="C126" s="294" t="s">
        <v>646</v>
      </c>
      <c r="D126" s="264" t="s">
        <v>184</v>
      </c>
      <c r="E126" s="271">
        <v>96385</v>
      </c>
      <c r="F126" s="274" t="s">
        <v>601</v>
      </c>
      <c r="G126" s="266">
        <f>'MC-TER'!N97</f>
        <v>12338.67</v>
      </c>
      <c r="H126" s="267" t="s">
        <v>0</v>
      </c>
      <c r="I126" s="284">
        <v>11.56</v>
      </c>
      <c r="J126" s="269">
        <f t="shared" si="6"/>
        <v>14.73</v>
      </c>
      <c r="K126" s="270">
        <f t="shared" si="7"/>
        <v>181748.61</v>
      </c>
      <c r="L126" s="291"/>
      <c r="N126" s="259" t="s">
        <v>932</v>
      </c>
    </row>
    <row r="127" spans="1:15" ht="27.95" customHeight="1">
      <c r="A127" s="432"/>
      <c r="C127" s="1524" t="s">
        <v>15</v>
      </c>
      <c r="D127" s="1525"/>
      <c r="E127" s="1525"/>
      <c r="F127" s="1525"/>
      <c r="G127" s="1525"/>
      <c r="H127" s="1525"/>
      <c r="I127" s="1525"/>
      <c r="J127" s="1526"/>
      <c r="K127" s="290">
        <f>SUM(K119:K126)</f>
        <v>3878915</v>
      </c>
      <c r="L127" s="259" t="s">
        <v>930</v>
      </c>
      <c r="M127" s="259" t="s">
        <v>931</v>
      </c>
      <c r="N127" s="259" t="s">
        <v>933</v>
      </c>
      <c r="O127" s="259" t="s">
        <v>934</v>
      </c>
    </row>
    <row r="128" spans="1:15" ht="27.95" customHeight="1">
      <c r="A128" s="432"/>
      <c r="C128" s="292">
        <v>6</v>
      </c>
      <c r="D128" s="305"/>
      <c r="E128" s="305"/>
      <c r="F128" s="305" t="s">
        <v>28</v>
      </c>
      <c r="G128" s="1527"/>
      <c r="H128" s="1527"/>
      <c r="I128" s="1527"/>
      <c r="J128" s="1527"/>
      <c r="K128" s="1528"/>
      <c r="L128" s="291">
        <v>1000</v>
      </c>
      <c r="M128" s="854">
        <v>3.6</v>
      </c>
      <c r="N128" s="259">
        <v>0.3</v>
      </c>
      <c r="O128" s="259">
        <v>0.25</v>
      </c>
    </row>
    <row r="129" spans="1:14" ht="76.5">
      <c r="A129" s="432"/>
      <c r="C129" s="294" t="s">
        <v>178</v>
      </c>
      <c r="D129" s="273" t="s">
        <v>183</v>
      </c>
      <c r="E129" s="273" t="s">
        <v>201</v>
      </c>
      <c r="F129" s="274" t="s">
        <v>677</v>
      </c>
      <c r="G129" s="275">
        <f>'MC-TER'!P97</f>
        <v>3896.43</v>
      </c>
      <c r="H129" s="266" t="s">
        <v>0</v>
      </c>
      <c r="I129" s="301">
        <f>'CPU III'!G38</f>
        <v>176.15</v>
      </c>
      <c r="J129" s="269">
        <f t="shared" ref="J129:J135" si="8">I129*(1+$J$16)</f>
        <v>224.52</v>
      </c>
      <c r="K129" s="270">
        <f t="shared" ref="K129:K136" si="9">G129*J129</f>
        <v>874826.46</v>
      </c>
      <c r="L129" s="259">
        <f>L128*M128*O128</f>
        <v>900</v>
      </c>
      <c r="M129" s="291">
        <f t="shared" ref="M129:M136" si="10">L129*J129</f>
        <v>202068</v>
      </c>
    </row>
    <row r="130" spans="1:14" ht="45" customHeight="1">
      <c r="A130" s="432"/>
      <c r="C130" s="294" t="s">
        <v>179</v>
      </c>
      <c r="D130" s="273" t="s">
        <v>184</v>
      </c>
      <c r="E130" s="264">
        <v>101125</v>
      </c>
      <c r="F130" s="274" t="s">
        <v>645</v>
      </c>
      <c r="G130" s="266">
        <f>'MC-TER'!Q97</f>
        <v>3896.43</v>
      </c>
      <c r="H130" s="267" t="s">
        <v>0</v>
      </c>
      <c r="I130" s="300">
        <v>14.73</v>
      </c>
      <c r="J130" s="269">
        <f t="shared" si="8"/>
        <v>18.77</v>
      </c>
      <c r="K130" s="270">
        <f t="shared" si="9"/>
        <v>73135.990000000005</v>
      </c>
      <c r="L130" s="259">
        <f>L129</f>
        <v>900</v>
      </c>
      <c r="M130" s="291">
        <f t="shared" si="10"/>
        <v>16893</v>
      </c>
    </row>
    <row r="131" spans="1:14" ht="45" customHeight="1">
      <c r="A131" s="432"/>
      <c r="C131" s="294" t="s">
        <v>501</v>
      </c>
      <c r="D131" s="273" t="s">
        <v>184</v>
      </c>
      <c r="E131" s="273" t="s">
        <v>464</v>
      </c>
      <c r="F131" s="274" t="s">
        <v>465</v>
      </c>
      <c r="G131" s="275">
        <f>'MC-TER'!R97</f>
        <v>151960.76999999999</v>
      </c>
      <c r="H131" s="266" t="s">
        <v>466</v>
      </c>
      <c r="I131" s="286">
        <v>1.89</v>
      </c>
      <c r="J131" s="269">
        <f t="shared" si="8"/>
        <v>2.41</v>
      </c>
      <c r="K131" s="270">
        <f t="shared" si="9"/>
        <v>366225.46</v>
      </c>
      <c r="L131" s="291">
        <f>L130*30*1.3</f>
        <v>35100</v>
      </c>
      <c r="M131" s="291">
        <f t="shared" si="10"/>
        <v>84591</v>
      </c>
    </row>
    <row r="132" spans="1:14" ht="45" customHeight="1">
      <c r="A132" s="432"/>
      <c r="C132" s="294" t="s">
        <v>502</v>
      </c>
      <c r="D132" s="273" t="s">
        <v>184</v>
      </c>
      <c r="E132" s="273">
        <v>93590</v>
      </c>
      <c r="F132" s="274" t="s">
        <v>600</v>
      </c>
      <c r="G132" s="275">
        <f>'MC-TER'!S97</f>
        <v>764869.22</v>
      </c>
      <c r="H132" s="266" t="s">
        <v>466</v>
      </c>
      <c r="I132" s="284">
        <v>0.99</v>
      </c>
      <c r="J132" s="269">
        <f>I132*(1+$J$16)</f>
        <v>1.26</v>
      </c>
      <c r="K132" s="270">
        <f t="shared" si="9"/>
        <v>963735.22</v>
      </c>
      <c r="L132" s="259">
        <f>L130*154*1.3</f>
        <v>180180</v>
      </c>
      <c r="M132" s="291">
        <f t="shared" si="10"/>
        <v>227026.8</v>
      </c>
    </row>
    <row r="133" spans="1:14" ht="76.5">
      <c r="A133" s="432"/>
      <c r="C133" s="294" t="s">
        <v>503</v>
      </c>
      <c r="D133" s="273" t="s">
        <v>183</v>
      </c>
      <c r="E133" s="273" t="s">
        <v>251</v>
      </c>
      <c r="F133" s="274" t="s">
        <v>543</v>
      </c>
      <c r="G133" s="275">
        <f>'MC-TER'!U97</f>
        <v>6494.04</v>
      </c>
      <c r="H133" s="266" t="s">
        <v>417</v>
      </c>
      <c r="I133" s="301">
        <f>'CPU IV'!G38</f>
        <v>78.94</v>
      </c>
      <c r="J133" s="269">
        <f t="shared" si="8"/>
        <v>100.62</v>
      </c>
      <c r="K133" s="270">
        <f t="shared" si="9"/>
        <v>653430.30000000005</v>
      </c>
      <c r="L133" s="259">
        <f>L128*M128*N128</f>
        <v>1080</v>
      </c>
      <c r="M133" s="291">
        <f t="shared" si="10"/>
        <v>108669.6</v>
      </c>
    </row>
    <row r="134" spans="1:14" ht="45" customHeight="1">
      <c r="A134" s="432"/>
      <c r="C134" s="294" t="s">
        <v>504</v>
      </c>
      <c r="D134" s="273" t="s">
        <v>184</v>
      </c>
      <c r="E134" s="264">
        <v>101125</v>
      </c>
      <c r="F134" s="274" t="s">
        <v>645</v>
      </c>
      <c r="G134" s="266">
        <f>'MC-TER'!V97</f>
        <v>6494.04</v>
      </c>
      <c r="H134" s="267" t="s">
        <v>0</v>
      </c>
      <c r="I134" s="302">
        <f>I130</f>
        <v>14.73</v>
      </c>
      <c r="J134" s="269">
        <f t="shared" si="8"/>
        <v>18.77</v>
      </c>
      <c r="K134" s="270">
        <f t="shared" si="9"/>
        <v>121893.13</v>
      </c>
      <c r="L134" s="259">
        <f>L133</f>
        <v>1080</v>
      </c>
      <c r="M134" s="291">
        <f t="shared" si="10"/>
        <v>20271.599999999999</v>
      </c>
    </row>
    <row r="135" spans="1:14" ht="45" customHeight="1">
      <c r="A135" s="432"/>
      <c r="C135" s="294" t="s">
        <v>647</v>
      </c>
      <c r="D135" s="273" t="s">
        <v>184</v>
      </c>
      <c r="E135" s="273" t="s">
        <v>464</v>
      </c>
      <c r="F135" s="274" t="s">
        <v>465</v>
      </c>
      <c r="G135" s="275">
        <f>'MC-TER'!X97</f>
        <v>253267.56</v>
      </c>
      <c r="H135" s="266" t="s">
        <v>466</v>
      </c>
      <c r="I135" s="286">
        <v>1.89</v>
      </c>
      <c r="J135" s="269">
        <f t="shared" si="8"/>
        <v>2.41</v>
      </c>
      <c r="K135" s="270">
        <f t="shared" si="9"/>
        <v>610374.81999999995</v>
      </c>
      <c r="L135" s="291">
        <f>L134*30*1.3</f>
        <v>42120</v>
      </c>
      <c r="M135" s="291">
        <f t="shared" si="10"/>
        <v>101509.2</v>
      </c>
    </row>
    <row r="136" spans="1:14" ht="45" customHeight="1">
      <c r="A136" s="432"/>
      <c r="C136" s="294" t="s">
        <v>648</v>
      </c>
      <c r="D136" s="273" t="s">
        <v>184</v>
      </c>
      <c r="E136" s="273">
        <v>93590</v>
      </c>
      <c r="F136" s="274" t="s">
        <v>600</v>
      </c>
      <c r="G136" s="275">
        <f>'MC-TER'!Y97</f>
        <v>61628.43</v>
      </c>
      <c r="H136" s="266" t="s">
        <v>466</v>
      </c>
      <c r="I136" s="284">
        <v>0.99</v>
      </c>
      <c r="J136" s="269">
        <f>I136*(1+$J$16)</f>
        <v>1.26</v>
      </c>
      <c r="K136" s="270">
        <f t="shared" si="9"/>
        <v>77651.820000000007</v>
      </c>
      <c r="L136" s="259">
        <f>L134*7.4*1.3</f>
        <v>10389.6</v>
      </c>
      <c r="M136" s="291">
        <f t="shared" si="10"/>
        <v>13090.9</v>
      </c>
    </row>
    <row r="137" spans="1:14" ht="27.95" customHeight="1">
      <c r="A137" s="432"/>
      <c r="C137" s="1524" t="s">
        <v>144</v>
      </c>
      <c r="D137" s="1525"/>
      <c r="E137" s="1525"/>
      <c r="F137" s="1525"/>
      <c r="G137" s="1525"/>
      <c r="H137" s="1525"/>
      <c r="I137" s="1525"/>
      <c r="J137" s="1526"/>
      <c r="K137" s="290">
        <f>SUM(K129:K136)</f>
        <v>3741273.2</v>
      </c>
      <c r="L137" s="291"/>
    </row>
    <row r="138" spans="1:14" ht="27.95" customHeight="1">
      <c r="A138" s="432"/>
      <c r="C138" s="292">
        <v>7</v>
      </c>
      <c r="D138" s="305"/>
      <c r="E138" s="305"/>
      <c r="F138" s="305" t="s">
        <v>1072</v>
      </c>
      <c r="G138" s="1527"/>
      <c r="H138" s="1527"/>
      <c r="I138" s="1527"/>
      <c r="J138" s="1527"/>
      <c r="K138" s="1528"/>
      <c r="N138" s="259">
        <v>0.06</v>
      </c>
    </row>
    <row r="139" spans="1:14" ht="45" customHeight="1">
      <c r="A139" s="432"/>
      <c r="C139" s="294" t="s">
        <v>180</v>
      </c>
      <c r="D139" s="264" t="s">
        <v>183</v>
      </c>
      <c r="E139" s="273" t="s">
        <v>345</v>
      </c>
      <c r="F139" s="296" t="s">
        <v>198</v>
      </c>
      <c r="G139" s="275">
        <f>'MC-PAV e DREN SUPER'!T126</f>
        <v>31590.01</v>
      </c>
      <c r="H139" s="267" t="s">
        <v>2</v>
      </c>
      <c r="I139" s="300">
        <f>'CPU V'!G32</f>
        <v>8.67</v>
      </c>
      <c r="J139" s="269">
        <f t="shared" ref="J139:J147" si="11">I139*(1+$J$16)</f>
        <v>11.05</v>
      </c>
      <c r="K139" s="270">
        <f t="shared" ref="K139:K147" si="12">G139*J139</f>
        <v>349069.61</v>
      </c>
      <c r="L139" s="259">
        <f>L128*M128</f>
        <v>3600</v>
      </c>
      <c r="M139" s="291">
        <f>L139*J139</f>
        <v>39780</v>
      </c>
    </row>
    <row r="140" spans="1:14" ht="45" customHeight="1">
      <c r="A140" s="432"/>
      <c r="C140" s="294" t="s">
        <v>412</v>
      </c>
      <c r="D140" s="264" t="s">
        <v>183</v>
      </c>
      <c r="E140" s="273" t="s">
        <v>494</v>
      </c>
      <c r="F140" s="296" t="s">
        <v>199</v>
      </c>
      <c r="G140" s="275">
        <f>'MC-PAV e DREN SUPER'!U126</f>
        <v>31590.01</v>
      </c>
      <c r="H140" s="267" t="s">
        <v>2</v>
      </c>
      <c r="I140" s="300">
        <f>'CPU VI'!G32</f>
        <v>3.25</v>
      </c>
      <c r="J140" s="269">
        <f t="shared" si="11"/>
        <v>4.1399999999999997</v>
      </c>
      <c r="K140" s="270">
        <f t="shared" si="12"/>
        <v>130782.64</v>
      </c>
      <c r="L140" s="259">
        <f>L139</f>
        <v>3600</v>
      </c>
      <c r="M140" s="291">
        <f>L140*J140</f>
        <v>14904</v>
      </c>
    </row>
    <row r="141" spans="1:14" ht="45" customHeight="1">
      <c r="A141" s="432"/>
      <c r="C141" s="294" t="s">
        <v>413</v>
      </c>
      <c r="D141" s="273" t="s">
        <v>184</v>
      </c>
      <c r="E141" s="273" t="s">
        <v>475</v>
      </c>
      <c r="F141" s="296" t="s">
        <v>476</v>
      </c>
      <c r="G141" s="275">
        <f>'MC-PAV e DREN SUPER'!W126</f>
        <v>1263.5899999999999</v>
      </c>
      <c r="H141" s="266" t="s">
        <v>0</v>
      </c>
      <c r="I141" s="300">
        <v>2570.66</v>
      </c>
      <c r="J141" s="269">
        <f t="shared" si="11"/>
        <v>3276.56</v>
      </c>
      <c r="K141" s="270">
        <f t="shared" si="12"/>
        <v>4140228.45</v>
      </c>
      <c r="L141" s="259">
        <f>L140*N138</f>
        <v>216</v>
      </c>
      <c r="M141" s="291">
        <f>L141*J141</f>
        <v>707736.96</v>
      </c>
    </row>
    <row r="142" spans="1:14" ht="45" customHeight="1">
      <c r="A142" s="432"/>
      <c r="C142" s="294" t="s">
        <v>414</v>
      </c>
      <c r="D142" s="273" t="s">
        <v>184</v>
      </c>
      <c r="E142" s="407">
        <v>93592</v>
      </c>
      <c r="F142" s="274" t="s">
        <v>289</v>
      </c>
      <c r="G142" s="275">
        <f>'MC-PAV e DREN SUPER'!X126</f>
        <v>16932.11</v>
      </c>
      <c r="H142" s="266" t="s">
        <v>466</v>
      </c>
      <c r="I142" s="300">
        <v>2.31</v>
      </c>
      <c r="J142" s="269">
        <f t="shared" si="11"/>
        <v>2.94</v>
      </c>
      <c r="K142" s="270">
        <f t="shared" si="12"/>
        <v>49780.4</v>
      </c>
      <c r="L142" s="259">
        <f>L141*10</f>
        <v>2160</v>
      </c>
      <c r="M142" s="291">
        <f>L142*J142</f>
        <v>6350.4</v>
      </c>
    </row>
    <row r="143" spans="1:14" ht="45" hidden="1" customHeight="1">
      <c r="A143" s="432"/>
      <c r="C143" s="294" t="s">
        <v>493</v>
      </c>
      <c r="D143" s="273" t="s">
        <v>184</v>
      </c>
      <c r="E143" s="273">
        <v>96001</v>
      </c>
      <c r="F143" s="274" t="s">
        <v>551</v>
      </c>
      <c r="G143" s="275">
        <f>'MC-PAV e DREN SUPER'!AA126</f>
        <v>0</v>
      </c>
      <c r="H143" s="267" t="s">
        <v>2</v>
      </c>
      <c r="I143" s="300">
        <v>7.69</v>
      </c>
      <c r="J143" s="269">
        <f t="shared" si="11"/>
        <v>9.8000000000000007</v>
      </c>
      <c r="K143" s="270">
        <f t="shared" si="12"/>
        <v>0</v>
      </c>
    </row>
    <row r="144" spans="1:14" ht="45" hidden="1" customHeight="1">
      <c r="A144" s="432"/>
      <c r="C144" s="294" t="s">
        <v>414</v>
      </c>
      <c r="D144" s="273" t="s">
        <v>184</v>
      </c>
      <c r="E144" s="273" t="s">
        <v>610</v>
      </c>
      <c r="F144" s="296" t="s">
        <v>611</v>
      </c>
      <c r="G144" s="275">
        <f>'MC-PAV e DREN SUPER'!Z126</f>
        <v>0</v>
      </c>
      <c r="H144" s="266" t="s">
        <v>0</v>
      </c>
      <c r="I144" s="300">
        <v>418.41</v>
      </c>
      <c r="J144" s="269">
        <f t="shared" si="11"/>
        <v>533.30999999999995</v>
      </c>
      <c r="K144" s="270">
        <f t="shared" si="12"/>
        <v>0</v>
      </c>
    </row>
    <row r="145" spans="1:11" ht="45" hidden="1" customHeight="1">
      <c r="A145" s="432"/>
      <c r="C145" s="294" t="s">
        <v>493</v>
      </c>
      <c r="D145" s="273" t="s">
        <v>184</v>
      </c>
      <c r="E145" s="407" t="s">
        <v>612</v>
      </c>
      <c r="F145" s="274" t="s">
        <v>613</v>
      </c>
      <c r="G145" s="275">
        <f>'MC-PAV e DREN SUPER'!Y126</f>
        <v>0</v>
      </c>
      <c r="H145" s="266" t="s">
        <v>2</v>
      </c>
      <c r="I145" s="300">
        <v>19.11</v>
      </c>
      <c r="J145" s="269">
        <f t="shared" si="11"/>
        <v>24.36</v>
      </c>
      <c r="K145" s="270">
        <f t="shared" si="12"/>
        <v>0</v>
      </c>
    </row>
    <row r="146" spans="1:11" ht="45" hidden="1" customHeight="1">
      <c r="A146" s="432"/>
      <c r="C146" s="294" t="s">
        <v>550</v>
      </c>
      <c r="D146" s="273" t="s">
        <v>184</v>
      </c>
      <c r="E146" s="273">
        <v>100973</v>
      </c>
      <c r="F146" s="274" t="s">
        <v>614</v>
      </c>
      <c r="G146" s="275">
        <f>'MC-PAV e DREN SUPER'!AB126</f>
        <v>0</v>
      </c>
      <c r="H146" s="266" t="s">
        <v>0</v>
      </c>
      <c r="I146" s="300">
        <v>8.9700000000000006</v>
      </c>
      <c r="J146" s="269">
        <f t="shared" si="11"/>
        <v>11.43</v>
      </c>
      <c r="K146" s="270">
        <f t="shared" si="12"/>
        <v>0</v>
      </c>
    </row>
    <row r="147" spans="1:11" ht="45" hidden="1" customHeight="1">
      <c r="A147" s="432"/>
      <c r="C147" s="294" t="s">
        <v>615</v>
      </c>
      <c r="D147" s="273" t="s">
        <v>184</v>
      </c>
      <c r="E147" s="273">
        <v>97914</v>
      </c>
      <c r="F147" s="274" t="s">
        <v>597</v>
      </c>
      <c r="G147" s="275">
        <f>'MC-PAV e DREN SUPER'!AC126</f>
        <v>0</v>
      </c>
      <c r="H147" s="267" t="s">
        <v>221</v>
      </c>
      <c r="I147" s="300">
        <v>2.85</v>
      </c>
      <c r="J147" s="269">
        <f t="shared" si="11"/>
        <v>3.63</v>
      </c>
      <c r="K147" s="270">
        <f t="shared" si="12"/>
        <v>0</v>
      </c>
    </row>
    <row r="148" spans="1:11" ht="27.95" customHeight="1">
      <c r="A148" s="432"/>
      <c r="C148" s="1524" t="s">
        <v>175</v>
      </c>
      <c r="D148" s="1525"/>
      <c r="E148" s="1525"/>
      <c r="F148" s="1525"/>
      <c r="G148" s="1525"/>
      <c r="H148" s="1525"/>
      <c r="I148" s="1525"/>
      <c r="J148" s="1526"/>
      <c r="K148" s="290">
        <f>SUM(K139:K147)</f>
        <v>4669861.0999999996</v>
      </c>
    </row>
    <row r="149" spans="1:11" ht="27.95" hidden="1" customHeight="1">
      <c r="A149" s="432"/>
      <c r="C149" s="292">
        <v>8</v>
      </c>
      <c r="D149" s="305"/>
      <c r="E149" s="305"/>
      <c r="F149" s="305" t="s">
        <v>559</v>
      </c>
      <c r="G149" s="1527"/>
      <c r="H149" s="1527"/>
      <c r="I149" s="1527"/>
      <c r="J149" s="1527"/>
      <c r="K149" s="1528"/>
    </row>
    <row r="150" spans="1:11" ht="45" hidden="1" customHeight="1">
      <c r="A150" s="432"/>
      <c r="C150" s="445" t="s">
        <v>415</v>
      </c>
      <c r="D150" s="264"/>
      <c r="E150" s="273"/>
      <c r="F150" s="444" t="s">
        <v>560</v>
      </c>
      <c r="G150" s="275"/>
      <c r="H150" s="267"/>
      <c r="I150" s="300"/>
      <c r="J150" s="269"/>
      <c r="K150" s="270"/>
    </row>
    <row r="151" spans="1:11" ht="45" hidden="1" customHeight="1">
      <c r="A151" s="432"/>
      <c r="C151" s="294" t="s">
        <v>571</v>
      </c>
      <c r="D151" s="264" t="s">
        <v>561</v>
      </c>
      <c r="E151" s="273" t="s">
        <v>562</v>
      </c>
      <c r="F151" s="296" t="s">
        <v>563</v>
      </c>
      <c r="G151" s="275"/>
      <c r="H151" s="267" t="s">
        <v>2</v>
      </c>
      <c r="I151" s="300">
        <v>56.29</v>
      </c>
      <c r="J151" s="269">
        <f>I151*(1+$J$16)</f>
        <v>71.75</v>
      </c>
      <c r="K151" s="270">
        <f>G151*J151</f>
        <v>0</v>
      </c>
    </row>
    <row r="152" spans="1:11" ht="45" hidden="1" customHeight="1">
      <c r="A152" s="432"/>
      <c r="C152" s="294" t="s">
        <v>572</v>
      </c>
      <c r="D152" s="273" t="s">
        <v>561</v>
      </c>
      <c r="E152" s="273" t="s">
        <v>564</v>
      </c>
      <c r="F152" s="296" t="s">
        <v>565</v>
      </c>
      <c r="G152" s="275"/>
      <c r="H152" s="267" t="s">
        <v>2</v>
      </c>
      <c r="I152" s="300">
        <v>43.69</v>
      </c>
      <c r="J152" s="269">
        <f>I152*(1+$J$16)</f>
        <v>55.69</v>
      </c>
      <c r="K152" s="270">
        <f>G152*J152</f>
        <v>0</v>
      </c>
    </row>
    <row r="153" spans="1:11" ht="45" hidden="1" customHeight="1">
      <c r="A153" s="432"/>
      <c r="C153" s="445" t="s">
        <v>573</v>
      </c>
      <c r="D153" s="273"/>
      <c r="E153" s="407"/>
      <c r="F153" s="443" t="s">
        <v>566</v>
      </c>
      <c r="G153" s="275"/>
      <c r="H153" s="267"/>
      <c r="I153" s="300"/>
      <c r="J153" s="269"/>
      <c r="K153" s="270"/>
    </row>
    <row r="154" spans="1:11" ht="45" hidden="1" customHeight="1">
      <c r="A154" s="432"/>
      <c r="C154" s="294" t="s">
        <v>574</v>
      </c>
      <c r="D154" s="273" t="s">
        <v>561</v>
      </c>
      <c r="E154" s="273" t="s">
        <v>567</v>
      </c>
      <c r="F154" s="296" t="s">
        <v>568</v>
      </c>
      <c r="G154" s="275"/>
      <c r="H154" s="267" t="s">
        <v>2</v>
      </c>
      <c r="I154" s="300">
        <v>256.64999999999998</v>
      </c>
      <c r="J154" s="269">
        <f>I154*(1+$J$16)</f>
        <v>327.13</v>
      </c>
      <c r="K154" s="270">
        <f>G154*J154</f>
        <v>0</v>
      </c>
    </row>
    <row r="155" spans="1:11" ht="45" hidden="1" customHeight="1">
      <c r="A155" s="432"/>
      <c r="C155" s="294" t="s">
        <v>575</v>
      </c>
      <c r="D155" s="273" t="s">
        <v>561</v>
      </c>
      <c r="E155" s="407" t="s">
        <v>569</v>
      </c>
      <c r="F155" s="274" t="s">
        <v>570</v>
      </c>
      <c r="G155" s="275"/>
      <c r="H155" s="264" t="s">
        <v>275</v>
      </c>
      <c r="I155" s="300">
        <v>120.76</v>
      </c>
      <c r="J155" s="269">
        <f>I155*(1+$J$16)</f>
        <v>153.91999999999999</v>
      </c>
      <c r="K155" s="270">
        <f>G155*J155</f>
        <v>0</v>
      </c>
    </row>
    <row r="156" spans="1:11" ht="27.95" hidden="1" customHeight="1">
      <c r="A156" s="432"/>
      <c r="C156" s="1524" t="s">
        <v>411</v>
      </c>
      <c r="D156" s="1525"/>
      <c r="E156" s="1525"/>
      <c r="F156" s="1525"/>
      <c r="G156" s="1525"/>
      <c r="H156" s="1525"/>
      <c r="I156" s="1525"/>
      <c r="J156" s="1526"/>
      <c r="K156" s="290">
        <f>SUM(K150:K155)</f>
        <v>0</v>
      </c>
    </row>
    <row r="157" spans="1:11" ht="27.95" customHeight="1">
      <c r="A157" s="432"/>
      <c r="C157" s="303">
        <v>8</v>
      </c>
      <c r="D157" s="304"/>
      <c r="E157" s="304"/>
      <c r="F157" s="305" t="s">
        <v>10</v>
      </c>
      <c r="G157" s="1527"/>
      <c r="H157" s="1527"/>
      <c r="I157" s="1527"/>
      <c r="J157" s="1527"/>
      <c r="K157" s="1528"/>
    </row>
    <row r="158" spans="1:11" ht="45" customHeight="1">
      <c r="A158" s="432"/>
      <c r="C158" s="306" t="s">
        <v>415</v>
      </c>
      <c r="D158" s="277" t="s">
        <v>184</v>
      </c>
      <c r="E158" s="271" t="s">
        <v>1009</v>
      </c>
      <c r="F158" s="274" t="s">
        <v>145</v>
      </c>
      <c r="G158" s="275">
        <f>'MC-PAV e DREN SUPER'!AD126</f>
        <v>4738.54</v>
      </c>
      <c r="H158" s="267" t="s">
        <v>2</v>
      </c>
      <c r="I158" s="276">
        <v>1.8</v>
      </c>
      <c r="J158" s="269">
        <f>I158*(1+$J$16)</f>
        <v>2.29</v>
      </c>
      <c r="K158" s="270">
        <f>G158*J158-0.06</f>
        <v>10851.2</v>
      </c>
    </row>
    <row r="159" spans="1:11" ht="27.95" customHeight="1" thickBot="1">
      <c r="A159" s="434"/>
      <c r="B159" s="435"/>
      <c r="C159" s="1483" t="s">
        <v>411</v>
      </c>
      <c r="D159" s="1484"/>
      <c r="E159" s="1484"/>
      <c r="F159" s="1484"/>
      <c r="G159" s="1484"/>
      <c r="H159" s="1484"/>
      <c r="I159" s="1484"/>
      <c r="J159" s="1533"/>
      <c r="K159" s="436">
        <f>SUM(K158)</f>
        <v>10851.2</v>
      </c>
    </row>
    <row r="160" spans="1:11" ht="27.95" hidden="1" customHeight="1">
      <c r="C160" s="303">
        <v>9</v>
      </c>
      <c r="D160" s="304"/>
      <c r="E160" s="304"/>
      <c r="F160" s="305" t="s">
        <v>728</v>
      </c>
      <c r="G160" s="1527"/>
      <c r="H160" s="1527"/>
      <c r="I160" s="1527"/>
      <c r="J160" s="1527"/>
      <c r="K160" s="1528"/>
    </row>
    <row r="161" spans="3:14" ht="27.95" hidden="1" customHeight="1">
      <c r="C161" s="306" t="s">
        <v>727</v>
      </c>
      <c r="D161" s="277"/>
      <c r="E161" s="271"/>
      <c r="F161" s="274" t="s">
        <v>755</v>
      </c>
      <c r="G161" s="275">
        <v>0</v>
      </c>
      <c r="H161" s="267" t="s">
        <v>729</v>
      </c>
      <c r="I161" s="276">
        <f>'Orç PONTE'!H47</f>
        <v>621322.34</v>
      </c>
      <c r="J161" s="269">
        <f>I161*(1+$J$16)</f>
        <v>791937.45</v>
      </c>
      <c r="K161" s="270">
        <f>G161*J161</f>
        <v>0</v>
      </c>
    </row>
    <row r="162" spans="3:14" ht="27.95" hidden="1" customHeight="1" thickBot="1">
      <c r="C162" s="1483" t="s">
        <v>558</v>
      </c>
      <c r="D162" s="1484"/>
      <c r="E162" s="1484"/>
      <c r="F162" s="1484"/>
      <c r="G162" s="1484"/>
      <c r="H162" s="1484"/>
      <c r="I162" s="1484"/>
      <c r="J162" s="1533"/>
      <c r="K162" s="436">
        <f>SUM(K161)</f>
        <v>0</v>
      </c>
    </row>
    <row r="163" spans="3:14" ht="41.25" customHeight="1" thickBot="1">
      <c r="C163" s="1530" t="s">
        <v>24</v>
      </c>
      <c r="D163" s="1531"/>
      <c r="E163" s="1531"/>
      <c r="F163" s="1531"/>
      <c r="G163" s="1531"/>
      <c r="H163" s="1531"/>
      <c r="I163" s="1531"/>
      <c r="J163" s="1532"/>
      <c r="K163" s="429" t="e">
        <f>SUM(K25,K30,K39,K117,K127,K137,K148,K156,K159,K162)</f>
        <v>#REF!</v>
      </c>
    </row>
    <row r="164" spans="3:14">
      <c r="N164" s="307"/>
    </row>
    <row r="165" spans="3:14">
      <c r="K165" s="291"/>
    </row>
    <row r="176" spans="3:14">
      <c r="G176" s="1488"/>
      <c r="H176" s="1488"/>
      <c r="I176" s="1488"/>
    </row>
  </sheetData>
  <sheetProtection formatCells="0" formatColumns="0" formatRows="0" insertColumns="0" insertRows="0" insertHyperlinks="0" deleteColumns="0" deleteRows="0" sort="0" autoFilter="0" pivotTables="0"/>
  <mergeCells count="58">
    <mergeCell ref="G17:K17"/>
    <mergeCell ref="C15:C16"/>
    <mergeCell ref="D15:D16"/>
    <mergeCell ref="C12:K12"/>
    <mergeCell ref="F15:F16"/>
    <mergeCell ref="G15:G16"/>
    <mergeCell ref="I15:I16"/>
    <mergeCell ref="K15:K16"/>
    <mergeCell ref="C14:K14"/>
    <mergeCell ref="P17:P18"/>
    <mergeCell ref="M17:M18"/>
    <mergeCell ref="N17:N18"/>
    <mergeCell ref="M26:M27"/>
    <mergeCell ref="N26:N27"/>
    <mergeCell ref="O17:O18"/>
    <mergeCell ref="O22:O25"/>
    <mergeCell ref="P22:P25"/>
    <mergeCell ref="O26:O27"/>
    <mergeCell ref="P26:P27"/>
    <mergeCell ref="M22:M25"/>
    <mergeCell ref="N22:N25"/>
    <mergeCell ref="P29:P30"/>
    <mergeCell ref="G118:K118"/>
    <mergeCell ref="C117:J117"/>
    <mergeCell ref="M29:M30"/>
    <mergeCell ref="N29:N30"/>
    <mergeCell ref="O29:O30"/>
    <mergeCell ref="C39:J39"/>
    <mergeCell ref="G31:K31"/>
    <mergeCell ref="G26:K26"/>
    <mergeCell ref="C30:J30"/>
    <mergeCell ref="G176:I176"/>
    <mergeCell ref="C148:J148"/>
    <mergeCell ref="C127:J127"/>
    <mergeCell ref="G128:K128"/>
    <mergeCell ref="C137:J137"/>
    <mergeCell ref="G157:K157"/>
    <mergeCell ref="G138:K138"/>
    <mergeCell ref="C163:J163"/>
    <mergeCell ref="C159:J159"/>
    <mergeCell ref="G149:K149"/>
    <mergeCell ref="C156:J156"/>
    <mergeCell ref="E10:F10"/>
    <mergeCell ref="G10:H10"/>
    <mergeCell ref="G160:K160"/>
    <mergeCell ref="C162:J162"/>
    <mergeCell ref="C1:K4"/>
    <mergeCell ref="G40:K40"/>
    <mergeCell ref="C11:K11"/>
    <mergeCell ref="E15:E16"/>
    <mergeCell ref="C13:K13"/>
    <mergeCell ref="H15:H16"/>
    <mergeCell ref="C25:J25"/>
    <mergeCell ref="C7:K7"/>
    <mergeCell ref="C5:K5"/>
    <mergeCell ref="C6:K6"/>
    <mergeCell ref="D9:K9"/>
    <mergeCell ref="C10:D10"/>
  </mergeCells>
  <phoneticPr fontId="44" type="noConversion"/>
  <printOptions horizontalCentered="1"/>
  <pageMargins left="0" right="0" top="0.43307086614173229" bottom="0" header="0" footer="0"/>
  <pageSetup paperSize="9" scale="37" fitToHeight="0" orientation="portrait" verticalDpi="300"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11">
    <tabColor theme="7" tint="0.39997558519241921"/>
  </sheetPr>
  <dimension ref="A1:JB1135"/>
  <sheetViews>
    <sheetView view="pageBreakPreview" topLeftCell="O1" zoomScale="70" zoomScaleNormal="70" zoomScaleSheetLayoutView="70" workbookViewId="0">
      <selection activeCell="AB45" sqref="AB45"/>
    </sheetView>
  </sheetViews>
  <sheetFormatPr defaultColWidth="12" defaultRowHeight="14.25"/>
  <cols>
    <col min="1" max="1" width="8.28515625" style="108" customWidth="1"/>
    <col min="2" max="2" width="39.7109375" style="108" customWidth="1"/>
    <col min="3" max="3" width="12.42578125" style="113" bestFit="1" customWidth="1"/>
    <col min="4" max="4" width="30.42578125" style="108" bestFit="1" customWidth="1"/>
    <col min="5" max="5" width="11.28515625" style="108" bestFit="1" customWidth="1"/>
    <col min="6" max="6" width="18.28515625" style="108" customWidth="1"/>
    <col min="7" max="7" width="13.28515625" style="108" customWidth="1"/>
    <col min="8" max="8" width="19.7109375" style="108" customWidth="1"/>
    <col min="9" max="9" width="11.85546875" style="108" customWidth="1"/>
    <col min="10" max="10" width="19.140625" style="108" customWidth="1"/>
    <col min="11" max="11" width="12.28515625" style="108" customWidth="1"/>
    <col min="12" max="12" width="19.28515625" style="108" customWidth="1"/>
    <col min="13" max="13" width="10.28515625" style="108" bestFit="1" customWidth="1"/>
    <col min="14" max="14" width="20" style="108" bestFit="1" customWidth="1"/>
    <col min="15" max="15" width="13.7109375" style="108" bestFit="1" customWidth="1"/>
    <col min="16" max="16" width="17" style="108" customWidth="1"/>
    <col min="17" max="17" width="11.7109375" style="108" customWidth="1"/>
    <col min="18" max="18" width="18.42578125" style="108" customWidth="1"/>
    <col min="19" max="19" width="10" style="108" customWidth="1"/>
    <col min="20" max="20" width="17.28515625" style="108" customWidth="1"/>
    <col min="21" max="21" width="9.28515625" style="108" customWidth="1"/>
    <col min="22" max="22" width="17.42578125" style="108" customWidth="1"/>
    <col min="23" max="23" width="9.28515625" style="108" bestFit="1" customWidth="1"/>
    <col min="24" max="24" width="17.7109375" style="108" customWidth="1"/>
    <col min="25" max="25" width="9.28515625" style="108" bestFit="1" customWidth="1"/>
    <col min="26" max="26" width="18.7109375" style="108" customWidth="1"/>
    <col min="27" max="27" width="9.28515625" style="108" bestFit="1" customWidth="1"/>
    <col min="28" max="28" width="19.85546875" style="108" customWidth="1"/>
    <col min="29" max="29" width="9" style="108" bestFit="1" customWidth="1"/>
    <col min="30" max="30" width="19.28515625" style="108" customWidth="1"/>
    <col min="31" max="31" width="9.28515625" style="108" bestFit="1" customWidth="1"/>
    <col min="32" max="32" width="19.85546875" style="108" customWidth="1"/>
    <col min="33" max="33" width="10.7109375" style="108" customWidth="1"/>
    <col min="34" max="34" width="19.28515625" style="108" customWidth="1"/>
    <col min="35" max="35" width="10.7109375" style="108" customWidth="1"/>
    <col min="36" max="36" width="18.42578125" style="108" customWidth="1"/>
    <col min="37" max="37" width="10.7109375" style="108" customWidth="1"/>
    <col min="38" max="38" width="19.140625" style="108" bestFit="1" customWidth="1"/>
    <col min="39" max="39" width="11.42578125" style="108" customWidth="1"/>
    <col min="40" max="40" width="21.85546875" style="108" bestFit="1" customWidth="1"/>
    <col min="41" max="258" width="9.140625" style="108" customWidth="1"/>
    <col min="259" max="259" width="8.28515625" style="108" customWidth="1"/>
    <col min="260" max="260" width="31.140625" style="108" customWidth="1"/>
    <col min="261" max="261" width="8.140625" style="108" customWidth="1"/>
    <col min="262" max="262" width="12" style="108" customWidth="1"/>
    <col min="263" max="16384" width="12" style="88"/>
  </cols>
  <sheetData>
    <row r="1" spans="1:262" ht="20.100000000000001" customHeight="1">
      <c r="A1" s="1566"/>
      <c r="B1" s="1567"/>
      <c r="C1" s="1567"/>
      <c r="D1" s="1567"/>
      <c r="E1" s="1567"/>
      <c r="F1" s="1567"/>
      <c r="G1" s="1567"/>
      <c r="H1" s="1567"/>
      <c r="I1" s="1567"/>
      <c r="J1" s="1567"/>
      <c r="K1" s="1567"/>
      <c r="L1" s="1567"/>
      <c r="M1" s="1567"/>
      <c r="N1" s="1567"/>
      <c r="O1" s="1567"/>
      <c r="P1" s="1567"/>
      <c r="Q1" s="1567"/>
      <c r="R1" s="1567"/>
      <c r="S1" s="1567"/>
      <c r="T1" s="1567"/>
      <c r="U1" s="1567"/>
      <c r="V1" s="1567"/>
      <c r="W1" s="1567"/>
      <c r="X1" s="1567"/>
      <c r="Y1" s="1567"/>
      <c r="Z1" s="1567"/>
      <c r="AA1" s="1567"/>
      <c r="AB1" s="1567"/>
      <c r="AC1" s="1567"/>
      <c r="AD1" s="1567"/>
      <c r="AE1" s="1567"/>
      <c r="AF1" s="1567"/>
      <c r="AG1" s="1567"/>
      <c r="AH1" s="1567"/>
      <c r="AI1" s="1567"/>
      <c r="AJ1" s="1567"/>
      <c r="AK1" s="1567"/>
      <c r="AL1" s="1567"/>
      <c r="AM1" s="1567"/>
      <c r="AN1" s="1567"/>
    </row>
    <row r="2" spans="1:262" ht="20.100000000000001" customHeight="1">
      <c r="A2" s="1566"/>
      <c r="B2" s="1567"/>
      <c r="C2" s="1567"/>
      <c r="D2" s="1567"/>
      <c r="E2" s="1567"/>
      <c r="F2" s="1567"/>
      <c r="G2" s="1567"/>
      <c r="H2" s="1567"/>
      <c r="I2" s="1567"/>
      <c r="J2" s="1567"/>
      <c r="K2" s="1567"/>
      <c r="L2" s="1567"/>
      <c r="M2" s="1567"/>
      <c r="N2" s="1567"/>
      <c r="O2" s="1567"/>
      <c r="P2" s="1567"/>
      <c r="Q2" s="1567"/>
      <c r="R2" s="1567"/>
      <c r="S2" s="1567"/>
      <c r="T2" s="1567"/>
      <c r="U2" s="1567"/>
      <c r="V2" s="1567"/>
      <c r="W2" s="1567"/>
      <c r="X2" s="1567"/>
      <c r="Y2" s="1567"/>
      <c r="Z2" s="1567"/>
      <c r="AA2" s="1567"/>
      <c r="AB2" s="1567"/>
      <c r="AC2" s="1567"/>
      <c r="AD2" s="1567"/>
      <c r="AE2" s="1567"/>
      <c r="AF2" s="1567"/>
      <c r="AG2" s="1567"/>
      <c r="AH2" s="1567"/>
      <c r="AI2" s="1567"/>
      <c r="AJ2" s="1567"/>
      <c r="AK2" s="1567"/>
      <c r="AL2" s="1567"/>
      <c r="AM2" s="1567"/>
      <c r="AN2" s="1567"/>
      <c r="AO2" s="113"/>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113"/>
      <c r="BN2" s="113"/>
      <c r="BO2" s="113"/>
      <c r="BP2" s="113"/>
      <c r="BQ2" s="113"/>
      <c r="BR2" s="113"/>
      <c r="BS2" s="113"/>
      <c r="BT2" s="113"/>
      <c r="BU2" s="113"/>
      <c r="BV2" s="113"/>
      <c r="BW2" s="113"/>
      <c r="BX2" s="113"/>
      <c r="BY2" s="113"/>
      <c r="BZ2" s="113"/>
      <c r="CA2" s="113"/>
      <c r="CB2" s="113"/>
      <c r="CC2" s="113"/>
      <c r="CD2" s="113"/>
      <c r="CE2" s="113"/>
      <c r="CF2" s="113"/>
      <c r="CG2" s="113"/>
      <c r="CH2" s="113"/>
      <c r="CI2" s="113"/>
      <c r="CJ2" s="113"/>
      <c r="CK2" s="113"/>
      <c r="CL2" s="113"/>
      <c r="CM2" s="113"/>
      <c r="CN2" s="113"/>
      <c r="CO2" s="113"/>
      <c r="CP2" s="113"/>
      <c r="CQ2" s="113"/>
      <c r="CR2" s="113"/>
      <c r="CS2" s="113"/>
      <c r="CT2" s="113"/>
      <c r="CU2" s="113"/>
      <c r="CV2" s="113"/>
      <c r="CW2" s="113"/>
      <c r="CX2" s="113"/>
      <c r="CY2" s="113"/>
      <c r="CZ2" s="113"/>
      <c r="DA2" s="113"/>
      <c r="DB2" s="113"/>
      <c r="DC2" s="113"/>
      <c r="DD2" s="113"/>
      <c r="DE2" s="113"/>
      <c r="DF2" s="113"/>
      <c r="DG2" s="113"/>
      <c r="DH2" s="113"/>
      <c r="DI2" s="113"/>
      <c r="DJ2" s="113"/>
      <c r="DK2" s="113"/>
      <c r="DL2" s="113"/>
      <c r="DM2" s="113"/>
      <c r="DN2" s="113"/>
      <c r="DO2" s="113"/>
      <c r="DP2" s="113"/>
      <c r="DQ2" s="113"/>
      <c r="DR2" s="113"/>
      <c r="DS2" s="113"/>
      <c r="DT2" s="113"/>
      <c r="DU2" s="113"/>
      <c r="DV2" s="113"/>
      <c r="DW2" s="113"/>
      <c r="DX2" s="113"/>
      <c r="DY2" s="113"/>
      <c r="DZ2" s="113"/>
      <c r="EA2" s="113"/>
      <c r="EB2" s="113"/>
      <c r="EC2" s="113"/>
      <c r="ED2" s="113"/>
      <c r="EE2" s="113"/>
      <c r="EF2" s="113"/>
      <c r="EG2" s="113"/>
      <c r="EH2" s="113"/>
      <c r="EI2" s="113"/>
      <c r="EJ2" s="113"/>
      <c r="EK2" s="113"/>
      <c r="EL2" s="113"/>
      <c r="EM2" s="113"/>
      <c r="EN2" s="113"/>
      <c r="EO2" s="113"/>
      <c r="EP2" s="113"/>
      <c r="EQ2" s="113"/>
      <c r="ER2" s="113"/>
      <c r="ES2" s="113"/>
      <c r="ET2" s="113"/>
      <c r="EU2" s="113"/>
      <c r="EV2" s="113"/>
      <c r="EW2" s="113"/>
      <c r="EX2" s="113"/>
      <c r="EY2" s="113"/>
      <c r="EZ2" s="113"/>
      <c r="FA2" s="113"/>
      <c r="FB2" s="113"/>
      <c r="FC2" s="113"/>
      <c r="FD2" s="113"/>
      <c r="FE2" s="113"/>
      <c r="FF2" s="113"/>
      <c r="FG2" s="113"/>
      <c r="FH2" s="113"/>
      <c r="FI2" s="113"/>
      <c r="FJ2" s="113"/>
      <c r="FK2" s="113"/>
      <c r="FL2" s="113"/>
      <c r="FM2" s="113"/>
      <c r="FN2" s="113"/>
      <c r="FO2" s="113"/>
      <c r="FP2" s="113"/>
      <c r="FQ2" s="113"/>
      <c r="FR2" s="113"/>
      <c r="FS2" s="113"/>
      <c r="FT2" s="113"/>
      <c r="FU2" s="113"/>
      <c r="FV2" s="113"/>
      <c r="FW2" s="113"/>
      <c r="FX2" s="113"/>
      <c r="FY2" s="113"/>
      <c r="FZ2" s="113"/>
      <c r="GA2" s="113"/>
      <c r="GB2" s="113"/>
      <c r="GC2" s="113"/>
      <c r="GD2" s="113"/>
      <c r="GE2" s="113"/>
      <c r="GF2" s="113"/>
      <c r="GG2" s="113"/>
      <c r="GH2" s="113"/>
      <c r="GI2" s="113"/>
      <c r="GJ2" s="113"/>
      <c r="GK2" s="113"/>
      <c r="GL2" s="113"/>
      <c r="GM2" s="113"/>
      <c r="GN2" s="113"/>
      <c r="GO2" s="113"/>
      <c r="GP2" s="113"/>
      <c r="GQ2" s="113"/>
      <c r="GR2" s="113"/>
      <c r="GS2" s="113"/>
      <c r="GT2" s="113"/>
      <c r="GU2" s="113"/>
      <c r="GV2" s="113"/>
      <c r="GW2" s="113"/>
      <c r="GX2" s="113"/>
      <c r="GY2" s="113"/>
      <c r="GZ2" s="113"/>
      <c r="HA2" s="113"/>
      <c r="HB2" s="113"/>
      <c r="HC2" s="113"/>
      <c r="HD2" s="113"/>
      <c r="HE2" s="113"/>
      <c r="HF2" s="113"/>
      <c r="HG2" s="113"/>
      <c r="HH2" s="113"/>
      <c r="HI2" s="113"/>
      <c r="HJ2" s="113"/>
      <c r="HK2" s="113"/>
      <c r="HL2" s="113"/>
      <c r="HM2" s="113"/>
      <c r="HN2" s="113"/>
      <c r="HO2" s="113"/>
      <c r="HP2" s="113"/>
      <c r="HQ2" s="113"/>
      <c r="HR2" s="113"/>
      <c r="HS2" s="113"/>
      <c r="HT2" s="113"/>
      <c r="HU2" s="113"/>
      <c r="HV2" s="113"/>
      <c r="HW2" s="113"/>
      <c r="HX2" s="113"/>
      <c r="HY2" s="113"/>
      <c r="HZ2" s="113"/>
      <c r="IA2" s="113"/>
      <c r="IB2" s="113"/>
      <c r="IC2" s="113"/>
      <c r="ID2" s="113"/>
      <c r="IE2" s="113"/>
      <c r="IF2" s="113"/>
      <c r="IG2" s="113"/>
      <c r="IH2" s="113"/>
      <c r="II2" s="113"/>
      <c r="IJ2" s="113"/>
      <c r="IK2" s="113"/>
      <c r="IL2" s="113"/>
      <c r="IM2" s="113"/>
      <c r="IN2" s="113"/>
      <c r="IO2" s="113"/>
      <c r="IP2" s="113"/>
      <c r="IQ2" s="113"/>
      <c r="IR2" s="113"/>
      <c r="IS2" s="113"/>
      <c r="IT2" s="113"/>
      <c r="IU2" s="113"/>
      <c r="IV2" s="113"/>
      <c r="IW2" s="113"/>
      <c r="IX2" s="113"/>
      <c r="IY2" s="113"/>
      <c r="IZ2" s="113"/>
      <c r="JA2" s="113"/>
      <c r="JB2" s="113"/>
    </row>
    <row r="3" spans="1:262" ht="19.5" customHeight="1">
      <c r="A3" s="1566"/>
      <c r="B3" s="1567"/>
      <c r="C3" s="1567"/>
      <c r="D3" s="1567"/>
      <c r="E3" s="1567"/>
      <c r="F3" s="1567"/>
      <c r="G3" s="1567"/>
      <c r="H3" s="1567"/>
      <c r="I3" s="1567"/>
      <c r="J3" s="1567"/>
      <c r="K3" s="1567"/>
      <c r="L3" s="1567"/>
      <c r="M3" s="1567"/>
      <c r="N3" s="1567"/>
      <c r="O3" s="1567"/>
      <c r="P3" s="1567"/>
      <c r="Q3" s="1567"/>
      <c r="R3" s="1567"/>
      <c r="S3" s="1567"/>
      <c r="T3" s="1567"/>
      <c r="U3" s="1567"/>
      <c r="V3" s="1567"/>
      <c r="W3" s="1567"/>
      <c r="X3" s="1567"/>
      <c r="Y3" s="1567"/>
      <c r="Z3" s="1567"/>
      <c r="AA3" s="1567"/>
      <c r="AB3" s="1567"/>
      <c r="AC3" s="1567"/>
      <c r="AD3" s="1567"/>
      <c r="AE3" s="1567"/>
      <c r="AF3" s="1567"/>
      <c r="AG3" s="1567"/>
      <c r="AH3" s="1567"/>
      <c r="AI3" s="1567"/>
      <c r="AJ3" s="1567"/>
      <c r="AK3" s="1567"/>
      <c r="AL3" s="1567"/>
      <c r="AM3" s="1567"/>
      <c r="AN3" s="1567"/>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113"/>
      <c r="EX3" s="113"/>
      <c r="EY3" s="113"/>
      <c r="EZ3" s="113"/>
      <c r="FA3" s="113"/>
      <c r="FB3" s="113"/>
      <c r="FC3" s="113"/>
      <c r="FD3" s="113"/>
      <c r="FE3" s="113"/>
      <c r="FF3" s="113"/>
      <c r="FG3" s="113"/>
      <c r="FH3" s="113"/>
      <c r="FI3" s="113"/>
      <c r="FJ3" s="113"/>
      <c r="FK3" s="113"/>
      <c r="FL3" s="113"/>
      <c r="FM3" s="113"/>
      <c r="FN3" s="113"/>
      <c r="FO3" s="113"/>
      <c r="FP3" s="113"/>
      <c r="FQ3" s="113"/>
      <c r="FR3" s="113"/>
      <c r="FS3" s="113"/>
      <c r="FT3" s="113"/>
      <c r="FU3" s="113"/>
      <c r="FV3" s="113"/>
      <c r="FW3" s="113"/>
      <c r="FX3" s="113"/>
      <c r="FY3" s="113"/>
      <c r="FZ3" s="113"/>
      <c r="GA3" s="113"/>
      <c r="GB3" s="113"/>
      <c r="GC3" s="113"/>
      <c r="GD3" s="113"/>
      <c r="GE3" s="113"/>
      <c r="GF3" s="113"/>
      <c r="GG3" s="113"/>
      <c r="GH3" s="113"/>
      <c r="GI3" s="113"/>
      <c r="GJ3" s="113"/>
      <c r="GK3" s="113"/>
      <c r="GL3" s="113"/>
      <c r="GM3" s="113"/>
      <c r="GN3" s="113"/>
      <c r="GO3" s="113"/>
      <c r="GP3" s="113"/>
      <c r="GQ3" s="113"/>
      <c r="GR3" s="113"/>
      <c r="GS3" s="113"/>
      <c r="GT3" s="113"/>
      <c r="GU3" s="113"/>
      <c r="GV3" s="113"/>
      <c r="GW3" s="113"/>
      <c r="GX3" s="113"/>
      <c r="GY3" s="113"/>
      <c r="GZ3" s="113"/>
      <c r="HA3" s="113"/>
      <c r="HB3" s="113"/>
      <c r="HC3" s="113"/>
      <c r="HD3" s="113"/>
      <c r="HE3" s="113"/>
      <c r="HF3" s="113"/>
      <c r="HG3" s="113"/>
      <c r="HH3" s="113"/>
      <c r="HI3" s="113"/>
      <c r="HJ3" s="113"/>
      <c r="HK3" s="113"/>
      <c r="HL3" s="113"/>
      <c r="HM3" s="113"/>
      <c r="HN3" s="113"/>
      <c r="HO3" s="113"/>
      <c r="HP3" s="113"/>
      <c r="HQ3" s="113"/>
      <c r="HR3" s="113"/>
      <c r="HS3" s="113"/>
      <c r="HT3" s="113"/>
      <c r="HU3" s="113"/>
      <c r="HV3" s="113"/>
      <c r="HW3" s="113"/>
      <c r="HX3" s="113"/>
      <c r="HY3" s="113"/>
      <c r="HZ3" s="113"/>
      <c r="IA3" s="113"/>
      <c r="IB3" s="113"/>
      <c r="IC3" s="113"/>
      <c r="ID3" s="113"/>
      <c r="IE3" s="113"/>
      <c r="IF3" s="113"/>
      <c r="IG3" s="113"/>
      <c r="IH3" s="113"/>
      <c r="II3" s="113"/>
      <c r="IJ3" s="113"/>
      <c r="IK3" s="113"/>
      <c r="IL3" s="113"/>
      <c r="IM3" s="113"/>
      <c r="IN3" s="113"/>
      <c r="IO3" s="113"/>
      <c r="IP3" s="113"/>
      <c r="IQ3" s="113"/>
      <c r="IR3" s="113"/>
      <c r="IS3" s="113"/>
      <c r="IT3" s="113"/>
      <c r="IU3" s="113"/>
      <c r="IV3" s="113"/>
      <c r="IW3" s="113"/>
      <c r="IX3" s="113"/>
      <c r="IY3" s="113"/>
      <c r="IZ3" s="113"/>
      <c r="JA3" s="113"/>
      <c r="JB3" s="113"/>
    </row>
    <row r="4" spans="1:262" ht="20.100000000000001" customHeight="1">
      <c r="A4" s="1575" t="s">
        <v>17</v>
      </c>
      <c r="B4" s="1576"/>
      <c r="C4" s="1576"/>
      <c r="D4" s="1576"/>
      <c r="E4" s="1576"/>
      <c r="F4" s="1576"/>
      <c r="G4" s="1576"/>
      <c r="H4" s="1576"/>
      <c r="I4" s="1576"/>
      <c r="J4" s="1576"/>
      <c r="K4" s="1576"/>
      <c r="L4" s="1576"/>
      <c r="M4" s="1576"/>
      <c r="N4" s="1576"/>
      <c r="O4" s="1576"/>
      <c r="P4" s="1576"/>
      <c r="Q4" s="1576"/>
      <c r="R4" s="1576"/>
      <c r="S4" s="1576"/>
      <c r="T4" s="1576"/>
      <c r="U4" s="1576"/>
      <c r="V4" s="1576"/>
      <c r="W4" s="1576"/>
      <c r="X4" s="1576"/>
      <c r="Y4" s="1576"/>
      <c r="Z4" s="1576"/>
      <c r="AA4" s="1576"/>
      <c r="AB4" s="1576"/>
      <c r="AC4" s="1576"/>
      <c r="AD4" s="1576"/>
      <c r="AE4" s="1576"/>
      <c r="AF4" s="1576"/>
      <c r="AG4" s="1576"/>
      <c r="AH4" s="1576"/>
      <c r="AI4" s="1576"/>
      <c r="AJ4" s="1576"/>
      <c r="AK4" s="1576"/>
      <c r="AL4" s="1576"/>
      <c r="AM4" s="1576"/>
      <c r="AN4" s="1576"/>
    </row>
    <row r="5" spans="1:262" ht="20.100000000000001" customHeight="1">
      <c r="A5" s="1577" t="s">
        <v>185</v>
      </c>
      <c r="B5" s="1578"/>
      <c r="C5" s="1578"/>
      <c r="D5" s="1578"/>
      <c r="E5" s="1578"/>
      <c r="F5" s="1578"/>
      <c r="G5" s="1578"/>
      <c r="H5" s="1578"/>
      <c r="I5" s="1578"/>
      <c r="J5" s="1578"/>
      <c r="K5" s="1578"/>
      <c r="L5" s="1578"/>
      <c r="M5" s="1578"/>
      <c r="N5" s="1578"/>
      <c r="O5" s="1578"/>
      <c r="P5" s="1578"/>
      <c r="Q5" s="1578"/>
      <c r="R5" s="1578"/>
      <c r="S5" s="1578"/>
      <c r="T5" s="1578"/>
      <c r="U5" s="1578"/>
      <c r="V5" s="1578"/>
      <c r="W5" s="1578"/>
      <c r="X5" s="1578"/>
      <c r="Y5" s="1578"/>
      <c r="Z5" s="1578"/>
      <c r="AA5" s="1578"/>
      <c r="AB5" s="1578"/>
      <c r="AC5" s="1578"/>
      <c r="AD5" s="1578"/>
      <c r="AE5" s="1578"/>
      <c r="AF5" s="1578"/>
      <c r="AG5" s="1578"/>
      <c r="AH5" s="1578"/>
      <c r="AI5" s="1578"/>
      <c r="AJ5" s="1578"/>
      <c r="AK5" s="1578"/>
      <c r="AL5" s="1578"/>
      <c r="AM5" s="1578"/>
      <c r="AN5" s="1578"/>
      <c r="AO5" s="113"/>
      <c r="AP5" s="113"/>
      <c r="AQ5" s="113"/>
      <c r="AR5" s="113"/>
      <c r="AS5" s="113"/>
      <c r="AT5" s="113"/>
      <c r="AU5" s="113"/>
      <c r="AV5" s="113"/>
      <c r="AW5" s="113"/>
      <c r="AX5" s="113"/>
      <c r="AY5" s="113"/>
      <c r="AZ5" s="113"/>
      <c r="BA5" s="113"/>
      <c r="BB5" s="113"/>
      <c r="BC5" s="113"/>
      <c r="BD5" s="113"/>
      <c r="BE5" s="113"/>
      <c r="BF5" s="113"/>
      <c r="BG5" s="113"/>
      <c r="BH5" s="113"/>
      <c r="BI5" s="113"/>
      <c r="BJ5" s="113"/>
      <c r="BK5" s="113"/>
      <c r="BL5" s="113"/>
      <c r="BM5" s="113"/>
      <c r="BN5" s="113"/>
      <c r="BO5" s="113"/>
      <c r="BP5" s="113"/>
      <c r="BQ5" s="113"/>
      <c r="BR5" s="113"/>
      <c r="BS5" s="113"/>
      <c r="BT5" s="113"/>
      <c r="BU5" s="113"/>
      <c r="BV5" s="113"/>
      <c r="BW5" s="113"/>
      <c r="BX5" s="113"/>
      <c r="BY5" s="113"/>
      <c r="BZ5" s="113"/>
      <c r="CA5" s="113"/>
      <c r="CB5" s="113"/>
      <c r="CC5" s="113"/>
      <c r="CD5" s="113"/>
      <c r="CE5" s="113"/>
      <c r="CF5" s="113"/>
      <c r="CG5" s="113"/>
      <c r="CH5" s="113"/>
      <c r="CI5" s="113"/>
      <c r="CJ5" s="113"/>
      <c r="CK5" s="113"/>
      <c r="CL5" s="113"/>
      <c r="CM5" s="113"/>
      <c r="CN5" s="113"/>
      <c r="CO5" s="113"/>
      <c r="CP5" s="113"/>
      <c r="CQ5" s="113"/>
      <c r="CR5" s="113"/>
      <c r="CS5" s="113"/>
      <c r="CT5" s="113"/>
      <c r="CU5" s="113"/>
      <c r="CV5" s="113"/>
      <c r="CW5" s="113"/>
      <c r="CX5" s="113"/>
      <c r="CY5" s="113"/>
      <c r="CZ5" s="113"/>
      <c r="DA5" s="113"/>
      <c r="DB5" s="113"/>
      <c r="DC5" s="113"/>
      <c r="DD5" s="113"/>
      <c r="DE5" s="113"/>
      <c r="DF5" s="113"/>
      <c r="DG5" s="113"/>
      <c r="DH5" s="113"/>
      <c r="DI5" s="113"/>
      <c r="DJ5" s="113"/>
      <c r="DK5" s="113"/>
      <c r="DL5" s="113"/>
      <c r="DM5" s="113"/>
      <c r="DN5" s="113"/>
      <c r="DO5" s="113"/>
      <c r="DP5" s="113"/>
      <c r="DQ5" s="113"/>
      <c r="DR5" s="113"/>
      <c r="DS5" s="113"/>
      <c r="DT5" s="113"/>
      <c r="DU5" s="113"/>
      <c r="DV5" s="113"/>
      <c r="DW5" s="113"/>
      <c r="DX5" s="113"/>
      <c r="DY5" s="113"/>
      <c r="DZ5" s="113"/>
      <c r="EA5" s="113"/>
      <c r="EB5" s="113"/>
      <c r="EC5" s="113"/>
      <c r="ED5" s="113"/>
      <c r="EE5" s="113"/>
      <c r="EF5" s="113"/>
      <c r="EG5" s="113"/>
      <c r="EH5" s="113"/>
      <c r="EI5" s="113"/>
      <c r="EJ5" s="113"/>
      <c r="EK5" s="113"/>
      <c r="EL5" s="113"/>
      <c r="EM5" s="113"/>
      <c r="EN5" s="113"/>
      <c r="EO5" s="113"/>
      <c r="EP5" s="113"/>
      <c r="EQ5" s="113"/>
      <c r="ER5" s="113"/>
      <c r="ES5" s="113"/>
      <c r="ET5" s="113"/>
      <c r="EU5" s="113"/>
      <c r="EV5" s="113"/>
      <c r="EW5" s="113"/>
      <c r="EX5" s="113"/>
      <c r="EY5" s="113"/>
      <c r="EZ5" s="113"/>
      <c r="FA5" s="113"/>
      <c r="FB5" s="113"/>
      <c r="FC5" s="113"/>
      <c r="FD5" s="113"/>
      <c r="FE5" s="113"/>
      <c r="FF5" s="113"/>
      <c r="FG5" s="113"/>
      <c r="FH5" s="113"/>
      <c r="FI5" s="113"/>
      <c r="FJ5" s="113"/>
      <c r="FK5" s="113"/>
      <c r="FL5" s="113"/>
      <c r="FM5" s="113"/>
      <c r="FN5" s="113"/>
      <c r="FO5" s="113"/>
      <c r="FP5" s="113"/>
      <c r="FQ5" s="113"/>
      <c r="FR5" s="113"/>
      <c r="FS5" s="113"/>
      <c r="FT5" s="113"/>
      <c r="FU5" s="113"/>
      <c r="FV5" s="113"/>
      <c r="FW5" s="113"/>
      <c r="FX5" s="113"/>
      <c r="FY5" s="113"/>
      <c r="FZ5" s="113"/>
      <c r="GA5" s="113"/>
      <c r="GB5" s="113"/>
      <c r="GC5" s="113"/>
      <c r="GD5" s="113"/>
      <c r="GE5" s="113"/>
      <c r="GF5" s="113"/>
      <c r="GG5" s="113"/>
      <c r="GH5" s="113"/>
      <c r="GI5" s="113"/>
      <c r="GJ5" s="113"/>
      <c r="GK5" s="113"/>
      <c r="GL5" s="113"/>
      <c r="GM5" s="113"/>
      <c r="GN5" s="113"/>
      <c r="GO5" s="113"/>
      <c r="GP5" s="113"/>
      <c r="GQ5" s="113"/>
      <c r="GR5" s="113"/>
      <c r="GS5" s="113"/>
      <c r="GT5" s="113"/>
      <c r="GU5" s="113"/>
      <c r="GV5" s="113"/>
      <c r="GW5" s="113"/>
      <c r="GX5" s="113"/>
      <c r="GY5" s="113"/>
      <c r="GZ5" s="113"/>
      <c r="HA5" s="113"/>
      <c r="HB5" s="113"/>
      <c r="HC5" s="113"/>
      <c r="HD5" s="113"/>
      <c r="HE5" s="113"/>
      <c r="HF5" s="113"/>
      <c r="HG5" s="113"/>
      <c r="HH5" s="113"/>
      <c r="HI5" s="113"/>
      <c r="HJ5" s="113"/>
      <c r="HK5" s="113"/>
      <c r="HL5" s="113"/>
      <c r="HM5" s="113"/>
      <c r="HN5" s="113"/>
      <c r="HO5" s="113"/>
      <c r="HP5" s="113"/>
      <c r="HQ5" s="113"/>
      <c r="HR5" s="113"/>
      <c r="HS5" s="113"/>
      <c r="HT5" s="113"/>
      <c r="HU5" s="113"/>
      <c r="HV5" s="113"/>
      <c r="HW5" s="113"/>
      <c r="HX5" s="113"/>
      <c r="HY5" s="113"/>
      <c r="HZ5" s="113"/>
      <c r="IA5" s="113"/>
      <c r="IB5" s="113"/>
      <c r="IC5" s="113"/>
      <c r="ID5" s="113"/>
      <c r="IE5" s="113"/>
      <c r="IF5" s="113"/>
      <c r="IG5" s="113"/>
      <c r="IH5" s="113"/>
      <c r="II5" s="113"/>
      <c r="IJ5" s="113"/>
      <c r="IK5" s="113"/>
      <c r="IL5" s="113"/>
      <c r="IM5" s="113"/>
      <c r="IN5" s="113"/>
      <c r="IO5" s="113"/>
      <c r="IP5" s="113"/>
      <c r="IQ5" s="113"/>
      <c r="IR5" s="113"/>
      <c r="IS5" s="113"/>
      <c r="IT5" s="113"/>
      <c r="IU5" s="113"/>
      <c r="IV5" s="113"/>
      <c r="IW5" s="113"/>
      <c r="IX5" s="113"/>
      <c r="IY5" s="113"/>
      <c r="IZ5" s="113"/>
      <c r="JA5" s="113"/>
      <c r="JB5" s="113"/>
    </row>
    <row r="6" spans="1:262" ht="20.100000000000001" customHeight="1">
      <c r="A6" s="1579" t="s">
        <v>16</v>
      </c>
      <c r="B6" s="1580"/>
      <c r="C6" s="1580"/>
      <c r="D6" s="1580"/>
      <c r="E6" s="1580"/>
      <c r="F6" s="1580"/>
      <c r="G6" s="1580"/>
      <c r="H6" s="1580"/>
      <c r="I6" s="1580"/>
      <c r="J6" s="1580"/>
      <c r="K6" s="1580"/>
      <c r="L6" s="1580"/>
      <c r="M6" s="1580"/>
      <c r="N6" s="1580"/>
      <c r="O6" s="1580"/>
      <c r="P6" s="1580"/>
      <c r="Q6" s="1580"/>
      <c r="R6" s="1580"/>
      <c r="S6" s="1580"/>
      <c r="T6" s="1580"/>
      <c r="U6" s="1580"/>
      <c r="V6" s="1580"/>
      <c r="W6" s="1580"/>
      <c r="X6" s="1580"/>
      <c r="Y6" s="1580"/>
      <c r="Z6" s="1580"/>
      <c r="AA6" s="1580"/>
      <c r="AB6" s="1580"/>
      <c r="AC6" s="1580"/>
      <c r="AD6" s="1580"/>
      <c r="AE6" s="1580"/>
      <c r="AF6" s="1580"/>
      <c r="AG6" s="1580"/>
      <c r="AH6" s="1580"/>
      <c r="AI6" s="1580"/>
      <c r="AJ6" s="1580"/>
      <c r="AK6" s="1580"/>
      <c r="AL6" s="1580"/>
      <c r="AM6" s="1580"/>
      <c r="AN6" s="1580"/>
      <c r="AO6" s="113"/>
      <c r="AP6" s="113"/>
      <c r="AQ6" s="113"/>
      <c r="AR6" s="113"/>
      <c r="AS6" s="113"/>
      <c r="AT6" s="113"/>
      <c r="AU6" s="113"/>
      <c r="AV6" s="113"/>
      <c r="AW6" s="113"/>
      <c r="AX6" s="113"/>
      <c r="AY6" s="113"/>
      <c r="AZ6" s="113"/>
      <c r="BA6" s="113"/>
      <c r="BB6" s="113"/>
      <c r="BC6" s="113"/>
      <c r="BD6" s="113"/>
      <c r="BE6" s="113"/>
      <c r="BF6" s="113"/>
      <c r="BG6" s="113"/>
      <c r="BH6" s="113"/>
      <c r="BI6" s="113"/>
      <c r="BJ6" s="113"/>
      <c r="BK6" s="113"/>
      <c r="BL6" s="113"/>
      <c r="BM6" s="113"/>
      <c r="BN6" s="113"/>
      <c r="BO6" s="113"/>
      <c r="BP6" s="113"/>
      <c r="BQ6" s="113"/>
      <c r="BR6" s="113"/>
      <c r="BS6" s="113"/>
      <c r="BT6" s="113"/>
      <c r="BU6" s="113"/>
      <c r="BV6" s="113"/>
      <c r="BW6" s="113"/>
      <c r="BX6" s="113"/>
      <c r="BY6" s="113"/>
      <c r="BZ6" s="113"/>
      <c r="CA6" s="113"/>
      <c r="CB6" s="113"/>
      <c r="CC6" s="113"/>
      <c r="CD6" s="113"/>
      <c r="CE6" s="113"/>
      <c r="CF6" s="113"/>
      <c r="CG6" s="113"/>
      <c r="CH6" s="113"/>
      <c r="CI6" s="113"/>
      <c r="CJ6" s="113"/>
      <c r="CK6" s="113"/>
      <c r="CL6" s="113"/>
      <c r="CM6" s="113"/>
      <c r="CN6" s="113"/>
      <c r="CO6" s="113"/>
      <c r="CP6" s="113"/>
      <c r="CQ6" s="113"/>
      <c r="CR6" s="113"/>
      <c r="CS6" s="113"/>
      <c r="CT6" s="113"/>
      <c r="CU6" s="113"/>
      <c r="CV6" s="113"/>
      <c r="CW6" s="113"/>
      <c r="CX6" s="113"/>
      <c r="CY6" s="113"/>
      <c r="CZ6" s="113"/>
      <c r="DA6" s="113"/>
      <c r="DB6" s="113"/>
      <c r="DC6" s="113"/>
      <c r="DD6" s="113"/>
      <c r="DE6" s="113"/>
      <c r="DF6" s="113"/>
      <c r="DG6" s="113"/>
      <c r="DH6" s="113"/>
      <c r="DI6" s="113"/>
      <c r="DJ6" s="113"/>
      <c r="DK6" s="113"/>
      <c r="DL6" s="113"/>
      <c r="DM6" s="113"/>
      <c r="DN6" s="113"/>
      <c r="DO6" s="113"/>
      <c r="DP6" s="113"/>
      <c r="DQ6" s="113"/>
      <c r="DR6" s="113"/>
      <c r="DS6" s="113"/>
      <c r="DT6" s="113"/>
      <c r="DU6" s="113"/>
      <c r="DV6" s="113"/>
      <c r="DW6" s="113"/>
      <c r="DX6" s="113"/>
      <c r="DY6" s="113"/>
      <c r="DZ6" s="113"/>
      <c r="EA6" s="113"/>
      <c r="EB6" s="113"/>
      <c r="EC6" s="113"/>
      <c r="ED6" s="113"/>
      <c r="EE6" s="113"/>
      <c r="EF6" s="113"/>
      <c r="EG6" s="113"/>
      <c r="EH6" s="113"/>
      <c r="EI6" s="113"/>
      <c r="EJ6" s="113"/>
      <c r="EK6" s="113"/>
      <c r="EL6" s="113"/>
      <c r="EM6" s="113"/>
      <c r="EN6" s="113"/>
      <c r="EO6" s="113"/>
      <c r="EP6" s="113"/>
      <c r="EQ6" s="113"/>
      <c r="ER6" s="113"/>
      <c r="ES6" s="113"/>
      <c r="ET6" s="113"/>
      <c r="EU6" s="113"/>
      <c r="EV6" s="113"/>
      <c r="EW6" s="113"/>
      <c r="EX6" s="113"/>
      <c r="EY6" s="113"/>
      <c r="EZ6" s="113"/>
      <c r="FA6" s="113"/>
      <c r="FB6" s="113"/>
      <c r="FC6" s="113"/>
      <c r="FD6" s="113"/>
      <c r="FE6" s="113"/>
      <c r="FF6" s="113"/>
      <c r="FG6" s="113"/>
      <c r="FH6" s="113"/>
      <c r="FI6" s="113"/>
      <c r="FJ6" s="113"/>
      <c r="FK6" s="113"/>
      <c r="FL6" s="113"/>
      <c r="FM6" s="113"/>
      <c r="FN6" s="113"/>
      <c r="FO6" s="113"/>
      <c r="FP6" s="113"/>
      <c r="FQ6" s="113"/>
      <c r="FR6" s="113"/>
      <c r="FS6" s="113"/>
      <c r="FT6" s="113"/>
      <c r="FU6" s="113"/>
      <c r="FV6" s="113"/>
      <c r="FW6" s="113"/>
      <c r="FX6" s="113"/>
      <c r="FY6" s="113"/>
      <c r="FZ6" s="113"/>
      <c r="GA6" s="113"/>
      <c r="GB6" s="113"/>
      <c r="GC6" s="113"/>
      <c r="GD6" s="113"/>
      <c r="GE6" s="113"/>
      <c r="GF6" s="113"/>
      <c r="GG6" s="113"/>
      <c r="GH6" s="113"/>
      <c r="GI6" s="113"/>
      <c r="GJ6" s="113"/>
      <c r="GK6" s="113"/>
      <c r="GL6" s="113"/>
      <c r="GM6" s="113"/>
      <c r="GN6" s="113"/>
      <c r="GO6" s="113"/>
      <c r="GP6" s="113"/>
      <c r="GQ6" s="113"/>
      <c r="GR6" s="113"/>
      <c r="GS6" s="113"/>
      <c r="GT6" s="113"/>
      <c r="GU6" s="113"/>
      <c r="GV6" s="113"/>
      <c r="GW6" s="113"/>
      <c r="GX6" s="113"/>
      <c r="GY6" s="113"/>
      <c r="GZ6" s="113"/>
      <c r="HA6" s="113"/>
      <c r="HB6" s="113"/>
      <c r="HC6" s="113"/>
      <c r="HD6" s="113"/>
      <c r="HE6" s="113"/>
      <c r="HF6" s="113"/>
      <c r="HG6" s="113"/>
      <c r="HH6" s="113"/>
      <c r="HI6" s="113"/>
      <c r="HJ6" s="113"/>
      <c r="HK6" s="113"/>
      <c r="HL6" s="113"/>
      <c r="HM6" s="113"/>
      <c r="HN6" s="113"/>
      <c r="HO6" s="113"/>
      <c r="HP6" s="113"/>
      <c r="HQ6" s="113"/>
      <c r="HR6" s="113"/>
      <c r="HS6" s="113"/>
      <c r="HT6" s="113"/>
      <c r="HU6" s="113"/>
      <c r="HV6" s="113"/>
      <c r="HW6" s="113"/>
      <c r="HX6" s="113"/>
      <c r="HY6" s="113"/>
      <c r="HZ6" s="113"/>
      <c r="IA6" s="113"/>
      <c r="IB6" s="113"/>
      <c r="IC6" s="113"/>
      <c r="ID6" s="113"/>
      <c r="IE6" s="113"/>
      <c r="IF6" s="113"/>
      <c r="IG6" s="113"/>
      <c r="IH6" s="113"/>
      <c r="II6" s="113"/>
      <c r="IJ6" s="113"/>
      <c r="IK6" s="113"/>
      <c r="IL6" s="113"/>
      <c r="IM6" s="113"/>
      <c r="IN6" s="113"/>
      <c r="IO6" s="113"/>
      <c r="IP6" s="113"/>
      <c r="IQ6" s="113"/>
      <c r="IR6" s="113"/>
      <c r="IS6" s="113"/>
      <c r="IT6" s="113"/>
      <c r="IU6" s="113"/>
      <c r="IV6" s="113"/>
      <c r="IW6" s="113"/>
      <c r="IX6" s="113"/>
      <c r="IY6" s="113"/>
      <c r="IZ6" s="113"/>
      <c r="JA6" s="113"/>
      <c r="JB6" s="113"/>
    </row>
    <row r="7" spans="1:262" ht="20.100000000000001" customHeight="1">
      <c r="A7" s="1579"/>
      <c r="B7" s="1580"/>
      <c r="C7" s="1580"/>
      <c r="D7" s="1580"/>
      <c r="E7" s="1580"/>
      <c r="F7" s="1580"/>
      <c r="G7" s="1580"/>
      <c r="H7" s="1580"/>
      <c r="I7" s="1580"/>
      <c r="J7" s="1580"/>
      <c r="K7" s="1580"/>
      <c r="L7" s="1580"/>
      <c r="M7" s="1580"/>
      <c r="N7" s="1580"/>
      <c r="O7" s="1580"/>
      <c r="P7" s="1580"/>
      <c r="Q7" s="1580"/>
      <c r="R7" s="1580"/>
      <c r="S7" s="1580"/>
      <c r="T7" s="1580"/>
      <c r="U7" s="1580"/>
      <c r="V7" s="1580"/>
      <c r="W7" s="1580"/>
      <c r="X7" s="1580"/>
      <c r="Y7" s="1580"/>
      <c r="Z7" s="1580"/>
      <c r="AA7" s="1580"/>
      <c r="AB7" s="1580"/>
      <c r="AC7" s="1580"/>
      <c r="AD7" s="1580"/>
      <c r="AE7" s="1580"/>
      <c r="AF7" s="1580"/>
      <c r="AG7" s="1580"/>
      <c r="AH7" s="1580"/>
      <c r="AI7" s="1580"/>
      <c r="AJ7" s="1580"/>
      <c r="AK7" s="1580"/>
      <c r="AL7" s="1580"/>
      <c r="AM7" s="1580"/>
      <c r="AN7" s="1585"/>
      <c r="AO7" s="113"/>
      <c r="AP7" s="113"/>
      <c r="AQ7" s="113"/>
      <c r="AR7" s="113"/>
      <c r="AS7" s="113"/>
      <c r="AT7" s="113"/>
      <c r="AU7" s="113"/>
      <c r="AV7" s="113"/>
      <c r="AW7" s="113"/>
      <c r="AX7" s="113"/>
      <c r="AY7" s="113"/>
      <c r="AZ7" s="113"/>
      <c r="BA7" s="113"/>
      <c r="BB7" s="113"/>
      <c r="BC7" s="113"/>
      <c r="BD7" s="113"/>
      <c r="BE7" s="113"/>
      <c r="BF7" s="113"/>
      <c r="BG7" s="113"/>
      <c r="BH7" s="113"/>
      <c r="BI7" s="113"/>
      <c r="BJ7" s="113"/>
      <c r="BK7" s="113"/>
      <c r="BL7" s="113"/>
      <c r="BM7" s="113"/>
      <c r="BN7" s="113"/>
      <c r="BO7" s="113"/>
      <c r="BP7" s="113"/>
      <c r="BQ7" s="113"/>
      <c r="BR7" s="113"/>
      <c r="BS7" s="113"/>
      <c r="BT7" s="113"/>
      <c r="BU7" s="113"/>
      <c r="BV7" s="113"/>
      <c r="BW7" s="113"/>
      <c r="BX7" s="113"/>
      <c r="BY7" s="113"/>
      <c r="BZ7" s="113"/>
      <c r="CA7" s="113"/>
      <c r="CB7" s="113"/>
      <c r="CC7" s="113"/>
      <c r="CD7" s="113"/>
      <c r="CE7" s="113"/>
      <c r="CF7" s="113"/>
      <c r="CG7" s="113"/>
      <c r="CH7" s="113"/>
      <c r="CI7" s="113"/>
      <c r="CJ7" s="113"/>
      <c r="CK7" s="113"/>
      <c r="CL7" s="113"/>
      <c r="CM7" s="113"/>
      <c r="CN7" s="113"/>
      <c r="CO7" s="113"/>
      <c r="CP7" s="113"/>
      <c r="CQ7" s="113"/>
      <c r="CR7" s="113"/>
      <c r="CS7" s="113"/>
      <c r="CT7" s="113"/>
      <c r="CU7" s="113"/>
      <c r="CV7" s="113"/>
      <c r="CW7" s="113"/>
      <c r="CX7" s="113"/>
      <c r="CY7" s="113"/>
      <c r="CZ7" s="113"/>
      <c r="DA7" s="113"/>
      <c r="DB7" s="113"/>
      <c r="DC7" s="113"/>
      <c r="DD7" s="113"/>
      <c r="DE7" s="113"/>
      <c r="DF7" s="113"/>
      <c r="DG7" s="113"/>
      <c r="DH7" s="113"/>
      <c r="DI7" s="113"/>
      <c r="DJ7" s="113"/>
      <c r="DK7" s="113"/>
      <c r="DL7" s="113"/>
      <c r="DM7" s="113"/>
      <c r="DN7" s="113"/>
      <c r="DO7" s="113"/>
      <c r="DP7" s="113"/>
      <c r="DQ7" s="113"/>
      <c r="DR7" s="113"/>
      <c r="DS7" s="113"/>
      <c r="DT7" s="113"/>
      <c r="DU7" s="113"/>
      <c r="DV7" s="113"/>
      <c r="DW7" s="113"/>
      <c r="DX7" s="113"/>
      <c r="DY7" s="113"/>
      <c r="DZ7" s="113"/>
      <c r="EA7" s="113"/>
      <c r="EB7" s="113"/>
      <c r="EC7" s="113"/>
      <c r="ED7" s="113"/>
      <c r="EE7" s="113"/>
      <c r="EF7" s="113"/>
      <c r="EG7" s="113"/>
      <c r="EH7" s="113"/>
      <c r="EI7" s="113"/>
      <c r="EJ7" s="113"/>
      <c r="EK7" s="113"/>
      <c r="EL7" s="113"/>
      <c r="EM7" s="113"/>
      <c r="EN7" s="113"/>
      <c r="EO7" s="113"/>
      <c r="EP7" s="113"/>
      <c r="EQ7" s="113"/>
      <c r="ER7" s="113"/>
      <c r="ES7" s="113"/>
      <c r="ET7" s="113"/>
      <c r="EU7" s="113"/>
      <c r="EV7" s="113"/>
      <c r="EW7" s="113"/>
      <c r="EX7" s="113"/>
      <c r="EY7" s="113"/>
      <c r="EZ7" s="113"/>
      <c r="FA7" s="113"/>
      <c r="FB7" s="113"/>
      <c r="FC7" s="113"/>
      <c r="FD7" s="113"/>
      <c r="FE7" s="113"/>
      <c r="FF7" s="113"/>
      <c r="FG7" s="113"/>
      <c r="FH7" s="113"/>
      <c r="FI7" s="113"/>
      <c r="FJ7" s="113"/>
      <c r="FK7" s="113"/>
      <c r="FL7" s="113"/>
      <c r="FM7" s="113"/>
      <c r="FN7" s="113"/>
      <c r="FO7" s="113"/>
      <c r="FP7" s="113"/>
      <c r="FQ7" s="113"/>
      <c r="FR7" s="113"/>
      <c r="FS7" s="113"/>
      <c r="FT7" s="113"/>
      <c r="FU7" s="113"/>
      <c r="FV7" s="113"/>
      <c r="FW7" s="113"/>
      <c r="FX7" s="113"/>
      <c r="FY7" s="113"/>
      <c r="FZ7" s="113"/>
      <c r="GA7" s="113"/>
      <c r="GB7" s="113"/>
      <c r="GC7" s="113"/>
      <c r="GD7" s="113"/>
      <c r="GE7" s="113"/>
      <c r="GF7" s="113"/>
      <c r="GG7" s="113"/>
      <c r="GH7" s="113"/>
      <c r="GI7" s="113"/>
      <c r="GJ7" s="113"/>
      <c r="GK7" s="113"/>
      <c r="GL7" s="113"/>
      <c r="GM7" s="113"/>
      <c r="GN7" s="113"/>
      <c r="GO7" s="113"/>
      <c r="GP7" s="113"/>
      <c r="GQ7" s="113"/>
      <c r="GR7" s="113"/>
      <c r="GS7" s="113"/>
      <c r="GT7" s="113"/>
      <c r="GU7" s="113"/>
      <c r="GV7" s="113"/>
      <c r="GW7" s="113"/>
      <c r="GX7" s="113"/>
      <c r="GY7" s="113"/>
      <c r="GZ7" s="113"/>
      <c r="HA7" s="113"/>
      <c r="HB7" s="113"/>
      <c r="HC7" s="113"/>
      <c r="HD7" s="113"/>
      <c r="HE7" s="113"/>
      <c r="HF7" s="113"/>
      <c r="HG7" s="113"/>
      <c r="HH7" s="113"/>
      <c r="HI7" s="113"/>
      <c r="HJ7" s="113"/>
      <c r="HK7" s="113"/>
      <c r="HL7" s="113"/>
      <c r="HM7" s="113"/>
      <c r="HN7" s="113"/>
      <c r="HO7" s="113"/>
      <c r="HP7" s="113"/>
      <c r="HQ7" s="113"/>
      <c r="HR7" s="113"/>
      <c r="HS7" s="113"/>
      <c r="HT7" s="113"/>
      <c r="HU7" s="113"/>
      <c r="HV7" s="113"/>
      <c r="HW7" s="113"/>
      <c r="HX7" s="113"/>
      <c r="HY7" s="113"/>
      <c r="HZ7" s="113"/>
      <c r="IA7" s="113"/>
      <c r="IB7" s="113"/>
      <c r="IC7" s="113"/>
      <c r="ID7" s="113"/>
      <c r="IE7" s="113"/>
      <c r="IF7" s="113"/>
      <c r="IG7" s="113"/>
      <c r="IH7" s="113"/>
      <c r="II7" s="113"/>
      <c r="IJ7" s="113"/>
      <c r="IK7" s="113"/>
      <c r="IL7" s="113"/>
      <c r="IM7" s="113"/>
      <c r="IN7" s="113"/>
      <c r="IO7" s="113"/>
      <c r="IP7" s="113"/>
      <c r="IQ7" s="113"/>
      <c r="IR7" s="113"/>
      <c r="IS7" s="113"/>
      <c r="IT7" s="113"/>
      <c r="IU7" s="113"/>
      <c r="IV7" s="113"/>
      <c r="IW7" s="113"/>
      <c r="IX7" s="113"/>
      <c r="IY7" s="113"/>
      <c r="IZ7" s="113"/>
      <c r="JA7" s="113"/>
      <c r="JB7" s="113"/>
    </row>
    <row r="8" spans="1:262" ht="38.25" customHeight="1">
      <c r="A8" s="973" t="s">
        <v>532</v>
      </c>
      <c r="B8" s="1581" t="str">
        <f>ORÇAMENTO!D9</f>
        <v>SISTEMA DE SANEAMENTO INTEGRADO NO BAIRRO DO ICUÍ: ABASTECIMENTO DE ÁGUA, DRENAGEM URBANA E MANEJO DE ÁGUAS PLUVIAIS E PAVIMENTAÇÃO NO MUNICÍPIO DE ANANINDEUA/ PA</v>
      </c>
      <c r="C8" s="1582"/>
      <c r="D8" s="1582"/>
      <c r="E8" s="1582"/>
      <c r="F8" s="1582"/>
      <c r="G8" s="1582"/>
      <c r="H8" s="1582"/>
      <c r="I8" s="1582"/>
      <c r="J8" s="1582"/>
      <c r="K8" s="1582"/>
      <c r="L8" s="1582"/>
      <c r="M8" s="1582"/>
      <c r="N8" s="1582"/>
      <c r="O8" s="1582"/>
      <c r="P8" s="1582"/>
      <c r="Q8" s="1582"/>
      <c r="R8" s="1582"/>
      <c r="S8" s="1582"/>
      <c r="T8" s="1582"/>
      <c r="U8" s="1582"/>
      <c r="V8" s="1582"/>
      <c r="W8" s="1582"/>
      <c r="X8" s="1582"/>
      <c r="Y8" s="1582"/>
      <c r="Z8" s="1582"/>
      <c r="AA8" s="1582"/>
      <c r="AB8" s="1582"/>
      <c r="AC8" s="1582"/>
      <c r="AD8" s="1582"/>
      <c r="AE8" s="1582"/>
      <c r="AF8" s="1582"/>
      <c r="AG8" s="1582"/>
      <c r="AH8" s="1582"/>
      <c r="AI8" s="1582"/>
      <c r="AJ8" s="1582"/>
      <c r="AK8" s="1582"/>
      <c r="AL8" s="1582"/>
      <c r="AM8" s="1582"/>
      <c r="AN8" s="1582"/>
    </row>
    <row r="9" spans="1:262" ht="15" thickBot="1">
      <c r="A9" s="1583"/>
      <c r="B9" s="1584"/>
      <c r="C9" s="1584"/>
      <c r="D9" s="1584"/>
      <c r="E9" s="1584"/>
      <c r="F9" s="1584"/>
      <c r="G9" s="1584"/>
      <c r="H9" s="1584"/>
      <c r="I9" s="1584"/>
      <c r="J9" s="1584"/>
      <c r="K9" s="1584"/>
      <c r="L9" s="1584"/>
      <c r="M9" s="1584"/>
      <c r="N9" s="1584"/>
      <c r="O9" s="1584"/>
      <c r="P9" s="1584"/>
      <c r="Q9" s="1584"/>
      <c r="R9" s="1584"/>
      <c r="S9" s="1584"/>
      <c r="T9" s="1584"/>
      <c r="U9" s="1584"/>
      <c r="V9" s="1584"/>
      <c r="W9" s="1584"/>
      <c r="X9" s="1584"/>
      <c r="Y9" s="1584"/>
      <c r="Z9" s="1584"/>
      <c r="AA9" s="1584"/>
      <c r="AB9" s="1584"/>
      <c r="AC9" s="1584"/>
      <c r="AD9" s="1584"/>
      <c r="AE9" s="1584"/>
      <c r="AF9" s="1584"/>
      <c r="AG9" s="1584"/>
      <c r="AH9" s="1584"/>
      <c r="AI9" s="1584"/>
      <c r="AJ9" s="1584"/>
      <c r="AK9" s="1584"/>
      <c r="AL9" s="1584"/>
      <c r="AM9" s="1584"/>
      <c r="AN9" s="1584"/>
      <c r="AO9" s="113"/>
      <c r="AP9" s="113"/>
      <c r="AQ9" s="113"/>
      <c r="AR9" s="113"/>
      <c r="AS9" s="113"/>
      <c r="AT9" s="113"/>
      <c r="AU9" s="113"/>
      <c r="AV9" s="113"/>
      <c r="AW9" s="113"/>
      <c r="AX9" s="113"/>
      <c r="AY9" s="113"/>
      <c r="AZ9" s="113"/>
      <c r="BA9" s="113"/>
      <c r="BB9" s="113"/>
      <c r="BC9" s="113"/>
      <c r="BD9" s="113"/>
      <c r="BE9" s="113"/>
      <c r="BF9" s="113"/>
      <c r="BG9" s="113"/>
      <c r="BH9" s="113"/>
      <c r="BI9" s="113"/>
      <c r="BJ9" s="113"/>
      <c r="BK9" s="113"/>
      <c r="BL9" s="113"/>
      <c r="BM9" s="113"/>
      <c r="BN9" s="113"/>
      <c r="BO9" s="113"/>
      <c r="BP9" s="113"/>
      <c r="BQ9" s="113"/>
      <c r="BR9" s="113"/>
      <c r="BS9" s="113"/>
      <c r="BT9" s="113"/>
      <c r="BU9" s="113"/>
      <c r="BV9" s="113"/>
      <c r="BW9" s="113"/>
      <c r="BX9" s="113"/>
      <c r="BY9" s="113"/>
      <c r="BZ9" s="113"/>
      <c r="CA9" s="113"/>
      <c r="CB9" s="113"/>
      <c r="CC9" s="113"/>
      <c r="CD9" s="113"/>
      <c r="CE9" s="113"/>
      <c r="CF9" s="113"/>
      <c r="CG9" s="113"/>
      <c r="CH9" s="113"/>
      <c r="CI9" s="113"/>
      <c r="CJ9" s="113"/>
      <c r="CK9" s="113"/>
      <c r="CL9" s="113"/>
      <c r="CM9" s="113"/>
      <c r="CN9" s="113"/>
      <c r="CO9" s="113"/>
      <c r="CP9" s="113"/>
      <c r="CQ9" s="113"/>
      <c r="CR9" s="113"/>
      <c r="CS9" s="113"/>
      <c r="CT9" s="113"/>
      <c r="CU9" s="113"/>
      <c r="CV9" s="113"/>
      <c r="CW9" s="113"/>
      <c r="CX9" s="113"/>
      <c r="CY9" s="113"/>
      <c r="CZ9" s="113"/>
      <c r="DA9" s="113"/>
      <c r="DB9" s="113"/>
      <c r="DC9" s="113"/>
      <c r="DD9" s="113"/>
      <c r="DE9" s="113"/>
      <c r="DF9" s="113"/>
      <c r="DG9" s="113"/>
      <c r="DH9" s="113"/>
      <c r="DI9" s="113"/>
      <c r="DJ9" s="113"/>
      <c r="DK9" s="113"/>
      <c r="DL9" s="113"/>
      <c r="DM9" s="113"/>
      <c r="DN9" s="113"/>
      <c r="DO9" s="113"/>
      <c r="DP9" s="113"/>
      <c r="DQ9" s="113"/>
      <c r="DR9" s="113"/>
      <c r="DS9" s="113"/>
      <c r="DT9" s="113"/>
      <c r="DU9" s="113"/>
      <c r="DV9" s="113"/>
      <c r="DW9" s="113"/>
      <c r="DX9" s="113"/>
      <c r="DY9" s="113"/>
      <c r="DZ9" s="113"/>
      <c r="EA9" s="113"/>
      <c r="EB9" s="113"/>
      <c r="EC9" s="113"/>
      <c r="ED9" s="113"/>
      <c r="EE9" s="113"/>
      <c r="EF9" s="113"/>
      <c r="EG9" s="113"/>
      <c r="EH9" s="113"/>
      <c r="EI9" s="113"/>
      <c r="EJ9" s="113"/>
      <c r="EK9" s="113"/>
      <c r="EL9" s="113"/>
      <c r="EM9" s="113"/>
      <c r="EN9" s="113"/>
      <c r="EO9" s="113"/>
      <c r="EP9" s="113"/>
      <c r="EQ9" s="113"/>
      <c r="ER9" s="113"/>
      <c r="ES9" s="113"/>
      <c r="ET9" s="113"/>
      <c r="EU9" s="113"/>
      <c r="EV9" s="113"/>
      <c r="EW9" s="113"/>
      <c r="EX9" s="113"/>
      <c r="EY9" s="113"/>
      <c r="EZ9" s="113"/>
      <c r="FA9" s="113"/>
      <c r="FB9" s="113"/>
      <c r="FC9" s="113"/>
      <c r="FD9" s="113"/>
      <c r="FE9" s="113"/>
      <c r="FF9" s="113"/>
      <c r="FG9" s="113"/>
      <c r="FH9" s="113"/>
      <c r="FI9" s="113"/>
      <c r="FJ9" s="113"/>
      <c r="FK9" s="113"/>
      <c r="FL9" s="113"/>
      <c r="FM9" s="113"/>
      <c r="FN9" s="113"/>
      <c r="FO9" s="113"/>
      <c r="FP9" s="113"/>
      <c r="FQ9" s="113"/>
      <c r="FR9" s="113"/>
      <c r="FS9" s="113"/>
      <c r="FT9" s="113"/>
      <c r="FU9" s="113"/>
      <c r="FV9" s="113"/>
      <c r="FW9" s="113"/>
      <c r="FX9" s="113"/>
      <c r="FY9" s="113"/>
      <c r="FZ9" s="113"/>
      <c r="GA9" s="113"/>
      <c r="GB9" s="113"/>
      <c r="GC9" s="113"/>
      <c r="GD9" s="113"/>
      <c r="GE9" s="113"/>
      <c r="GF9" s="113"/>
      <c r="GG9" s="113"/>
      <c r="GH9" s="113"/>
      <c r="GI9" s="113"/>
      <c r="GJ9" s="113"/>
      <c r="GK9" s="113"/>
      <c r="GL9" s="113"/>
      <c r="GM9" s="113"/>
      <c r="GN9" s="113"/>
      <c r="GO9" s="113"/>
      <c r="GP9" s="113"/>
      <c r="GQ9" s="113"/>
      <c r="GR9" s="113"/>
      <c r="GS9" s="113"/>
      <c r="GT9" s="113"/>
      <c r="GU9" s="113"/>
      <c r="GV9" s="113"/>
      <c r="GW9" s="113"/>
      <c r="GX9" s="113"/>
      <c r="GY9" s="113"/>
      <c r="GZ9" s="113"/>
      <c r="HA9" s="113"/>
      <c r="HB9" s="113"/>
      <c r="HC9" s="113"/>
      <c r="HD9" s="113"/>
      <c r="HE9" s="113"/>
      <c r="HF9" s="113"/>
      <c r="HG9" s="113"/>
      <c r="HH9" s="113"/>
      <c r="HI9" s="113"/>
      <c r="HJ9" s="113"/>
      <c r="HK9" s="113"/>
      <c r="HL9" s="113"/>
      <c r="HM9" s="113"/>
      <c r="HN9" s="113"/>
      <c r="HO9" s="113"/>
      <c r="HP9" s="113"/>
      <c r="HQ9" s="113"/>
      <c r="HR9" s="113"/>
      <c r="HS9" s="113"/>
      <c r="HT9" s="113"/>
      <c r="HU9" s="113"/>
      <c r="HV9" s="113"/>
      <c r="HW9" s="113"/>
      <c r="HX9" s="113"/>
      <c r="HY9" s="113"/>
      <c r="HZ9" s="113"/>
      <c r="IA9" s="113"/>
      <c r="IB9" s="113"/>
      <c r="IC9" s="113"/>
      <c r="ID9" s="113"/>
      <c r="IE9" s="113"/>
      <c r="IF9" s="113"/>
      <c r="IG9" s="113"/>
      <c r="IH9" s="113"/>
      <c r="II9" s="113"/>
      <c r="IJ9" s="113"/>
      <c r="IK9" s="113"/>
      <c r="IL9" s="113"/>
      <c r="IM9" s="113"/>
      <c r="IN9" s="113"/>
      <c r="IO9" s="113"/>
      <c r="IP9" s="113"/>
      <c r="IQ9" s="113"/>
      <c r="IR9" s="113"/>
      <c r="IS9" s="113"/>
      <c r="IT9" s="113"/>
      <c r="IU9" s="113"/>
      <c r="IV9" s="113"/>
      <c r="IW9" s="113"/>
      <c r="IX9" s="113"/>
      <c r="IY9" s="113"/>
      <c r="IZ9" s="113"/>
      <c r="JA9" s="113"/>
      <c r="JB9" s="113"/>
    </row>
    <row r="10" spans="1:262" ht="29.25" customHeight="1" thickTop="1" thickBot="1">
      <c r="A10" s="1568" t="s">
        <v>203</v>
      </c>
      <c r="B10" s="1569"/>
      <c r="C10" s="1569"/>
      <c r="D10" s="1569"/>
      <c r="E10" s="1569"/>
      <c r="F10" s="1569"/>
      <c r="G10" s="1569"/>
      <c r="H10" s="1569"/>
      <c r="I10" s="1569"/>
      <c r="J10" s="1569"/>
      <c r="K10" s="1569"/>
      <c r="L10" s="1569"/>
      <c r="M10" s="1569"/>
      <c r="N10" s="1569"/>
      <c r="O10" s="1569"/>
      <c r="P10" s="1569"/>
      <c r="Q10" s="1569"/>
      <c r="R10" s="1569"/>
      <c r="S10" s="1569"/>
      <c r="T10" s="1569"/>
      <c r="U10" s="1569"/>
      <c r="V10" s="1569"/>
      <c r="W10" s="1569"/>
      <c r="X10" s="1569"/>
      <c r="Y10" s="1569"/>
      <c r="Z10" s="1569"/>
      <c r="AA10" s="1569"/>
      <c r="AB10" s="1569"/>
      <c r="AC10" s="1569"/>
      <c r="AD10" s="1569"/>
      <c r="AE10" s="1569"/>
      <c r="AF10" s="1569"/>
      <c r="AG10" s="1569"/>
      <c r="AH10" s="1569"/>
      <c r="AI10" s="1569"/>
      <c r="AJ10" s="1569"/>
      <c r="AK10" s="1569"/>
      <c r="AL10" s="1569"/>
      <c r="AM10" s="1569"/>
      <c r="AN10" s="1569"/>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c r="DK10" s="113"/>
      <c r="DL10" s="113"/>
      <c r="DM10" s="113"/>
      <c r="DN10" s="113"/>
      <c r="DO10" s="113"/>
      <c r="DP10" s="113"/>
      <c r="DQ10" s="113"/>
      <c r="DR10" s="113"/>
      <c r="DS10" s="113"/>
      <c r="DT10" s="113"/>
      <c r="DU10" s="113"/>
      <c r="DV10" s="113"/>
      <c r="DW10" s="113"/>
      <c r="DX10" s="113"/>
      <c r="DY10" s="113"/>
      <c r="DZ10" s="113"/>
      <c r="EA10" s="113"/>
      <c r="EB10" s="113"/>
      <c r="EC10" s="113"/>
      <c r="ED10" s="113"/>
      <c r="EE10" s="113"/>
      <c r="EF10" s="113"/>
      <c r="EG10" s="113"/>
      <c r="EH10" s="113"/>
      <c r="EI10" s="113"/>
      <c r="EJ10" s="113"/>
      <c r="EK10" s="113"/>
      <c r="EL10" s="113"/>
      <c r="EM10" s="113"/>
      <c r="EN10" s="113"/>
      <c r="EO10" s="113"/>
      <c r="EP10" s="113"/>
      <c r="EQ10" s="113"/>
      <c r="ER10" s="113"/>
      <c r="ES10" s="113"/>
      <c r="ET10" s="113"/>
      <c r="EU10" s="113"/>
      <c r="EV10" s="113"/>
      <c r="EW10" s="113"/>
      <c r="EX10" s="113"/>
      <c r="EY10" s="113"/>
      <c r="EZ10" s="113"/>
      <c r="FA10" s="113"/>
      <c r="FB10" s="113"/>
      <c r="FC10" s="113"/>
      <c r="FD10" s="113"/>
      <c r="FE10" s="113"/>
      <c r="FF10" s="113"/>
      <c r="FG10" s="113"/>
      <c r="FH10" s="113"/>
      <c r="FI10" s="113"/>
      <c r="FJ10" s="113"/>
      <c r="FK10" s="113"/>
      <c r="FL10" s="113"/>
      <c r="FM10" s="113"/>
      <c r="FN10" s="113"/>
      <c r="FO10" s="113"/>
      <c r="FP10" s="113"/>
      <c r="FQ10" s="113"/>
      <c r="FR10" s="113"/>
      <c r="FS10" s="113"/>
      <c r="FT10" s="113"/>
      <c r="FU10" s="113"/>
      <c r="FV10" s="113"/>
      <c r="FW10" s="113"/>
      <c r="FX10" s="113"/>
      <c r="FY10" s="113"/>
      <c r="FZ10" s="113"/>
      <c r="GA10" s="113"/>
      <c r="GB10" s="113"/>
      <c r="GC10" s="113"/>
      <c r="GD10" s="113"/>
      <c r="GE10" s="113"/>
      <c r="GF10" s="113"/>
      <c r="GG10" s="113"/>
      <c r="GH10" s="113"/>
      <c r="GI10" s="113"/>
      <c r="GJ10" s="113"/>
      <c r="GK10" s="113"/>
      <c r="GL10" s="113"/>
      <c r="GM10" s="113"/>
      <c r="GN10" s="113"/>
      <c r="GO10" s="113"/>
      <c r="GP10" s="113"/>
      <c r="GQ10" s="113"/>
      <c r="GR10" s="113"/>
      <c r="GS10" s="113"/>
      <c r="GT10" s="113"/>
      <c r="GU10" s="113"/>
      <c r="GV10" s="113"/>
      <c r="GW10" s="113"/>
      <c r="GX10" s="113"/>
      <c r="GY10" s="113"/>
      <c r="GZ10" s="113"/>
      <c r="HA10" s="113"/>
      <c r="HB10" s="113"/>
      <c r="HC10" s="113"/>
      <c r="HD10" s="113"/>
      <c r="HE10" s="113"/>
      <c r="HF10" s="113"/>
      <c r="HG10" s="113"/>
      <c r="HH10" s="113"/>
      <c r="HI10" s="113"/>
      <c r="HJ10" s="113"/>
      <c r="HK10" s="113"/>
      <c r="HL10" s="113"/>
      <c r="HM10" s="113"/>
      <c r="HN10" s="113"/>
      <c r="HO10" s="113"/>
      <c r="HP10" s="113"/>
      <c r="HQ10" s="113"/>
      <c r="HR10" s="113"/>
      <c r="HS10" s="113"/>
      <c r="HT10" s="113"/>
      <c r="HU10" s="113"/>
      <c r="HV10" s="113"/>
      <c r="HW10" s="113"/>
      <c r="HX10" s="113"/>
      <c r="HY10" s="113"/>
      <c r="HZ10" s="113"/>
      <c r="IA10" s="113"/>
      <c r="IB10" s="113"/>
      <c r="IC10" s="113"/>
      <c r="ID10" s="113"/>
      <c r="IE10" s="113"/>
      <c r="IF10" s="113"/>
      <c r="IG10" s="113"/>
      <c r="IH10" s="113"/>
      <c r="II10" s="113"/>
      <c r="IJ10" s="113"/>
      <c r="IK10" s="113"/>
      <c r="IL10" s="113"/>
      <c r="IM10" s="113"/>
      <c r="IN10" s="113"/>
      <c r="IO10" s="113"/>
      <c r="IP10" s="113"/>
      <c r="IQ10" s="113"/>
      <c r="IR10" s="113"/>
      <c r="IS10" s="113"/>
      <c r="IT10" s="113"/>
      <c r="IU10" s="113"/>
      <c r="IV10" s="113"/>
      <c r="IW10" s="113"/>
      <c r="IX10" s="113"/>
      <c r="IY10" s="113"/>
      <c r="IZ10" s="113"/>
      <c r="JA10" s="113"/>
      <c r="JB10" s="113"/>
    </row>
    <row r="11" spans="1:262" ht="7.5" customHeight="1" thickTop="1">
      <c r="A11" s="1570"/>
      <c r="B11" s="1571"/>
      <c r="C11" s="1571"/>
      <c r="D11" s="1571"/>
      <c r="E11" s="1571"/>
      <c r="F11" s="1571"/>
      <c r="G11" s="1571"/>
      <c r="H11" s="1571"/>
      <c r="I11" s="1571"/>
      <c r="J11" s="1571"/>
      <c r="K11" s="1571"/>
      <c r="L11" s="1571"/>
      <c r="M11" s="1571"/>
      <c r="N11" s="1571"/>
      <c r="O11" s="1571"/>
      <c r="P11" s="1571"/>
      <c r="Q11" s="1571"/>
      <c r="R11" s="1571"/>
      <c r="S11" s="1571"/>
      <c r="T11" s="1571"/>
      <c r="U11" s="1571"/>
      <c r="V11" s="1571"/>
      <c r="W11" s="1571"/>
      <c r="X11" s="1571"/>
      <c r="Y11" s="1571"/>
      <c r="Z11" s="1571"/>
      <c r="AA11" s="1571"/>
      <c r="AB11" s="1571"/>
      <c r="AC11" s="1571"/>
      <c r="AD11" s="1571"/>
      <c r="AE11" s="1571"/>
      <c r="AF11" s="1571"/>
      <c r="AG11" s="1571"/>
      <c r="AH11" s="1571"/>
      <c r="AI11" s="1571"/>
      <c r="AJ11" s="1571"/>
      <c r="AK11" s="1571"/>
      <c r="AL11" s="1571"/>
      <c r="AM11" s="1571"/>
      <c r="AN11" s="1571"/>
    </row>
    <row r="12" spans="1:262" ht="3" customHeight="1" thickBot="1">
      <c r="A12" s="1570"/>
      <c r="B12" s="1571"/>
      <c r="C12" s="1571"/>
      <c r="D12" s="1571"/>
      <c r="E12" s="1571"/>
      <c r="F12" s="1571"/>
      <c r="G12" s="1571"/>
      <c r="H12" s="1571"/>
      <c r="I12" s="1571"/>
      <c r="J12" s="1571"/>
      <c r="K12" s="1571"/>
      <c r="L12" s="1571"/>
      <c r="M12" s="1571"/>
      <c r="N12" s="1571"/>
      <c r="O12" s="1571"/>
      <c r="P12" s="1571"/>
      <c r="Q12" s="1571"/>
      <c r="R12" s="1571"/>
      <c r="S12" s="1571"/>
      <c r="T12" s="1571"/>
      <c r="U12" s="1571"/>
      <c r="V12" s="1571"/>
      <c r="W12" s="1571"/>
      <c r="X12" s="1571"/>
      <c r="Y12" s="1571"/>
      <c r="Z12" s="1571"/>
      <c r="AA12" s="1571"/>
      <c r="AB12" s="1571"/>
      <c r="AC12" s="1571"/>
      <c r="AD12" s="1571"/>
      <c r="AE12" s="1571"/>
      <c r="AF12" s="1571"/>
      <c r="AG12" s="1571"/>
      <c r="AH12" s="1571"/>
      <c r="AI12" s="1571"/>
      <c r="AJ12" s="1571"/>
      <c r="AK12" s="1571"/>
      <c r="AL12" s="1571"/>
      <c r="AM12" s="1571"/>
      <c r="AN12" s="1571"/>
    </row>
    <row r="13" spans="1:262" s="235" customFormat="1" ht="23.25" customHeight="1" thickBot="1">
      <c r="A13" s="1603" t="s">
        <v>6</v>
      </c>
      <c r="B13" s="1604" t="s">
        <v>204</v>
      </c>
      <c r="C13" s="1606" t="s">
        <v>205</v>
      </c>
      <c r="D13" s="1608" t="s">
        <v>206</v>
      </c>
      <c r="E13" s="1572" t="s">
        <v>207</v>
      </c>
      <c r="F13" s="1573"/>
      <c r="G13" s="1573"/>
      <c r="H13" s="1573"/>
      <c r="I13" s="1573"/>
      <c r="J13" s="1573"/>
      <c r="K13" s="1573"/>
      <c r="L13" s="1573"/>
      <c r="M13" s="1573"/>
      <c r="N13" s="1573"/>
      <c r="O13" s="1573"/>
      <c r="P13" s="1573"/>
      <c r="Q13" s="1573"/>
      <c r="R13" s="1573"/>
      <c r="S13" s="1573"/>
      <c r="T13" s="1573"/>
      <c r="U13" s="1573"/>
      <c r="V13" s="1573"/>
      <c r="W13" s="1573"/>
      <c r="X13" s="1573"/>
      <c r="Y13" s="1573"/>
      <c r="Z13" s="1573"/>
      <c r="AA13" s="1573"/>
      <c r="AB13" s="1573"/>
      <c r="AC13" s="1573"/>
      <c r="AD13" s="1573"/>
      <c r="AE13" s="1573"/>
      <c r="AF13" s="1573"/>
      <c r="AG13" s="1573"/>
      <c r="AH13" s="1573"/>
      <c r="AI13" s="1573"/>
      <c r="AJ13" s="1573"/>
      <c r="AK13" s="1573"/>
      <c r="AL13" s="1573"/>
      <c r="AM13" s="1573"/>
      <c r="AN13" s="1574"/>
      <c r="AO13" s="113"/>
      <c r="AP13" s="113"/>
      <c r="AQ13" s="113"/>
      <c r="AR13" s="113"/>
      <c r="AS13" s="113"/>
      <c r="AT13" s="113"/>
      <c r="AU13" s="113"/>
      <c r="AV13" s="113"/>
      <c r="AW13" s="113"/>
      <c r="AX13" s="113"/>
      <c r="AY13" s="113"/>
      <c r="AZ13" s="113"/>
      <c r="BA13" s="113"/>
      <c r="BB13" s="113"/>
      <c r="BC13" s="113"/>
      <c r="BD13" s="113"/>
      <c r="BE13" s="113"/>
      <c r="BF13" s="113"/>
      <c r="BG13" s="113"/>
      <c r="BH13" s="113"/>
      <c r="BI13" s="113"/>
      <c r="BJ13" s="113"/>
      <c r="BK13" s="113"/>
      <c r="BL13" s="113"/>
      <c r="BM13" s="113"/>
      <c r="BN13" s="113"/>
      <c r="BO13" s="113"/>
      <c r="BP13" s="113"/>
      <c r="BQ13" s="113"/>
      <c r="BR13" s="113"/>
      <c r="BS13" s="113"/>
      <c r="BT13" s="113"/>
      <c r="BU13" s="113"/>
      <c r="BV13" s="113"/>
      <c r="BW13" s="113"/>
      <c r="BX13" s="113"/>
      <c r="BY13" s="113"/>
      <c r="BZ13" s="113"/>
      <c r="CA13" s="113"/>
      <c r="CB13" s="113"/>
      <c r="CC13" s="113"/>
      <c r="CD13" s="113"/>
      <c r="CE13" s="113"/>
      <c r="CF13" s="113"/>
      <c r="CG13" s="113"/>
      <c r="CH13" s="113"/>
      <c r="CI13" s="113"/>
      <c r="CJ13" s="113"/>
      <c r="CK13" s="113"/>
      <c r="CL13" s="113"/>
      <c r="CM13" s="113"/>
      <c r="CN13" s="113"/>
      <c r="CO13" s="113"/>
      <c r="CP13" s="113"/>
      <c r="CQ13" s="113"/>
      <c r="CR13" s="113"/>
      <c r="CS13" s="113"/>
      <c r="CT13" s="113"/>
      <c r="CU13" s="113"/>
      <c r="CV13" s="113"/>
      <c r="CW13" s="113"/>
      <c r="CX13" s="113"/>
      <c r="CY13" s="113"/>
      <c r="CZ13" s="113"/>
      <c r="DA13" s="113"/>
      <c r="DB13" s="113"/>
      <c r="DC13" s="113"/>
      <c r="DD13" s="113"/>
      <c r="DE13" s="113"/>
      <c r="DF13" s="113"/>
      <c r="DG13" s="113"/>
      <c r="DH13" s="113"/>
      <c r="DI13" s="113"/>
      <c r="DJ13" s="113"/>
      <c r="DK13" s="113"/>
      <c r="DL13" s="113"/>
      <c r="DM13" s="113"/>
      <c r="DN13" s="113"/>
      <c r="DO13" s="113"/>
      <c r="DP13" s="113"/>
      <c r="DQ13" s="113"/>
      <c r="DR13" s="113"/>
      <c r="DS13" s="113"/>
      <c r="DT13" s="113"/>
      <c r="DU13" s="113"/>
      <c r="DV13" s="113"/>
      <c r="DW13" s="113"/>
      <c r="DX13" s="113"/>
      <c r="DY13" s="113"/>
      <c r="DZ13" s="113"/>
      <c r="EA13" s="113"/>
      <c r="EB13" s="113"/>
      <c r="EC13" s="113"/>
      <c r="ED13" s="113"/>
      <c r="EE13" s="113"/>
      <c r="EF13" s="113"/>
      <c r="EG13" s="113"/>
      <c r="EH13" s="113"/>
      <c r="EI13" s="113"/>
      <c r="EJ13" s="113"/>
      <c r="EK13" s="113"/>
      <c r="EL13" s="113"/>
      <c r="EM13" s="113"/>
      <c r="EN13" s="113"/>
      <c r="EO13" s="113"/>
      <c r="EP13" s="113"/>
      <c r="EQ13" s="113"/>
      <c r="ER13" s="113"/>
      <c r="ES13" s="113"/>
      <c r="ET13" s="113"/>
      <c r="EU13" s="113"/>
      <c r="EV13" s="113"/>
      <c r="EW13" s="113"/>
      <c r="EX13" s="113"/>
      <c r="EY13" s="113"/>
      <c r="EZ13" s="113"/>
      <c r="FA13" s="113"/>
      <c r="FB13" s="113"/>
      <c r="FC13" s="113"/>
      <c r="FD13" s="113"/>
      <c r="FE13" s="113"/>
      <c r="FF13" s="113"/>
      <c r="FG13" s="113"/>
      <c r="FH13" s="113"/>
      <c r="FI13" s="113"/>
      <c r="FJ13" s="113"/>
      <c r="FK13" s="113"/>
      <c r="FL13" s="113"/>
      <c r="FM13" s="113"/>
      <c r="FN13" s="113"/>
      <c r="FO13" s="113"/>
      <c r="FP13" s="113"/>
      <c r="FQ13" s="113"/>
      <c r="FR13" s="113"/>
      <c r="FS13" s="113"/>
      <c r="FT13" s="113"/>
      <c r="FU13" s="113"/>
      <c r="FV13" s="113"/>
      <c r="FW13" s="113"/>
      <c r="FX13" s="113"/>
      <c r="FY13" s="113"/>
      <c r="FZ13" s="113"/>
      <c r="GA13" s="113"/>
      <c r="GB13" s="113"/>
      <c r="GC13" s="113"/>
      <c r="GD13" s="113"/>
      <c r="GE13" s="113"/>
      <c r="GF13" s="113"/>
      <c r="GG13" s="113"/>
      <c r="GH13" s="113"/>
      <c r="GI13" s="113"/>
      <c r="GJ13" s="113"/>
      <c r="GK13" s="113"/>
      <c r="GL13" s="113"/>
      <c r="GM13" s="113"/>
      <c r="GN13" s="113"/>
      <c r="GO13" s="113"/>
      <c r="GP13" s="113"/>
      <c r="GQ13" s="113"/>
      <c r="GR13" s="113"/>
      <c r="GS13" s="113"/>
      <c r="GT13" s="113"/>
      <c r="GU13" s="113"/>
      <c r="GV13" s="113"/>
      <c r="GW13" s="113"/>
      <c r="GX13" s="113"/>
      <c r="GY13" s="113"/>
      <c r="GZ13" s="113"/>
      <c r="HA13" s="113"/>
      <c r="HB13" s="113"/>
      <c r="HC13" s="113"/>
      <c r="HD13" s="113"/>
      <c r="HE13" s="113"/>
      <c r="HF13" s="113"/>
      <c r="HG13" s="113"/>
      <c r="HH13" s="113"/>
      <c r="HI13" s="113"/>
      <c r="HJ13" s="113"/>
      <c r="HK13" s="113"/>
      <c r="HL13" s="113"/>
      <c r="HM13" s="113"/>
      <c r="HN13" s="113"/>
      <c r="HO13" s="113"/>
      <c r="HP13" s="113"/>
      <c r="HQ13" s="113"/>
      <c r="HR13" s="113"/>
      <c r="HS13" s="113"/>
      <c r="HT13" s="113"/>
      <c r="HU13" s="113"/>
      <c r="HV13" s="113"/>
      <c r="HW13" s="113"/>
      <c r="HX13" s="113"/>
      <c r="HY13" s="113"/>
      <c r="HZ13" s="113"/>
      <c r="IA13" s="113"/>
      <c r="IB13" s="113"/>
      <c r="IC13" s="113"/>
      <c r="ID13" s="113"/>
      <c r="IE13" s="113"/>
      <c r="IF13" s="113"/>
      <c r="IG13" s="113"/>
      <c r="IH13" s="113"/>
      <c r="II13" s="113"/>
      <c r="IJ13" s="113"/>
      <c r="IK13" s="113"/>
      <c r="IL13" s="113"/>
      <c r="IM13" s="113"/>
      <c r="IN13" s="113"/>
      <c r="IO13" s="113"/>
      <c r="IP13" s="113"/>
      <c r="IQ13" s="113"/>
      <c r="IR13" s="113"/>
      <c r="IS13" s="113"/>
      <c r="IT13" s="113"/>
      <c r="IU13" s="113"/>
      <c r="IV13" s="113"/>
      <c r="IW13" s="113"/>
      <c r="IX13" s="113"/>
      <c r="IY13" s="113"/>
      <c r="IZ13" s="113"/>
      <c r="JA13" s="113"/>
      <c r="JB13" s="113"/>
    </row>
    <row r="14" spans="1:262" s="235" customFormat="1" ht="23.25" customHeight="1">
      <c r="A14" s="1588"/>
      <c r="B14" s="1605" t="s">
        <v>204</v>
      </c>
      <c r="C14" s="1607" t="s">
        <v>208</v>
      </c>
      <c r="D14" s="1609"/>
      <c r="E14" s="1586">
        <v>1</v>
      </c>
      <c r="F14" s="1565"/>
      <c r="G14" s="1564">
        <f>E14+1</f>
        <v>2</v>
      </c>
      <c r="H14" s="1565"/>
      <c r="I14" s="1564">
        <f>G14+1</f>
        <v>3</v>
      </c>
      <c r="J14" s="1565"/>
      <c r="K14" s="1564">
        <f>I14+1</f>
        <v>4</v>
      </c>
      <c r="L14" s="1565"/>
      <c r="M14" s="1564">
        <f>K14+1</f>
        <v>5</v>
      </c>
      <c r="N14" s="1565"/>
      <c r="O14" s="1564">
        <f>M14+1</f>
        <v>6</v>
      </c>
      <c r="P14" s="1565"/>
      <c r="Q14" s="1564">
        <f>O14+1</f>
        <v>7</v>
      </c>
      <c r="R14" s="1565"/>
      <c r="S14" s="1564">
        <f>Q14+1</f>
        <v>8</v>
      </c>
      <c r="T14" s="1565"/>
      <c r="U14" s="1564">
        <f>S14+1</f>
        <v>9</v>
      </c>
      <c r="V14" s="1565"/>
      <c r="W14" s="1564">
        <f>U14+1</f>
        <v>10</v>
      </c>
      <c r="X14" s="1565"/>
      <c r="Y14" s="1564">
        <f>W14+1</f>
        <v>11</v>
      </c>
      <c r="Z14" s="1565"/>
      <c r="AA14" s="1564">
        <f>Y14+1</f>
        <v>12</v>
      </c>
      <c r="AB14" s="1565"/>
      <c r="AC14" s="1564">
        <f>AA14+1</f>
        <v>13</v>
      </c>
      <c r="AD14" s="1565"/>
      <c r="AE14" s="1564">
        <f>AC14+1</f>
        <v>14</v>
      </c>
      <c r="AF14" s="1565"/>
      <c r="AG14" s="1564">
        <f>AE14+1</f>
        <v>15</v>
      </c>
      <c r="AH14" s="1565"/>
      <c r="AI14" s="1564">
        <f>AG14+1</f>
        <v>16</v>
      </c>
      <c r="AJ14" s="1565"/>
      <c r="AK14" s="1564">
        <f>AI14+1</f>
        <v>17</v>
      </c>
      <c r="AL14" s="1565"/>
      <c r="AM14" s="1564">
        <f>AK14+1</f>
        <v>18</v>
      </c>
      <c r="AN14" s="1565"/>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N14" s="113"/>
      <c r="BO14" s="113"/>
      <c r="BP14" s="113"/>
      <c r="BQ14" s="113"/>
      <c r="BR14" s="113"/>
      <c r="BS14" s="113"/>
      <c r="BT14" s="113"/>
      <c r="BU14" s="113"/>
      <c r="BV14" s="113"/>
      <c r="BW14" s="113"/>
      <c r="BX14" s="113"/>
      <c r="BY14" s="113"/>
      <c r="BZ14" s="113"/>
      <c r="CA14" s="113"/>
      <c r="CB14" s="113"/>
      <c r="CC14" s="113"/>
      <c r="CD14" s="113"/>
      <c r="CE14" s="113"/>
      <c r="CF14" s="113"/>
      <c r="CG14" s="113"/>
      <c r="CH14" s="113"/>
      <c r="CI14" s="113"/>
      <c r="CJ14" s="113"/>
      <c r="CK14" s="113"/>
      <c r="CL14" s="113"/>
      <c r="CM14" s="113"/>
      <c r="CN14" s="113"/>
      <c r="CO14" s="113"/>
      <c r="CP14" s="113"/>
      <c r="CQ14" s="113"/>
      <c r="CR14" s="113"/>
      <c r="CS14" s="113"/>
      <c r="CT14" s="113"/>
      <c r="CU14" s="113"/>
      <c r="CV14" s="113"/>
      <c r="CW14" s="113"/>
      <c r="CX14" s="113"/>
      <c r="CY14" s="113"/>
      <c r="CZ14" s="113"/>
      <c r="DA14" s="113"/>
      <c r="DB14" s="113"/>
      <c r="DC14" s="113"/>
      <c r="DD14" s="113"/>
      <c r="DE14" s="113"/>
      <c r="DF14" s="113"/>
      <c r="DG14" s="113"/>
      <c r="DH14" s="113"/>
      <c r="DI14" s="113"/>
      <c r="DJ14" s="113"/>
      <c r="DK14" s="113"/>
      <c r="DL14" s="113"/>
      <c r="DM14" s="113"/>
      <c r="DN14" s="113"/>
      <c r="DO14" s="113"/>
      <c r="DP14" s="113"/>
      <c r="DQ14" s="113"/>
      <c r="DR14" s="113"/>
      <c r="DS14" s="113"/>
      <c r="DT14" s="113"/>
      <c r="DU14" s="113"/>
      <c r="DV14" s="113"/>
      <c r="DW14" s="113"/>
      <c r="DX14" s="113"/>
      <c r="DY14" s="113"/>
      <c r="DZ14" s="113"/>
      <c r="EA14" s="113"/>
      <c r="EB14" s="113"/>
      <c r="EC14" s="113"/>
      <c r="ED14" s="113"/>
      <c r="EE14" s="113"/>
      <c r="EF14" s="113"/>
      <c r="EG14" s="113"/>
      <c r="EH14" s="113"/>
      <c r="EI14" s="113"/>
      <c r="EJ14" s="113"/>
      <c r="EK14" s="113"/>
      <c r="EL14" s="113"/>
      <c r="EM14" s="113"/>
      <c r="EN14" s="113"/>
      <c r="EO14" s="113"/>
      <c r="EP14" s="113"/>
      <c r="EQ14" s="113"/>
      <c r="ER14" s="113"/>
      <c r="ES14" s="113"/>
      <c r="ET14" s="113"/>
      <c r="EU14" s="113"/>
      <c r="EV14" s="113"/>
      <c r="EW14" s="113"/>
      <c r="EX14" s="113"/>
      <c r="EY14" s="113"/>
      <c r="EZ14" s="113"/>
      <c r="FA14" s="113"/>
      <c r="FB14" s="113"/>
      <c r="FC14" s="113"/>
      <c r="FD14" s="113"/>
      <c r="FE14" s="113"/>
      <c r="FF14" s="113"/>
      <c r="FG14" s="113"/>
      <c r="FH14" s="113"/>
      <c r="FI14" s="113"/>
      <c r="FJ14" s="113"/>
      <c r="FK14" s="113"/>
      <c r="FL14" s="113"/>
      <c r="FM14" s="113"/>
      <c r="FN14" s="113"/>
      <c r="FO14" s="113"/>
      <c r="FP14" s="113"/>
      <c r="FQ14" s="113"/>
      <c r="FR14" s="113"/>
      <c r="FS14" s="113"/>
      <c r="FT14" s="113"/>
      <c r="FU14" s="113"/>
      <c r="FV14" s="113"/>
      <c r="FW14" s="113"/>
      <c r="FX14" s="113"/>
      <c r="FY14" s="113"/>
      <c r="FZ14" s="113"/>
      <c r="GA14" s="113"/>
      <c r="GB14" s="113"/>
      <c r="GC14" s="113"/>
      <c r="GD14" s="113"/>
      <c r="GE14" s="113"/>
      <c r="GF14" s="113"/>
      <c r="GG14" s="113"/>
      <c r="GH14" s="113"/>
      <c r="GI14" s="113"/>
      <c r="GJ14" s="113"/>
      <c r="GK14" s="113"/>
      <c r="GL14" s="113"/>
      <c r="GM14" s="113"/>
      <c r="GN14" s="113"/>
      <c r="GO14" s="113"/>
      <c r="GP14" s="113"/>
      <c r="GQ14" s="113"/>
      <c r="GR14" s="113"/>
      <c r="GS14" s="113"/>
      <c r="GT14" s="113"/>
      <c r="GU14" s="113"/>
      <c r="GV14" s="113"/>
      <c r="GW14" s="113"/>
      <c r="GX14" s="113"/>
      <c r="GY14" s="113"/>
      <c r="GZ14" s="113"/>
      <c r="HA14" s="113"/>
      <c r="HB14" s="113"/>
      <c r="HC14" s="113"/>
      <c r="HD14" s="113"/>
      <c r="HE14" s="113"/>
      <c r="HF14" s="113"/>
      <c r="HG14" s="113"/>
      <c r="HH14" s="113"/>
      <c r="HI14" s="113"/>
      <c r="HJ14" s="113"/>
      <c r="HK14" s="113"/>
      <c r="HL14" s="113"/>
      <c r="HM14" s="113"/>
      <c r="HN14" s="113"/>
      <c r="HO14" s="113"/>
      <c r="HP14" s="113"/>
      <c r="HQ14" s="113"/>
      <c r="HR14" s="113"/>
      <c r="HS14" s="113"/>
      <c r="HT14" s="113"/>
      <c r="HU14" s="113"/>
      <c r="HV14" s="113"/>
      <c r="HW14" s="113"/>
      <c r="HX14" s="113"/>
      <c r="HY14" s="113"/>
      <c r="HZ14" s="113"/>
      <c r="IA14" s="113"/>
      <c r="IB14" s="113"/>
      <c r="IC14" s="113"/>
      <c r="ID14" s="113"/>
      <c r="IE14" s="113"/>
      <c r="IF14" s="113"/>
      <c r="IG14" s="113"/>
      <c r="IH14" s="113"/>
      <c r="II14" s="113"/>
      <c r="IJ14" s="113"/>
      <c r="IK14" s="113"/>
      <c r="IL14" s="113"/>
      <c r="IM14" s="113"/>
      <c r="IN14" s="113"/>
      <c r="IO14" s="113"/>
      <c r="IP14" s="113"/>
      <c r="IQ14" s="113"/>
      <c r="IR14" s="113"/>
      <c r="IS14" s="113"/>
      <c r="IT14" s="113"/>
      <c r="IU14" s="113"/>
      <c r="IV14" s="113"/>
      <c r="IW14" s="113"/>
      <c r="IX14" s="113"/>
      <c r="IY14" s="113"/>
      <c r="IZ14" s="113"/>
      <c r="JA14" s="113"/>
      <c r="JB14" s="113"/>
    </row>
    <row r="15" spans="1:262">
      <c r="A15" s="1588"/>
      <c r="B15" s="1605"/>
      <c r="C15" s="1607"/>
      <c r="D15" s="1610"/>
      <c r="E15" s="365" t="s">
        <v>208</v>
      </c>
      <c r="F15" s="366" t="s">
        <v>209</v>
      </c>
      <c r="G15" s="367" t="s">
        <v>208</v>
      </c>
      <c r="H15" s="366" t="s">
        <v>209</v>
      </c>
      <c r="I15" s="367" t="s">
        <v>208</v>
      </c>
      <c r="J15" s="366" t="s">
        <v>209</v>
      </c>
      <c r="K15" s="367" t="s">
        <v>208</v>
      </c>
      <c r="L15" s="366" t="s">
        <v>209</v>
      </c>
      <c r="M15" s="367" t="s">
        <v>208</v>
      </c>
      <c r="N15" s="366" t="s">
        <v>209</v>
      </c>
      <c r="O15" s="367" t="s">
        <v>208</v>
      </c>
      <c r="P15" s="366" t="s">
        <v>209</v>
      </c>
      <c r="Q15" s="367" t="s">
        <v>208</v>
      </c>
      <c r="R15" s="366" t="s">
        <v>209</v>
      </c>
      <c r="S15" s="367" t="s">
        <v>208</v>
      </c>
      <c r="T15" s="366" t="s">
        <v>209</v>
      </c>
      <c r="U15" s="367" t="s">
        <v>208</v>
      </c>
      <c r="V15" s="366" t="s">
        <v>209</v>
      </c>
      <c r="W15" s="367" t="s">
        <v>208</v>
      </c>
      <c r="X15" s="366" t="s">
        <v>209</v>
      </c>
      <c r="Y15" s="367" t="s">
        <v>208</v>
      </c>
      <c r="Z15" s="366" t="s">
        <v>209</v>
      </c>
      <c r="AA15" s="367" t="s">
        <v>208</v>
      </c>
      <c r="AB15" s="366" t="s">
        <v>209</v>
      </c>
      <c r="AC15" s="367" t="s">
        <v>208</v>
      </c>
      <c r="AD15" s="366" t="s">
        <v>209</v>
      </c>
      <c r="AE15" s="367" t="s">
        <v>208</v>
      </c>
      <c r="AF15" s="366" t="s">
        <v>209</v>
      </c>
      <c r="AG15" s="367" t="s">
        <v>208</v>
      </c>
      <c r="AH15" s="366" t="s">
        <v>209</v>
      </c>
      <c r="AI15" s="367" t="s">
        <v>208</v>
      </c>
      <c r="AJ15" s="366" t="s">
        <v>209</v>
      </c>
      <c r="AK15" s="367" t="s">
        <v>208</v>
      </c>
      <c r="AL15" s="366" t="s">
        <v>209</v>
      </c>
      <c r="AM15" s="367" t="s">
        <v>208</v>
      </c>
      <c r="AN15" s="366" t="s">
        <v>209</v>
      </c>
    </row>
    <row r="16" spans="1:262">
      <c r="A16" s="1595">
        <v>1</v>
      </c>
      <c r="B16" s="1594" t="s">
        <v>1</v>
      </c>
      <c r="C16" s="1590">
        <f>D16/$D$40</f>
        <v>3.2300000000000002E-2</v>
      </c>
      <c r="D16" s="1592">
        <f>'ORÇAMENTO (F)'!K22</f>
        <v>872234.54</v>
      </c>
      <c r="E16" s="1040">
        <f>100/18</f>
        <v>5.56</v>
      </c>
      <c r="F16" s="369">
        <f>$D$16/18</f>
        <v>48457.47</v>
      </c>
      <c r="G16" s="1040">
        <f>100/18</f>
        <v>5.56</v>
      </c>
      <c r="H16" s="369">
        <f>$D$16/18</f>
        <v>48457.47</v>
      </c>
      <c r="I16" s="1040">
        <f>100/18</f>
        <v>5.56</v>
      </c>
      <c r="J16" s="369">
        <f>$D$16/18</f>
        <v>48457.47</v>
      </c>
      <c r="K16" s="1040">
        <f>100/18</f>
        <v>5.56</v>
      </c>
      <c r="L16" s="369">
        <f>$D$16/18</f>
        <v>48457.47</v>
      </c>
      <c r="M16" s="1040">
        <f>100/18</f>
        <v>5.56</v>
      </c>
      <c r="N16" s="369">
        <f>$D$16/18</f>
        <v>48457.47</v>
      </c>
      <c r="O16" s="1040">
        <f>100/18</f>
        <v>5.56</v>
      </c>
      <c r="P16" s="369">
        <f>$D$16/18</f>
        <v>48457.47</v>
      </c>
      <c r="Q16" s="1040">
        <f>100/18</f>
        <v>5.56</v>
      </c>
      <c r="R16" s="369">
        <f>$D$16/18</f>
        <v>48457.47</v>
      </c>
      <c r="S16" s="1040">
        <f>100/18</f>
        <v>5.56</v>
      </c>
      <c r="T16" s="369">
        <f>$D$16/18</f>
        <v>48457.47</v>
      </c>
      <c r="U16" s="1040">
        <f>100/18</f>
        <v>5.56</v>
      </c>
      <c r="V16" s="369">
        <f>$D$16/18</f>
        <v>48457.47</v>
      </c>
      <c r="W16" s="1040">
        <f>100/18</f>
        <v>5.56</v>
      </c>
      <c r="X16" s="369">
        <f>$D$16/18</f>
        <v>48457.47</v>
      </c>
      <c r="Y16" s="1040">
        <f>100/18</f>
        <v>5.56</v>
      </c>
      <c r="Z16" s="369">
        <f>$D$16/18</f>
        <v>48457.47</v>
      </c>
      <c r="AA16" s="1040">
        <f>100/18</f>
        <v>5.56</v>
      </c>
      <c r="AB16" s="369">
        <f>$D$16/18</f>
        <v>48457.47</v>
      </c>
      <c r="AC16" s="1040">
        <f>100/18</f>
        <v>5.56</v>
      </c>
      <c r="AD16" s="369">
        <f>$D$16/18</f>
        <v>48457.47</v>
      </c>
      <c r="AE16" s="1040">
        <f>100/18</f>
        <v>5.56</v>
      </c>
      <c r="AF16" s="369">
        <f>$D$16/18</f>
        <v>48457.47</v>
      </c>
      <c r="AG16" s="1040">
        <f>100/18</f>
        <v>5.56</v>
      </c>
      <c r="AH16" s="369">
        <f>$D$16/18</f>
        <v>48457.47</v>
      </c>
      <c r="AI16" s="1040">
        <f>100/18</f>
        <v>5.56</v>
      </c>
      <c r="AJ16" s="369">
        <f>$D$16/18</f>
        <v>48457.47</v>
      </c>
      <c r="AK16" s="1040">
        <f>100/18</f>
        <v>5.56</v>
      </c>
      <c r="AL16" s="369">
        <f>$D$16/18</f>
        <v>48457.47</v>
      </c>
      <c r="AM16" s="1040">
        <f>100/18</f>
        <v>5.56</v>
      </c>
      <c r="AN16" s="369">
        <v>48457.32</v>
      </c>
    </row>
    <row r="17" spans="1:40">
      <c r="A17" s="1596"/>
      <c r="B17" s="1594"/>
      <c r="C17" s="1590"/>
      <c r="D17" s="1592"/>
      <c r="E17" s="978"/>
      <c r="F17" s="371"/>
      <c r="G17" s="372"/>
      <c r="H17" s="371"/>
      <c r="I17" s="977"/>
      <c r="J17" s="371"/>
      <c r="K17" s="977"/>
      <c r="L17" s="371"/>
      <c r="M17" s="977"/>
      <c r="N17" s="371"/>
      <c r="O17" s="977"/>
      <c r="P17" s="371"/>
      <c r="Q17" s="977"/>
      <c r="R17" s="371"/>
      <c r="S17" s="977"/>
      <c r="T17" s="371"/>
      <c r="U17" s="977"/>
      <c r="V17" s="371"/>
      <c r="W17" s="977"/>
      <c r="X17" s="371"/>
      <c r="Y17" s="977"/>
      <c r="Z17" s="371"/>
      <c r="AA17" s="977"/>
      <c r="AB17" s="371"/>
      <c r="AC17" s="977"/>
      <c r="AD17" s="371"/>
      <c r="AE17" s="977"/>
      <c r="AF17" s="371"/>
      <c r="AG17" s="977"/>
      <c r="AH17" s="371"/>
      <c r="AI17" s="977"/>
      <c r="AJ17" s="371"/>
      <c r="AK17" s="977"/>
      <c r="AL17" s="371"/>
      <c r="AM17" s="977"/>
      <c r="AN17" s="371"/>
    </row>
    <row r="18" spans="1:40">
      <c r="A18" s="1595">
        <v>2</v>
      </c>
      <c r="B18" s="1597" t="s">
        <v>1077</v>
      </c>
      <c r="C18" s="1599">
        <f>D18/$D$40</f>
        <v>0.24099999999999999</v>
      </c>
      <c r="D18" s="1601">
        <f>'ORÇAMENTO (F)'!K741</f>
        <v>6497760.4699999997</v>
      </c>
      <c r="E18" s="368"/>
      <c r="F18" s="369"/>
      <c r="G18" s="368"/>
      <c r="H18" s="369"/>
      <c r="I18" s="373">
        <v>0.05</v>
      </c>
      <c r="J18" s="369">
        <f>I18*$D$18</f>
        <v>324888.02</v>
      </c>
      <c r="K18" s="373">
        <v>0.05</v>
      </c>
      <c r="L18" s="369">
        <f>K18*$D$18</f>
        <v>324888.02</v>
      </c>
      <c r="M18" s="373">
        <v>0.05</v>
      </c>
      <c r="N18" s="369">
        <f>M18*$D$18</f>
        <v>324888.02</v>
      </c>
      <c r="O18" s="373">
        <v>0.05</v>
      </c>
      <c r="P18" s="369">
        <f>O18*$D$18</f>
        <v>324888.02</v>
      </c>
      <c r="Q18" s="373">
        <v>0.05</v>
      </c>
      <c r="R18" s="369">
        <f>Q18*$D$18</f>
        <v>324888.02</v>
      </c>
      <c r="S18" s="373">
        <v>0.05</v>
      </c>
      <c r="T18" s="369">
        <f>S18*$D$18</f>
        <v>324888.02</v>
      </c>
      <c r="U18" s="373">
        <v>0.05</v>
      </c>
      <c r="V18" s="369">
        <f>U18*$D$18</f>
        <v>324888.02</v>
      </c>
      <c r="W18" s="373">
        <v>0.05</v>
      </c>
      <c r="X18" s="369">
        <f>W18*$D$18</f>
        <v>324888.02</v>
      </c>
      <c r="Y18" s="373">
        <v>0.1</v>
      </c>
      <c r="Z18" s="369">
        <f>Y18*$D$18</f>
        <v>649776.05000000005</v>
      </c>
      <c r="AA18" s="373">
        <v>0.1</v>
      </c>
      <c r="AB18" s="369">
        <f>AA18*$D$18</f>
        <v>649776.05000000005</v>
      </c>
      <c r="AC18" s="373">
        <v>0.1</v>
      </c>
      <c r="AD18" s="369">
        <f>AC18*$D$18</f>
        <v>649776.05000000005</v>
      </c>
      <c r="AE18" s="373">
        <v>0.1</v>
      </c>
      <c r="AF18" s="369">
        <f>AE18*$D$18</f>
        <v>649776.05000000005</v>
      </c>
      <c r="AG18" s="373">
        <v>0.05</v>
      </c>
      <c r="AH18" s="369">
        <f>AG18*$D$18</f>
        <v>324888.02</v>
      </c>
      <c r="AI18" s="373">
        <v>0.05</v>
      </c>
      <c r="AJ18" s="369">
        <f>AI18*$D$18</f>
        <v>324888.02</v>
      </c>
      <c r="AK18" s="373">
        <v>0.05</v>
      </c>
      <c r="AL18" s="369">
        <f>AK18*$D$18</f>
        <v>324888.02</v>
      </c>
      <c r="AM18" s="373">
        <v>0.05</v>
      </c>
      <c r="AN18" s="369">
        <f>AM18*$D$18</f>
        <v>324888.02</v>
      </c>
    </row>
    <row r="19" spans="1:40">
      <c r="A19" s="1596"/>
      <c r="B19" s="1598"/>
      <c r="C19" s="1600"/>
      <c r="D19" s="1602"/>
      <c r="E19" s="368"/>
      <c r="F19" s="369"/>
      <c r="G19" s="368"/>
      <c r="H19" s="369"/>
      <c r="I19" s="377"/>
      <c r="J19" s="378"/>
      <c r="K19" s="377"/>
      <c r="L19" s="378"/>
      <c r="M19" s="377"/>
      <c r="N19" s="378"/>
      <c r="O19" s="377"/>
      <c r="P19" s="378"/>
      <c r="Q19" s="377"/>
      <c r="R19" s="378"/>
      <c r="S19" s="377"/>
      <c r="T19" s="378"/>
      <c r="U19" s="377"/>
      <c r="V19" s="378"/>
      <c r="W19" s="377"/>
      <c r="X19" s="378"/>
      <c r="Y19" s="377"/>
      <c r="Z19" s="378"/>
      <c r="AA19" s="377"/>
      <c r="AB19" s="378"/>
      <c r="AC19" s="377"/>
      <c r="AD19" s="378"/>
      <c r="AE19" s="377"/>
      <c r="AF19" s="378"/>
      <c r="AG19" s="377"/>
      <c r="AH19" s="378"/>
      <c r="AI19" s="377"/>
      <c r="AJ19" s="378"/>
      <c r="AK19" s="377"/>
      <c r="AL19" s="378"/>
      <c r="AM19" s="377"/>
      <c r="AN19" s="378"/>
    </row>
    <row r="20" spans="1:40">
      <c r="A20" s="1595">
        <v>3</v>
      </c>
      <c r="B20" s="1594" t="str">
        <f>'ORÇAMENTO (F)'!E742</f>
        <v>DEMOLIÇÃO MANUAL DE CONCRETO SIMPLES (PARA EXECUÇÃO DE CALÇADA)</v>
      </c>
      <c r="C20" s="1590">
        <f>D20/$D$40</f>
        <v>3.2000000000000002E-3</v>
      </c>
      <c r="D20" s="1592">
        <f>'ORÇAMENTO (F)'!K746</f>
        <v>87094.48</v>
      </c>
      <c r="E20" s="368"/>
      <c r="F20" s="369"/>
      <c r="G20" s="368"/>
      <c r="H20" s="369"/>
      <c r="I20" s="368"/>
      <c r="J20" s="369"/>
      <c r="K20" s="373">
        <v>0.1</v>
      </c>
      <c r="L20" s="369">
        <f>ROUND($D20*K20,2)</f>
        <v>8709.4500000000007</v>
      </c>
      <c r="M20" s="373">
        <v>0.1</v>
      </c>
      <c r="N20" s="369">
        <f>ROUND($D20*M20,2)</f>
        <v>8709.4500000000007</v>
      </c>
      <c r="O20" s="373">
        <v>0.1</v>
      </c>
      <c r="P20" s="369">
        <f>ROUND($D20*O20,2)</f>
        <v>8709.4500000000007</v>
      </c>
      <c r="Q20" s="373">
        <v>0.1</v>
      </c>
      <c r="R20" s="369">
        <f>ROUND($D20*Q20,2)</f>
        <v>8709.4500000000007</v>
      </c>
      <c r="S20" s="373">
        <v>0.1</v>
      </c>
      <c r="T20" s="369">
        <f>ROUND($D20*S20,2)</f>
        <v>8709.4500000000007</v>
      </c>
      <c r="U20" s="373">
        <v>0.1</v>
      </c>
      <c r="V20" s="369">
        <f>ROUND($D20*U20,2)</f>
        <v>8709.4500000000007</v>
      </c>
      <c r="W20" s="373">
        <v>0.1</v>
      </c>
      <c r="X20" s="369">
        <f>ROUND($D20*W20,2)</f>
        <v>8709.4500000000007</v>
      </c>
      <c r="Y20" s="373">
        <v>0.1</v>
      </c>
      <c r="Z20" s="369">
        <f>ROUND($D20*Y20,2)</f>
        <v>8709.4500000000007</v>
      </c>
      <c r="AA20" s="373">
        <v>0.1</v>
      </c>
      <c r="AB20" s="369">
        <f>ROUND($D20*AA20,2)</f>
        <v>8709.4500000000007</v>
      </c>
      <c r="AC20" s="373">
        <v>0.1</v>
      </c>
      <c r="AD20" s="369">
        <f>ROUNDUP($D20*AC20,2)</f>
        <v>8709.4500000000007</v>
      </c>
      <c r="AE20" s="368"/>
      <c r="AF20" s="369"/>
      <c r="AG20" s="368"/>
      <c r="AH20" s="369"/>
      <c r="AI20" s="368"/>
      <c r="AJ20" s="369"/>
      <c r="AK20" s="368"/>
      <c r="AL20" s="369"/>
      <c r="AM20" s="1271"/>
      <c r="AN20" s="369"/>
    </row>
    <row r="21" spans="1:40">
      <c r="A21" s="1596"/>
      <c r="B21" s="1594"/>
      <c r="C21" s="1590"/>
      <c r="D21" s="1592"/>
      <c r="E21" s="980"/>
      <c r="F21" s="369"/>
      <c r="G21" s="373"/>
      <c r="H21" s="369"/>
      <c r="I21" s="981"/>
      <c r="J21" s="369"/>
      <c r="K21" s="977"/>
      <c r="L21" s="371"/>
      <c r="M21" s="977"/>
      <c r="N21" s="371"/>
      <c r="O21" s="977"/>
      <c r="P21" s="371"/>
      <c r="Q21" s="977"/>
      <c r="R21" s="371"/>
      <c r="S21" s="977"/>
      <c r="T21" s="371"/>
      <c r="U21" s="977"/>
      <c r="V21" s="371"/>
      <c r="W21" s="977"/>
      <c r="X21" s="371"/>
      <c r="Y21" s="977"/>
      <c r="Z21" s="371"/>
      <c r="AA21" s="977"/>
      <c r="AB21" s="371"/>
      <c r="AC21" s="977"/>
      <c r="AD21" s="371"/>
      <c r="AE21" s="981"/>
      <c r="AF21" s="369"/>
      <c r="AG21" s="981"/>
      <c r="AH21" s="369"/>
      <c r="AI21" s="981"/>
      <c r="AJ21" s="369"/>
      <c r="AK21" s="981"/>
      <c r="AL21" s="369"/>
      <c r="AM21" s="981"/>
      <c r="AN21" s="369"/>
    </row>
    <row r="22" spans="1:40">
      <c r="A22" s="1588">
        <v>4</v>
      </c>
      <c r="B22" s="1594" t="str">
        <f>'ORÇAMENTO (F)'!E747</f>
        <v>SERVIÇOS DE DRENAGEM SUPERFICIAL</v>
      </c>
      <c r="C22" s="1590">
        <f>D22/$D$40</f>
        <v>0.1004</v>
      </c>
      <c r="D22" s="1592">
        <f>'ORÇAMENTO (F)'!K756</f>
        <v>2708401.45</v>
      </c>
      <c r="E22" s="368"/>
      <c r="F22" s="369">
        <f>ROUND($D22*E22,2)</f>
        <v>0</v>
      </c>
      <c r="G22" s="368"/>
      <c r="H22" s="369">
        <f>ROUND($D22*G22,2)</f>
        <v>0</v>
      </c>
      <c r="I22" s="368"/>
      <c r="J22" s="369">
        <f>ROUND($D22*I22,2)</f>
        <v>0</v>
      </c>
      <c r="K22" s="368"/>
      <c r="L22" s="369">
        <f>ROUND($D22*K22,2)</f>
        <v>0</v>
      </c>
      <c r="M22" s="368"/>
      <c r="N22" s="369">
        <f>ROUND($D22*M22,2)</f>
        <v>0</v>
      </c>
      <c r="O22" s="373">
        <v>0.05</v>
      </c>
      <c r="P22" s="369">
        <f>ROUNDDOWN($D22*O22,2)</f>
        <v>135420.07</v>
      </c>
      <c r="Q22" s="373">
        <v>0.05</v>
      </c>
      <c r="R22" s="369">
        <f>ROUNDDOWN($D22*Q22,2)</f>
        <v>135420.07</v>
      </c>
      <c r="S22" s="373">
        <v>0.05</v>
      </c>
      <c r="T22" s="369">
        <f>ROUND($D22*S22,2)</f>
        <v>135420.07</v>
      </c>
      <c r="U22" s="373">
        <v>0.05</v>
      </c>
      <c r="V22" s="369">
        <f>ROUND($D22*U22,2)</f>
        <v>135420.07</v>
      </c>
      <c r="W22" s="373">
        <v>0.1</v>
      </c>
      <c r="X22" s="369">
        <f>ROUND($D22*W22,2)</f>
        <v>270840.15000000002</v>
      </c>
      <c r="Y22" s="373">
        <v>0.1</v>
      </c>
      <c r="Z22" s="369">
        <f>ROUND($D22*Y22,2)</f>
        <v>270840.15000000002</v>
      </c>
      <c r="AA22" s="373">
        <v>0.1</v>
      </c>
      <c r="AB22" s="369">
        <f>ROUND($D22*AA22,2)</f>
        <v>270840.15000000002</v>
      </c>
      <c r="AC22" s="373">
        <v>0.1</v>
      </c>
      <c r="AD22" s="369">
        <f>ROUND($D22*AC22,2)</f>
        <v>270840.15000000002</v>
      </c>
      <c r="AE22" s="373">
        <v>0.1</v>
      </c>
      <c r="AF22" s="369">
        <f>ROUND($D22*AE22,2)</f>
        <v>270840.15000000002</v>
      </c>
      <c r="AG22" s="373">
        <v>0.1</v>
      </c>
      <c r="AH22" s="369">
        <f>ROUNDDOWN($D22*AG22,2)</f>
        <v>270840.14</v>
      </c>
      <c r="AI22" s="373">
        <v>0.1</v>
      </c>
      <c r="AJ22" s="369">
        <f>ROUNDDOWN($D22*AI22,2)</f>
        <v>270840.14</v>
      </c>
      <c r="AK22" s="373">
        <v>0.1</v>
      </c>
      <c r="AL22" s="369">
        <f>ROUNDUP($D22*AK22,2)</f>
        <v>270840.15000000002</v>
      </c>
      <c r="AM22" s="373"/>
      <c r="AN22" s="369">
        <f>ROUND($D22*AM22,2)</f>
        <v>0</v>
      </c>
    </row>
    <row r="23" spans="1:40">
      <c r="A23" s="1588"/>
      <c r="B23" s="1594"/>
      <c r="C23" s="1590"/>
      <c r="D23" s="1592"/>
      <c r="E23" s="368"/>
      <c r="F23" s="369"/>
      <c r="G23" s="368"/>
      <c r="H23" s="369"/>
      <c r="I23" s="368"/>
      <c r="J23" s="369"/>
      <c r="K23" s="368"/>
      <c r="L23" s="369"/>
      <c r="M23" s="368"/>
      <c r="N23" s="369"/>
      <c r="O23" s="977"/>
      <c r="P23" s="371"/>
      <c r="Q23" s="977"/>
      <c r="R23" s="371"/>
      <c r="S23" s="977"/>
      <c r="T23" s="371"/>
      <c r="U23" s="977"/>
      <c r="V23" s="371"/>
      <c r="W23" s="977"/>
      <c r="X23" s="371"/>
      <c r="Y23" s="977"/>
      <c r="Z23" s="371"/>
      <c r="AA23" s="977"/>
      <c r="AB23" s="371"/>
      <c r="AC23" s="977"/>
      <c r="AD23" s="371"/>
      <c r="AE23" s="977"/>
      <c r="AF23" s="371"/>
      <c r="AG23" s="977"/>
      <c r="AH23" s="371"/>
      <c r="AI23" s="977"/>
      <c r="AJ23" s="371"/>
      <c r="AK23" s="977"/>
      <c r="AL23" s="371"/>
      <c r="AM23" s="981"/>
      <c r="AN23" s="369"/>
    </row>
    <row r="24" spans="1:40">
      <c r="A24" s="1595">
        <v>5</v>
      </c>
      <c r="B24" s="1597" t="str">
        <f>'ORÇAMENTO (F)'!E757</f>
        <v>SERVIÇOS DE DRENAGEM PROFUNDA</v>
      </c>
      <c r="C24" s="1599">
        <f>D24/$D$40</f>
        <v>0.29310000000000003</v>
      </c>
      <c r="D24" s="1601">
        <f>'ORÇAMENTO (F)'!K820</f>
        <v>7902207.5099999998</v>
      </c>
      <c r="E24" s="368">
        <f>1/18</f>
        <v>5.5599999999999997E-2</v>
      </c>
      <c r="F24" s="369">
        <f>$D$24/18</f>
        <v>439011.53</v>
      </c>
      <c r="G24" s="368">
        <f>1/18</f>
        <v>5.5599999999999997E-2</v>
      </c>
      <c r="H24" s="369">
        <f>$D$24/18</f>
        <v>439011.53</v>
      </c>
      <c r="I24" s="368">
        <f>1/18</f>
        <v>5.5599999999999997E-2</v>
      </c>
      <c r="J24" s="369">
        <f>$D$24/18</f>
        <v>439011.53</v>
      </c>
      <c r="K24" s="368">
        <f>1/18</f>
        <v>5.5599999999999997E-2</v>
      </c>
      <c r="L24" s="369">
        <f>$D$24/18</f>
        <v>439011.53</v>
      </c>
      <c r="M24" s="368">
        <f>1/18</f>
        <v>5.5599999999999997E-2</v>
      </c>
      <c r="N24" s="369">
        <f>$D$24/18</f>
        <v>439011.53</v>
      </c>
      <c r="O24" s="368">
        <f>1/18</f>
        <v>5.5599999999999997E-2</v>
      </c>
      <c r="P24" s="369">
        <f>$D$24/18</f>
        <v>439011.53</v>
      </c>
      <c r="Q24" s="368">
        <f>1/18</f>
        <v>5.5599999999999997E-2</v>
      </c>
      <c r="R24" s="369">
        <f>$D$24/18</f>
        <v>439011.53</v>
      </c>
      <c r="S24" s="368">
        <f>1/18</f>
        <v>5.5599999999999997E-2</v>
      </c>
      <c r="T24" s="369">
        <f>$D$24/18</f>
        <v>439011.53</v>
      </c>
      <c r="U24" s="368">
        <f>1/18</f>
        <v>5.5599999999999997E-2</v>
      </c>
      <c r="V24" s="369">
        <f>$D$24/18</f>
        <v>439011.53</v>
      </c>
      <c r="W24" s="368">
        <f>1/18</f>
        <v>5.5599999999999997E-2</v>
      </c>
      <c r="X24" s="369">
        <f>$D$24/18</f>
        <v>439011.53</v>
      </c>
      <c r="Y24" s="368">
        <f>1/18</f>
        <v>5.5599999999999997E-2</v>
      </c>
      <c r="Z24" s="369">
        <f>$D$24/18</f>
        <v>439011.53</v>
      </c>
      <c r="AA24" s="368">
        <f>1/18</f>
        <v>5.5599999999999997E-2</v>
      </c>
      <c r="AB24" s="369">
        <f>$D$24/18</f>
        <v>439011.53</v>
      </c>
      <c r="AC24" s="368">
        <f>1/18</f>
        <v>5.5599999999999997E-2</v>
      </c>
      <c r="AD24" s="369">
        <f>$D$24/18</f>
        <v>439011.53</v>
      </c>
      <c r="AE24" s="368">
        <f>1/18</f>
        <v>5.5599999999999997E-2</v>
      </c>
      <c r="AF24" s="369">
        <f>$D$24/18</f>
        <v>439011.53</v>
      </c>
      <c r="AG24" s="368">
        <f>1/18</f>
        <v>5.5599999999999997E-2</v>
      </c>
      <c r="AH24" s="369">
        <f>$D$24/18</f>
        <v>439011.53</v>
      </c>
      <c r="AI24" s="368">
        <f>1/18</f>
        <v>5.5599999999999997E-2</v>
      </c>
      <c r="AJ24" s="369">
        <f>$D$24/18</f>
        <v>439011.53</v>
      </c>
      <c r="AK24" s="368">
        <f>1/18</f>
        <v>5.5599999999999997E-2</v>
      </c>
      <c r="AL24" s="369">
        <f>$D$24/18</f>
        <v>439011.53</v>
      </c>
      <c r="AM24" s="368">
        <f>1/18</f>
        <v>5.5599999999999997E-2</v>
      </c>
      <c r="AN24" s="369">
        <f>$D$24/18</f>
        <v>439011.53</v>
      </c>
    </row>
    <row r="25" spans="1:40">
      <c r="A25" s="1596"/>
      <c r="B25" s="1598"/>
      <c r="C25" s="1600"/>
      <c r="D25" s="1602"/>
      <c r="E25" s="978"/>
      <c r="F25" s="371"/>
      <c r="G25" s="978"/>
      <c r="H25" s="371"/>
      <c r="I25" s="978"/>
      <c r="J25" s="371"/>
      <c r="K25" s="978"/>
      <c r="L25" s="371"/>
      <c r="M25" s="978"/>
      <c r="N25" s="371"/>
      <c r="O25" s="978"/>
      <c r="P25" s="371"/>
      <c r="Q25" s="978"/>
      <c r="R25" s="371"/>
      <c r="S25" s="978"/>
      <c r="T25" s="371"/>
      <c r="U25" s="978"/>
      <c r="V25" s="371"/>
      <c r="W25" s="978"/>
      <c r="X25" s="371"/>
      <c r="Y25" s="978"/>
      <c r="Z25" s="371"/>
      <c r="AA25" s="978"/>
      <c r="AB25" s="371"/>
      <c r="AC25" s="978"/>
      <c r="AD25" s="371"/>
      <c r="AE25" s="978"/>
      <c r="AF25" s="371"/>
      <c r="AG25" s="978"/>
      <c r="AH25" s="371"/>
      <c r="AI25" s="978"/>
      <c r="AJ25" s="371"/>
      <c r="AK25" s="978"/>
      <c r="AL25" s="371"/>
      <c r="AM25" s="978"/>
      <c r="AN25" s="371"/>
    </row>
    <row r="26" spans="1:40">
      <c r="A26" s="1588">
        <v>6</v>
      </c>
      <c r="B26" s="1594" t="str">
        <f>'ORÇAMENTO (F)'!E821</f>
        <v>SERVIÇOS DE CAIXA PRIMÁRIA</v>
      </c>
      <c r="C26" s="1590">
        <f>D26/$D$40</f>
        <v>0.13619999999999999</v>
      </c>
      <c r="D26" s="1592">
        <f>'ORÇAMENTO (F)'!K830</f>
        <v>3673716.92</v>
      </c>
      <c r="E26" s="368"/>
      <c r="F26" s="369">
        <f>ROUND($D26*E26,2)</f>
        <v>0</v>
      </c>
      <c r="G26" s="979">
        <v>0.05</v>
      </c>
      <c r="H26" s="369">
        <f>ROUND($D26*G26,2)</f>
        <v>183685.85</v>
      </c>
      <c r="I26" s="979">
        <v>0.05</v>
      </c>
      <c r="J26" s="369">
        <f>ROUND($D26*I26,2)</f>
        <v>183685.85</v>
      </c>
      <c r="K26" s="979">
        <v>0.05</v>
      </c>
      <c r="L26" s="369">
        <f>ROUND($D26*K26,2)</f>
        <v>183685.85</v>
      </c>
      <c r="M26" s="979">
        <v>0.05</v>
      </c>
      <c r="N26" s="369">
        <f>ROUND($D26*M26,2)</f>
        <v>183685.85</v>
      </c>
      <c r="O26" s="979">
        <v>0.05</v>
      </c>
      <c r="P26" s="369">
        <f>ROUND($D26*O26,2)</f>
        <v>183685.85</v>
      </c>
      <c r="Q26" s="979">
        <v>0.05</v>
      </c>
      <c r="R26" s="369">
        <f>ROUND($D26*Q26,2)</f>
        <v>183685.85</v>
      </c>
      <c r="S26" s="979">
        <v>0.05</v>
      </c>
      <c r="T26" s="369">
        <f>ROUND($D26*S26,2)</f>
        <v>183685.85</v>
      </c>
      <c r="U26" s="979">
        <v>0.09</v>
      </c>
      <c r="V26" s="369">
        <f>ROUND($D26*U26,2)</f>
        <v>330634.52</v>
      </c>
      <c r="W26" s="979">
        <v>0.09</v>
      </c>
      <c r="X26" s="369">
        <f>ROUND($D26*W26,2)</f>
        <v>330634.52</v>
      </c>
      <c r="Y26" s="979">
        <v>0.09</v>
      </c>
      <c r="Z26" s="369">
        <f>ROUND($D26*Y26,2)</f>
        <v>330634.52</v>
      </c>
      <c r="AA26" s="979">
        <v>0.08</v>
      </c>
      <c r="AB26" s="369">
        <f>ROUND($D26*AA26,2)</f>
        <v>293897.34999999998</v>
      </c>
      <c r="AC26" s="979">
        <v>0.05</v>
      </c>
      <c r="AD26" s="369">
        <f>ROUND($D26*AC26,2)</f>
        <v>183685.85</v>
      </c>
      <c r="AE26" s="979">
        <v>0.05</v>
      </c>
      <c r="AF26" s="369">
        <f>ROUND($D26*AE26,2)</f>
        <v>183685.85</v>
      </c>
      <c r="AG26" s="979">
        <v>0.05</v>
      </c>
      <c r="AH26" s="369">
        <f>ROUND($D26*AG26,2)</f>
        <v>183685.85</v>
      </c>
      <c r="AI26" s="979">
        <v>0.05</v>
      </c>
      <c r="AJ26" s="369">
        <f>ROUNDUP($D26*AI26,2)</f>
        <v>183685.85</v>
      </c>
      <c r="AK26" s="979">
        <v>0.05</v>
      </c>
      <c r="AL26" s="369">
        <f>ROUNDUP($D26*AK26,2)</f>
        <v>183685.85</v>
      </c>
      <c r="AM26" s="979">
        <v>0.05</v>
      </c>
      <c r="AN26" s="369">
        <f>ROUNDUP($D26*AM26,2)</f>
        <v>183685.85</v>
      </c>
    </row>
    <row r="27" spans="1:40">
      <c r="A27" s="1588"/>
      <c r="B27" s="1594"/>
      <c r="C27" s="1590"/>
      <c r="D27" s="1592"/>
      <c r="E27" s="368"/>
      <c r="F27" s="369"/>
      <c r="G27" s="372"/>
      <c r="H27" s="371"/>
      <c r="I27" s="977"/>
      <c r="J27" s="371"/>
      <c r="K27" s="977"/>
      <c r="L27" s="371"/>
      <c r="M27" s="977"/>
      <c r="N27" s="371"/>
      <c r="O27" s="977"/>
      <c r="P27" s="371"/>
      <c r="Q27" s="977"/>
      <c r="R27" s="371"/>
      <c r="S27" s="977"/>
      <c r="T27" s="371"/>
      <c r="U27" s="977"/>
      <c r="V27" s="371"/>
      <c r="W27" s="977"/>
      <c r="X27" s="371"/>
      <c r="Y27" s="977"/>
      <c r="Z27" s="371"/>
      <c r="AA27" s="977"/>
      <c r="AB27" s="371"/>
      <c r="AC27" s="977"/>
      <c r="AD27" s="371"/>
      <c r="AE27" s="977"/>
      <c r="AF27" s="371"/>
      <c r="AG27" s="977"/>
      <c r="AH27" s="371"/>
      <c r="AI27" s="977"/>
      <c r="AJ27" s="371"/>
      <c r="AK27" s="977"/>
      <c r="AL27" s="371"/>
      <c r="AM27" s="977"/>
      <c r="AN27" s="371"/>
    </row>
    <row r="28" spans="1:40">
      <c r="A28" s="1588">
        <v>7</v>
      </c>
      <c r="B28" s="1594" t="str">
        <f>'ORÇAMENTO (F)'!E832</f>
        <v>SERVIÇOS DE REVESTIMENTO (PAVIMENTAÇÃO)</v>
      </c>
      <c r="C28" s="1590">
        <f>D28/$D$40</f>
        <v>0.1731</v>
      </c>
      <c r="D28" s="1592">
        <f>'ORÇAMENTO (F)'!K837</f>
        <v>4666494.9000000004</v>
      </c>
      <c r="E28" s="368"/>
      <c r="F28" s="369">
        <f>ROUND($D28*E28,2)</f>
        <v>0</v>
      </c>
      <c r="G28" s="979">
        <v>0.05</v>
      </c>
      <c r="H28" s="369">
        <f>ROUND($D28*G28,2)</f>
        <v>233324.75</v>
      </c>
      <c r="I28" s="979">
        <v>0.05</v>
      </c>
      <c r="J28" s="369">
        <f>ROUND($D28*I28,2)</f>
        <v>233324.75</v>
      </c>
      <c r="K28" s="979">
        <v>0.05</v>
      </c>
      <c r="L28" s="369">
        <f>ROUND($D28*K28,2)</f>
        <v>233324.75</v>
      </c>
      <c r="M28" s="979">
        <v>0.05</v>
      </c>
      <c r="N28" s="369">
        <f>ROUND($D28*M28,2)</f>
        <v>233324.75</v>
      </c>
      <c r="O28" s="979">
        <v>0.05</v>
      </c>
      <c r="P28" s="369">
        <f>ROUND($D28*O28,2)</f>
        <v>233324.75</v>
      </c>
      <c r="Q28" s="979">
        <v>0.05</v>
      </c>
      <c r="R28" s="369">
        <f>ROUND($D28*Q28,2)</f>
        <v>233324.75</v>
      </c>
      <c r="S28" s="979">
        <v>0.05</v>
      </c>
      <c r="T28" s="369">
        <f>ROUND($D28*S28,2)</f>
        <v>233324.75</v>
      </c>
      <c r="U28" s="979">
        <v>0.09</v>
      </c>
      <c r="V28" s="369">
        <f>ROUND($D28*U28,2)</f>
        <v>419984.54</v>
      </c>
      <c r="W28" s="979">
        <v>0.09</v>
      </c>
      <c r="X28" s="369">
        <f>ROUND($D28*W28,2)</f>
        <v>419984.54</v>
      </c>
      <c r="Y28" s="979">
        <v>0.09</v>
      </c>
      <c r="Z28" s="369">
        <f>ROUND($D28*Y28,2)</f>
        <v>419984.54</v>
      </c>
      <c r="AA28" s="979">
        <v>0.08</v>
      </c>
      <c r="AB28" s="369">
        <f>ROUND($D28*AA28,2)</f>
        <v>373319.59</v>
      </c>
      <c r="AC28" s="979">
        <v>0.05</v>
      </c>
      <c r="AD28" s="369">
        <f>ROUND($D28*AC28,2)</f>
        <v>233324.75</v>
      </c>
      <c r="AE28" s="979">
        <v>0.05</v>
      </c>
      <c r="AF28" s="369">
        <f>ROUND($D28*AE28,2)</f>
        <v>233324.75</v>
      </c>
      <c r="AG28" s="979">
        <v>0.05</v>
      </c>
      <c r="AH28" s="369">
        <f>ROUND($D28*AG28,2)</f>
        <v>233324.75</v>
      </c>
      <c r="AI28" s="979">
        <v>0.05</v>
      </c>
      <c r="AJ28" s="369">
        <f>ROUNDUP($D28*AI28,2)</f>
        <v>233324.75</v>
      </c>
      <c r="AK28" s="979">
        <v>0.05</v>
      </c>
      <c r="AL28" s="369">
        <f>ROUNDUP($D28*AK28,2)</f>
        <v>233324.75</v>
      </c>
      <c r="AM28" s="979">
        <v>0.05</v>
      </c>
      <c r="AN28" s="369">
        <f>ROUNDUP($D28*AM28,2)</f>
        <v>233324.75</v>
      </c>
    </row>
    <row r="29" spans="1:40">
      <c r="A29" s="1588"/>
      <c r="B29" s="1594"/>
      <c r="C29" s="1590"/>
      <c r="D29" s="1592"/>
      <c r="E29" s="374"/>
      <c r="F29" s="375"/>
      <c r="G29" s="1275"/>
      <c r="H29" s="1276"/>
      <c r="I29" s="1275"/>
      <c r="J29" s="1276"/>
      <c r="K29" s="377"/>
      <c r="L29" s="378"/>
      <c r="M29" s="377"/>
      <c r="N29" s="378"/>
      <c r="O29" s="377"/>
      <c r="P29" s="378"/>
      <c r="Q29" s="377"/>
      <c r="R29" s="378"/>
      <c r="S29" s="377"/>
      <c r="T29" s="378"/>
      <c r="U29" s="377"/>
      <c r="V29" s="378"/>
      <c r="W29" s="377"/>
      <c r="X29" s="378"/>
      <c r="Y29" s="377"/>
      <c r="Z29" s="378"/>
      <c r="AA29" s="377"/>
      <c r="AB29" s="378"/>
      <c r="AC29" s="377"/>
      <c r="AD29" s="378"/>
      <c r="AE29" s="377"/>
      <c r="AF29" s="378"/>
      <c r="AG29" s="377"/>
      <c r="AH29" s="378"/>
      <c r="AI29" s="377"/>
      <c r="AJ29" s="378"/>
      <c r="AK29" s="377"/>
      <c r="AL29" s="378"/>
      <c r="AM29" s="377"/>
      <c r="AN29" s="378"/>
    </row>
    <row r="30" spans="1:40">
      <c r="A30" s="1595">
        <v>8</v>
      </c>
      <c r="B30" s="1597" t="str">
        <f>'ORÇAMENTO (F)'!E838</f>
        <v>SINALIZAÇÃO VIÁRIA</v>
      </c>
      <c r="C30" s="1590">
        <f>D30/$D$40</f>
        <v>0.01</v>
      </c>
      <c r="D30" s="1601">
        <f>'ORÇAMENTO (F)'!K847</f>
        <v>269920.90000000002</v>
      </c>
      <c r="E30" s="374"/>
      <c r="F30" s="375"/>
      <c r="G30" s="376"/>
      <c r="H30" s="375"/>
      <c r="I30" s="373">
        <v>0.05</v>
      </c>
      <c r="J30" s="369">
        <f>ROUND($D30*I30,2)</f>
        <v>13496.05</v>
      </c>
      <c r="K30" s="373">
        <v>0.05</v>
      </c>
      <c r="L30" s="369">
        <f>ROUND($D30*K30,2)</f>
        <v>13496.05</v>
      </c>
      <c r="M30" s="373">
        <v>0.05</v>
      </c>
      <c r="N30" s="369">
        <f>ROUND($D30*M30,2)</f>
        <v>13496.05</v>
      </c>
      <c r="O30" s="373">
        <v>0.05</v>
      </c>
      <c r="P30" s="369">
        <f>ROUND($D30*O30,2)</f>
        <v>13496.05</v>
      </c>
      <c r="Q30" s="373">
        <v>0.05</v>
      </c>
      <c r="R30" s="369">
        <f>ROUND($D30*Q30,2)</f>
        <v>13496.05</v>
      </c>
      <c r="S30" s="373">
        <v>0.05</v>
      </c>
      <c r="T30" s="369">
        <f>ROUND($D30*S30,2)</f>
        <v>13496.05</v>
      </c>
      <c r="U30" s="373">
        <v>0.05</v>
      </c>
      <c r="V30" s="369">
        <f>ROUND($D30*U30,2)</f>
        <v>13496.05</v>
      </c>
      <c r="W30" s="373">
        <v>0.05</v>
      </c>
      <c r="X30" s="369">
        <f>ROUND($D30*W30,2)</f>
        <v>13496.05</v>
      </c>
      <c r="Y30" s="373">
        <v>0.1</v>
      </c>
      <c r="Z30" s="369">
        <f>ROUND($D30*Y30,2)</f>
        <v>26992.09</v>
      </c>
      <c r="AA30" s="373">
        <v>0.1</v>
      </c>
      <c r="AB30" s="369">
        <f>ROUND($D30*AA30,2)</f>
        <v>26992.09</v>
      </c>
      <c r="AC30" s="373">
        <v>0.1</v>
      </c>
      <c r="AD30" s="369">
        <f>ROUND($D30*AC30,2)</f>
        <v>26992.09</v>
      </c>
      <c r="AE30" s="373">
        <v>0.1</v>
      </c>
      <c r="AF30" s="369">
        <f>ROUND($D30*AE30,2)</f>
        <v>26992.09</v>
      </c>
      <c r="AG30" s="373">
        <v>0.05</v>
      </c>
      <c r="AH30" s="369">
        <f>ROUNDDOWN($D30*AG30,2)</f>
        <v>13496.04</v>
      </c>
      <c r="AI30" s="373">
        <v>0.05</v>
      </c>
      <c r="AJ30" s="369">
        <f>ROUNDDOWN($D30*AI30,2)</f>
        <v>13496.04</v>
      </c>
      <c r="AK30" s="373">
        <v>0.05</v>
      </c>
      <c r="AL30" s="369">
        <f>ROUNDDOWN($D30*AK30,2)</f>
        <v>13496.04</v>
      </c>
      <c r="AM30" s="373">
        <v>0.05</v>
      </c>
      <c r="AN30" s="369">
        <f>ROUNDDOWN($D30*AM30,2)</f>
        <v>13496.04</v>
      </c>
    </row>
    <row r="31" spans="1:40">
      <c r="A31" s="1596"/>
      <c r="B31" s="1598"/>
      <c r="C31" s="1590"/>
      <c r="D31" s="1602"/>
      <c r="E31" s="374"/>
      <c r="F31" s="375"/>
      <c r="G31" s="376"/>
      <c r="H31" s="375"/>
      <c r="I31" s="377"/>
      <c r="J31" s="378"/>
      <c r="K31" s="377"/>
      <c r="L31" s="378"/>
      <c r="M31" s="377"/>
      <c r="N31" s="378"/>
      <c r="O31" s="377"/>
      <c r="P31" s="378"/>
      <c r="Q31" s="377"/>
      <c r="R31" s="378"/>
      <c r="S31" s="377"/>
      <c r="T31" s="378"/>
      <c r="U31" s="377"/>
      <c r="V31" s="378"/>
      <c r="W31" s="377"/>
      <c r="X31" s="378"/>
      <c r="Y31" s="377"/>
      <c r="Z31" s="378"/>
      <c r="AA31" s="377"/>
      <c r="AB31" s="378"/>
      <c r="AC31" s="377"/>
      <c r="AD31" s="378"/>
      <c r="AE31" s="377"/>
      <c r="AF31" s="378"/>
      <c r="AG31" s="377"/>
      <c r="AH31" s="378"/>
      <c r="AI31" s="377"/>
      <c r="AJ31" s="378"/>
      <c r="AK31" s="377"/>
      <c r="AL31" s="378"/>
      <c r="AM31" s="377"/>
      <c r="AN31" s="378"/>
    </row>
    <row r="32" spans="1:40">
      <c r="A32" s="1588">
        <v>9</v>
      </c>
      <c r="B32" s="1594" t="str">
        <f>'ORÇAMENTO (F)'!E848</f>
        <v>LIMPEZA FINAL</v>
      </c>
      <c r="C32" s="1590">
        <f>D32/$D$40</f>
        <v>4.0000000000000002E-4</v>
      </c>
      <c r="D32" s="1592">
        <f>'ORÇAMENTO (F)'!K850</f>
        <v>10851.2</v>
      </c>
      <c r="E32" s="1040"/>
      <c r="F32" s="369"/>
      <c r="G32" s="1040"/>
      <c r="H32" s="369"/>
      <c r="I32" s="1040"/>
      <c r="J32" s="369"/>
      <c r="K32" s="1040"/>
      <c r="L32" s="369"/>
      <c r="M32" s="1040"/>
      <c r="N32" s="369"/>
      <c r="O32" s="1040"/>
      <c r="P32" s="369"/>
      <c r="Q32" s="1040"/>
      <c r="R32" s="369"/>
      <c r="S32" s="1040"/>
      <c r="T32" s="369"/>
      <c r="U32" s="1040"/>
      <c r="V32" s="369"/>
      <c r="W32" s="1040"/>
      <c r="X32" s="369"/>
      <c r="Y32" s="1040"/>
      <c r="Z32" s="369"/>
      <c r="AA32" s="1040"/>
      <c r="AB32" s="369"/>
      <c r="AC32" s="1040"/>
      <c r="AD32" s="369"/>
      <c r="AE32" s="1040"/>
      <c r="AF32" s="369"/>
      <c r="AG32" s="1040"/>
      <c r="AH32" s="369"/>
      <c r="AI32" s="1277">
        <f>1/3</f>
        <v>0.33</v>
      </c>
      <c r="AJ32" s="369">
        <f>$D$32/3</f>
        <v>3617.07</v>
      </c>
      <c r="AK32" s="1277">
        <f>1/3</f>
        <v>0.33</v>
      </c>
      <c r="AL32" s="369">
        <f>$D$32/3</f>
        <v>3617.07</v>
      </c>
      <c r="AM32" s="1277">
        <f>1/3</f>
        <v>0.33</v>
      </c>
      <c r="AN32" s="369">
        <f>$D$32/3</f>
        <v>3617.07</v>
      </c>
    </row>
    <row r="33" spans="1:262">
      <c r="A33" s="1588"/>
      <c r="B33" s="1594"/>
      <c r="C33" s="1590"/>
      <c r="D33" s="1592"/>
      <c r="E33" s="980"/>
      <c r="F33" s="369"/>
      <c r="G33" s="373"/>
      <c r="H33" s="369"/>
      <c r="I33" s="981"/>
      <c r="J33" s="369"/>
      <c r="K33" s="981"/>
      <c r="L33" s="369"/>
      <c r="M33" s="981"/>
      <c r="N33" s="369"/>
      <c r="O33" s="981"/>
      <c r="P33" s="369"/>
      <c r="Q33" s="981"/>
      <c r="R33" s="369"/>
      <c r="S33" s="981"/>
      <c r="T33" s="369"/>
      <c r="U33" s="981"/>
      <c r="V33" s="369"/>
      <c r="W33" s="981"/>
      <c r="X33" s="369"/>
      <c r="Y33" s="981"/>
      <c r="Z33" s="369"/>
      <c r="AA33" s="981"/>
      <c r="AB33" s="369"/>
      <c r="AC33" s="981"/>
      <c r="AD33" s="369"/>
      <c r="AE33" s="981"/>
      <c r="AF33" s="369"/>
      <c r="AG33" s="981"/>
      <c r="AH33" s="369"/>
      <c r="AI33" s="1272"/>
      <c r="AJ33" s="1039"/>
      <c r="AK33" s="1272"/>
      <c r="AL33" s="1039"/>
      <c r="AM33" s="1273"/>
      <c r="AN33" s="1274"/>
    </row>
    <row r="34" spans="1:262">
      <c r="A34" s="1588">
        <v>11</v>
      </c>
      <c r="B34" s="1594" t="str">
        <f>'ORÇAMENTO (F)'!E851</f>
        <v xml:space="preserve">CADASTRO TÉCNICO DO EMPREENDIMENTO CONSTANDO DESCRITIVO, ESPECIFICAÇÕES, MANUAIS OPERACIONAIS </v>
      </c>
      <c r="C34" s="1590">
        <f>D34/$D$40</f>
        <v>2E-3</v>
      </c>
      <c r="D34" s="1592">
        <f>'ORÇAMENTO (F)'!K853</f>
        <v>53649.3</v>
      </c>
      <c r="E34" s="1040">
        <f>100/18</f>
        <v>5.56</v>
      </c>
      <c r="F34" s="369">
        <f>$D$34/18</f>
        <v>2980.52</v>
      </c>
      <c r="G34" s="1040">
        <f>100/18</f>
        <v>5.56</v>
      </c>
      <c r="H34" s="369">
        <f>$D$34/18</f>
        <v>2980.52</v>
      </c>
      <c r="I34" s="1040">
        <f>100/18</f>
        <v>5.56</v>
      </c>
      <c r="J34" s="369">
        <f>$D$34/18</f>
        <v>2980.52</v>
      </c>
      <c r="K34" s="1040">
        <f>100/18</f>
        <v>5.56</v>
      </c>
      <c r="L34" s="369">
        <f>$D$34/18</f>
        <v>2980.52</v>
      </c>
      <c r="M34" s="1040">
        <f>100/18</f>
        <v>5.56</v>
      </c>
      <c r="N34" s="369">
        <f>$D$34/18</f>
        <v>2980.52</v>
      </c>
      <c r="O34" s="1040">
        <f>100/18</f>
        <v>5.56</v>
      </c>
      <c r="P34" s="369">
        <f>$D$34/18</f>
        <v>2980.52</v>
      </c>
      <c r="Q34" s="1040">
        <f>100/18</f>
        <v>5.56</v>
      </c>
      <c r="R34" s="369">
        <f>$D$34/18</f>
        <v>2980.52</v>
      </c>
      <c r="S34" s="1040">
        <f>100/18</f>
        <v>5.56</v>
      </c>
      <c r="T34" s="369">
        <f>$D$34/18</f>
        <v>2980.52</v>
      </c>
      <c r="U34" s="1040">
        <f>100/18</f>
        <v>5.56</v>
      </c>
      <c r="V34" s="369">
        <f>$D$34/18</f>
        <v>2980.52</v>
      </c>
      <c r="W34" s="1040">
        <f>100/18</f>
        <v>5.56</v>
      </c>
      <c r="X34" s="369">
        <f>$D$34/18</f>
        <v>2980.52</v>
      </c>
      <c r="Y34" s="1040">
        <f>100/18</f>
        <v>5.56</v>
      </c>
      <c r="Z34" s="369">
        <f>$D$34/18</f>
        <v>2980.52</v>
      </c>
      <c r="AA34" s="1040">
        <f>100/18</f>
        <v>5.56</v>
      </c>
      <c r="AB34" s="369">
        <f>$D$34/18</f>
        <v>2980.52</v>
      </c>
      <c r="AC34" s="1040">
        <f>100/18</f>
        <v>5.56</v>
      </c>
      <c r="AD34" s="369">
        <f>$D$34/18</f>
        <v>2980.52</v>
      </c>
      <c r="AE34" s="1040">
        <f>100/18</f>
        <v>5.56</v>
      </c>
      <c r="AF34" s="369">
        <f>$D$34/18</f>
        <v>2980.52</v>
      </c>
      <c r="AG34" s="1040">
        <f>100/18</f>
        <v>5.56</v>
      </c>
      <c r="AH34" s="369">
        <f>$D$34/18</f>
        <v>2980.52</v>
      </c>
      <c r="AI34" s="1040">
        <f>100/18</f>
        <v>5.56</v>
      </c>
      <c r="AJ34" s="369">
        <f>$D$34/18</f>
        <v>2980.52</v>
      </c>
      <c r="AK34" s="1040">
        <f>100/18</f>
        <v>5.56</v>
      </c>
      <c r="AL34" s="369">
        <f>$D$34/18</f>
        <v>2980.52</v>
      </c>
      <c r="AM34" s="1040">
        <f>100/18</f>
        <v>5.56</v>
      </c>
      <c r="AN34" s="369">
        <f>$D$34/18</f>
        <v>2980.52</v>
      </c>
    </row>
    <row r="35" spans="1:262">
      <c r="A35" s="1588"/>
      <c r="B35" s="1594"/>
      <c r="C35" s="1590"/>
      <c r="D35" s="1592"/>
      <c r="E35" s="978"/>
      <c r="F35" s="371"/>
      <c r="G35" s="372"/>
      <c r="H35" s="371"/>
      <c r="I35" s="977"/>
      <c r="J35" s="371"/>
      <c r="K35" s="977"/>
      <c r="L35" s="371"/>
      <c r="M35" s="977"/>
      <c r="N35" s="371"/>
      <c r="O35" s="977"/>
      <c r="P35" s="371"/>
      <c r="Q35" s="977"/>
      <c r="R35" s="371"/>
      <c r="S35" s="977"/>
      <c r="T35" s="371"/>
      <c r="U35" s="977"/>
      <c r="V35" s="371"/>
      <c r="W35" s="977"/>
      <c r="X35" s="371"/>
      <c r="Y35" s="977"/>
      <c r="Z35" s="371"/>
      <c r="AA35" s="977"/>
      <c r="AB35" s="371"/>
      <c r="AC35" s="977"/>
      <c r="AD35" s="371"/>
      <c r="AE35" s="977"/>
      <c r="AF35" s="371"/>
      <c r="AG35" s="977"/>
      <c r="AH35" s="371"/>
      <c r="AI35" s="977"/>
      <c r="AJ35" s="371"/>
      <c r="AK35" s="977"/>
      <c r="AL35" s="371"/>
      <c r="AM35" s="977"/>
      <c r="AN35" s="371"/>
      <c r="AO35" s="88"/>
      <c r="AP35" s="88"/>
      <c r="AQ35" s="88"/>
      <c r="AR35" s="88"/>
      <c r="AS35" s="88"/>
      <c r="AT35" s="88"/>
      <c r="AU35" s="88"/>
      <c r="AV35" s="88"/>
      <c r="AW35" s="88"/>
      <c r="AX35" s="88"/>
      <c r="AY35" s="88"/>
      <c r="AZ35" s="88"/>
      <c r="BA35" s="88"/>
      <c r="BB35" s="88"/>
      <c r="BC35" s="88"/>
      <c r="BD35" s="88"/>
      <c r="BE35" s="88"/>
      <c r="BF35" s="88"/>
      <c r="BG35" s="88"/>
      <c r="BH35" s="88"/>
      <c r="BI35" s="88"/>
      <c r="BJ35" s="88"/>
      <c r="BK35" s="88"/>
      <c r="BL35" s="88"/>
      <c r="BM35" s="88"/>
      <c r="BN35" s="88"/>
      <c r="BO35" s="88"/>
      <c r="BP35" s="88"/>
      <c r="BQ35" s="88"/>
      <c r="BR35" s="88"/>
      <c r="BS35" s="88"/>
      <c r="BT35" s="88"/>
      <c r="BU35" s="88"/>
      <c r="BV35" s="88"/>
      <c r="BW35" s="88"/>
      <c r="BX35" s="88"/>
      <c r="BY35" s="88"/>
      <c r="BZ35" s="88"/>
      <c r="CA35" s="88"/>
      <c r="CB35" s="88"/>
      <c r="CC35" s="88"/>
      <c r="CD35" s="88"/>
      <c r="CE35" s="88"/>
      <c r="CF35" s="88"/>
      <c r="CG35" s="88"/>
      <c r="CH35" s="88"/>
      <c r="CI35" s="88"/>
      <c r="CJ35" s="88"/>
      <c r="CK35" s="88"/>
      <c r="CL35" s="88"/>
      <c r="CM35" s="88"/>
      <c r="CN35" s="88"/>
      <c r="CO35" s="88"/>
      <c r="CP35" s="88"/>
      <c r="CQ35" s="88"/>
      <c r="CR35" s="88"/>
      <c r="CS35" s="88"/>
      <c r="CT35" s="88"/>
      <c r="CU35" s="88"/>
      <c r="CV35" s="88"/>
      <c r="CW35" s="88"/>
      <c r="CX35" s="88"/>
      <c r="CY35" s="88"/>
      <c r="CZ35" s="88"/>
      <c r="DA35" s="88"/>
      <c r="DB35" s="88"/>
      <c r="DC35" s="88"/>
      <c r="DD35" s="88"/>
      <c r="DE35" s="88"/>
      <c r="DF35" s="88"/>
      <c r="DG35" s="88"/>
      <c r="DH35" s="88"/>
      <c r="DI35" s="88"/>
      <c r="DJ35" s="88"/>
      <c r="DK35" s="88"/>
      <c r="DL35" s="88"/>
      <c r="DM35" s="88"/>
      <c r="DN35" s="88"/>
      <c r="DO35" s="88"/>
      <c r="DP35" s="88"/>
      <c r="DQ35" s="88"/>
      <c r="DR35" s="88"/>
      <c r="DS35" s="88"/>
      <c r="DT35" s="88"/>
      <c r="DU35" s="88"/>
      <c r="DV35" s="88"/>
      <c r="DW35" s="88"/>
      <c r="DX35" s="88"/>
      <c r="DY35" s="88"/>
      <c r="DZ35" s="88"/>
      <c r="EA35" s="88"/>
      <c r="EB35" s="88"/>
      <c r="EC35" s="88"/>
      <c r="ED35" s="88"/>
      <c r="EE35" s="88"/>
      <c r="EF35" s="88"/>
      <c r="EG35" s="88"/>
      <c r="EH35" s="88"/>
      <c r="EI35" s="88"/>
      <c r="EJ35" s="88"/>
      <c r="EK35" s="88"/>
      <c r="EL35" s="88"/>
      <c r="EM35" s="88"/>
      <c r="EN35" s="88"/>
      <c r="EO35" s="88"/>
      <c r="EP35" s="88"/>
      <c r="EQ35" s="88"/>
      <c r="ER35" s="88"/>
      <c r="ES35" s="88"/>
      <c r="ET35" s="88"/>
      <c r="EU35" s="88"/>
      <c r="EV35" s="88"/>
      <c r="EW35" s="88"/>
      <c r="EX35" s="88"/>
      <c r="EY35" s="88"/>
      <c r="EZ35" s="88"/>
      <c r="FA35" s="88"/>
      <c r="FB35" s="88"/>
      <c r="FC35" s="88"/>
      <c r="FD35" s="88"/>
      <c r="FE35" s="88"/>
      <c r="FF35" s="88"/>
      <c r="FG35" s="88"/>
      <c r="FH35" s="88"/>
      <c r="FI35" s="88"/>
      <c r="FJ35" s="88"/>
      <c r="FK35" s="88"/>
      <c r="FL35" s="88"/>
      <c r="FM35" s="88"/>
      <c r="FN35" s="88"/>
      <c r="FO35" s="88"/>
      <c r="FP35" s="88"/>
      <c r="FQ35" s="88"/>
      <c r="FR35" s="88"/>
      <c r="FS35" s="88"/>
      <c r="FT35" s="88"/>
      <c r="FU35" s="88"/>
      <c r="FV35" s="88"/>
      <c r="FW35" s="88"/>
      <c r="FX35" s="88"/>
      <c r="FY35" s="88"/>
      <c r="FZ35" s="88"/>
      <c r="GA35" s="88"/>
      <c r="GB35" s="88"/>
      <c r="GC35" s="88"/>
      <c r="GD35" s="88"/>
      <c r="GE35" s="88"/>
      <c r="GF35" s="88"/>
      <c r="GG35" s="88"/>
      <c r="GH35" s="88"/>
      <c r="GI35" s="88"/>
      <c r="GJ35" s="88"/>
      <c r="GK35" s="88"/>
      <c r="GL35" s="88"/>
      <c r="GM35" s="88"/>
      <c r="GN35" s="88"/>
      <c r="GO35" s="88"/>
      <c r="GP35" s="88"/>
      <c r="GQ35" s="88"/>
      <c r="GR35" s="88"/>
      <c r="GS35" s="88"/>
      <c r="GT35" s="88"/>
      <c r="GU35" s="88"/>
      <c r="GV35" s="88"/>
      <c r="GW35" s="88"/>
      <c r="GX35" s="88"/>
      <c r="GY35" s="88"/>
      <c r="GZ35" s="88"/>
      <c r="HA35" s="88"/>
      <c r="HB35" s="88"/>
      <c r="HC35" s="88"/>
      <c r="HD35" s="88"/>
      <c r="HE35" s="88"/>
      <c r="HF35" s="88"/>
      <c r="HG35" s="88"/>
      <c r="HH35" s="88"/>
      <c r="HI35" s="88"/>
      <c r="HJ35" s="88"/>
      <c r="HK35" s="88"/>
      <c r="HL35" s="88"/>
      <c r="HM35" s="88"/>
      <c r="HN35" s="88"/>
      <c r="HO35" s="88"/>
      <c r="HP35" s="88"/>
      <c r="HQ35" s="88"/>
      <c r="HR35" s="88"/>
      <c r="HS35" s="88"/>
      <c r="HT35" s="88"/>
      <c r="HU35" s="88"/>
      <c r="HV35" s="88"/>
      <c r="HW35" s="88"/>
      <c r="HX35" s="88"/>
      <c r="HY35" s="88"/>
      <c r="HZ35" s="88"/>
      <c r="IA35" s="88"/>
      <c r="IB35" s="88"/>
      <c r="IC35" s="88"/>
      <c r="ID35" s="88"/>
      <c r="IE35" s="88"/>
      <c r="IF35" s="88"/>
      <c r="IG35" s="88"/>
      <c r="IH35" s="88"/>
      <c r="II35" s="88"/>
      <c r="IJ35" s="88"/>
      <c r="IK35" s="88"/>
      <c r="IL35" s="88"/>
      <c r="IM35" s="88"/>
      <c r="IN35" s="88"/>
      <c r="IO35" s="88"/>
      <c r="IP35" s="88"/>
      <c r="IQ35" s="88"/>
      <c r="IR35" s="88"/>
      <c r="IS35" s="88"/>
      <c r="IT35" s="88"/>
      <c r="IU35" s="88"/>
      <c r="IV35" s="88"/>
      <c r="IW35" s="88"/>
      <c r="IX35" s="88"/>
      <c r="IY35" s="88"/>
      <c r="IZ35" s="88"/>
      <c r="JA35" s="88"/>
      <c r="JB35" s="88"/>
    </row>
    <row r="36" spans="1:262">
      <c r="A36" s="1595">
        <v>12</v>
      </c>
      <c r="B36" s="1611" t="s">
        <v>3689</v>
      </c>
      <c r="C36" s="1590">
        <f>D36/$D$40</f>
        <v>8.2000000000000007E-3</v>
      </c>
      <c r="D36" s="1601">
        <f>'ORÇAMENTO (F)'!K873</f>
        <v>222157.07</v>
      </c>
      <c r="E36" s="980"/>
      <c r="F36" s="369"/>
      <c r="G36" s="373"/>
      <c r="H36" s="369"/>
      <c r="I36" s="981"/>
      <c r="J36" s="369"/>
      <c r="K36" s="981"/>
      <c r="L36" s="369"/>
      <c r="M36" s="981"/>
      <c r="N36" s="369"/>
      <c r="O36" s="981"/>
      <c r="P36" s="369"/>
      <c r="Q36" s="981"/>
      <c r="R36" s="369"/>
      <c r="S36" s="981"/>
      <c r="T36" s="369"/>
      <c r="U36" s="981"/>
      <c r="V36" s="369"/>
      <c r="W36" s="981"/>
      <c r="X36" s="369"/>
      <c r="Y36" s="981"/>
      <c r="Z36" s="369"/>
      <c r="AA36" s="981"/>
      <c r="AB36" s="369"/>
      <c r="AC36" s="981"/>
      <c r="AD36" s="369"/>
      <c r="AE36" s="981"/>
      <c r="AF36" s="369"/>
      <c r="AG36" s="981"/>
      <c r="AH36" s="369"/>
      <c r="AI36" s="981"/>
      <c r="AJ36" s="369"/>
      <c r="AK36" s="981">
        <v>0.5</v>
      </c>
      <c r="AL36" s="369">
        <f>D36/2</f>
        <v>111078.54</v>
      </c>
      <c r="AM36" s="981">
        <v>0.5</v>
      </c>
      <c r="AN36" s="369">
        <f>D36/2</f>
        <v>111078.54</v>
      </c>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88"/>
      <c r="CK36" s="88"/>
      <c r="CL36" s="88"/>
      <c r="CM36" s="88"/>
      <c r="CN36" s="88"/>
      <c r="CO36" s="88"/>
      <c r="CP36" s="88"/>
      <c r="CQ36" s="88"/>
      <c r="CR36" s="88"/>
      <c r="CS36" s="88"/>
      <c r="CT36" s="88"/>
      <c r="CU36" s="88"/>
      <c r="CV36" s="88"/>
      <c r="CW36" s="88"/>
      <c r="CX36" s="88"/>
      <c r="CY36" s="88"/>
      <c r="CZ36" s="88"/>
      <c r="DA36" s="88"/>
      <c r="DB36" s="88"/>
      <c r="DC36" s="88"/>
      <c r="DD36" s="88"/>
      <c r="DE36" s="88"/>
      <c r="DF36" s="88"/>
      <c r="DG36" s="88"/>
      <c r="DH36" s="88"/>
      <c r="DI36" s="88"/>
      <c r="DJ36" s="88"/>
      <c r="DK36" s="88"/>
      <c r="DL36" s="88"/>
      <c r="DM36" s="88"/>
      <c r="DN36" s="88"/>
      <c r="DO36" s="88"/>
      <c r="DP36" s="88"/>
      <c r="DQ36" s="88"/>
      <c r="DR36" s="88"/>
      <c r="DS36" s="88"/>
      <c r="DT36" s="88"/>
      <c r="DU36" s="88"/>
      <c r="DV36" s="88"/>
      <c r="DW36" s="88"/>
      <c r="DX36" s="88"/>
      <c r="DY36" s="88"/>
      <c r="DZ36" s="88"/>
      <c r="EA36" s="88"/>
      <c r="EB36" s="88"/>
      <c r="EC36" s="88"/>
      <c r="ED36" s="88"/>
      <c r="EE36" s="88"/>
      <c r="EF36" s="88"/>
      <c r="EG36" s="88"/>
      <c r="EH36" s="88"/>
      <c r="EI36" s="88"/>
      <c r="EJ36" s="88"/>
      <c r="EK36" s="88"/>
      <c r="EL36" s="88"/>
      <c r="EM36" s="88"/>
      <c r="EN36" s="88"/>
      <c r="EO36" s="88"/>
      <c r="EP36" s="88"/>
      <c r="EQ36" s="88"/>
      <c r="ER36" s="88"/>
      <c r="ES36" s="88"/>
      <c r="ET36" s="88"/>
      <c r="EU36" s="88"/>
      <c r="EV36" s="88"/>
      <c r="EW36" s="88"/>
      <c r="EX36" s="88"/>
      <c r="EY36" s="88"/>
      <c r="EZ36" s="88"/>
      <c r="FA36" s="88"/>
      <c r="FB36" s="88"/>
      <c r="FC36" s="88"/>
      <c r="FD36" s="88"/>
      <c r="FE36" s="88"/>
      <c r="FF36" s="88"/>
      <c r="FG36" s="88"/>
      <c r="FH36" s="88"/>
      <c r="FI36" s="88"/>
      <c r="FJ36" s="88"/>
      <c r="FK36" s="88"/>
      <c r="FL36" s="88"/>
      <c r="FM36" s="88"/>
      <c r="FN36" s="88"/>
      <c r="FO36" s="88"/>
      <c r="FP36" s="88"/>
      <c r="FQ36" s="88"/>
      <c r="FR36" s="88"/>
      <c r="FS36" s="88"/>
      <c r="FT36" s="88"/>
      <c r="FU36" s="88"/>
      <c r="FV36" s="88"/>
      <c r="FW36" s="88"/>
      <c r="FX36" s="88"/>
      <c r="FY36" s="88"/>
      <c r="FZ36" s="88"/>
      <c r="GA36" s="88"/>
      <c r="GB36" s="88"/>
      <c r="GC36" s="88"/>
      <c r="GD36" s="88"/>
      <c r="GE36" s="88"/>
      <c r="GF36" s="88"/>
      <c r="GG36" s="88"/>
      <c r="GH36" s="88"/>
      <c r="GI36" s="88"/>
      <c r="GJ36" s="88"/>
      <c r="GK36" s="88"/>
      <c r="GL36" s="88"/>
      <c r="GM36" s="88"/>
      <c r="GN36" s="88"/>
      <c r="GO36" s="88"/>
      <c r="GP36" s="88"/>
      <c r="GQ36" s="88"/>
      <c r="GR36" s="88"/>
      <c r="GS36" s="88"/>
      <c r="GT36" s="88"/>
      <c r="GU36" s="88"/>
      <c r="GV36" s="88"/>
      <c r="GW36" s="88"/>
      <c r="GX36" s="88"/>
      <c r="GY36" s="88"/>
      <c r="GZ36" s="88"/>
      <c r="HA36" s="88"/>
      <c r="HB36" s="88"/>
      <c r="HC36" s="88"/>
      <c r="HD36" s="88"/>
      <c r="HE36" s="88"/>
      <c r="HF36" s="88"/>
      <c r="HG36" s="88"/>
      <c r="HH36" s="88"/>
      <c r="HI36" s="88"/>
      <c r="HJ36" s="88"/>
      <c r="HK36" s="88"/>
      <c r="HL36" s="88"/>
      <c r="HM36" s="88"/>
      <c r="HN36" s="88"/>
      <c r="HO36" s="88"/>
      <c r="HP36" s="88"/>
      <c r="HQ36" s="88"/>
      <c r="HR36" s="88"/>
      <c r="HS36" s="88"/>
      <c r="HT36" s="88"/>
      <c r="HU36" s="88"/>
      <c r="HV36" s="88"/>
      <c r="HW36" s="88"/>
      <c r="HX36" s="88"/>
      <c r="HY36" s="88"/>
      <c r="HZ36" s="88"/>
      <c r="IA36" s="88"/>
      <c r="IB36" s="88"/>
      <c r="IC36" s="88"/>
      <c r="ID36" s="88"/>
      <c r="IE36" s="88"/>
      <c r="IF36" s="88"/>
      <c r="IG36" s="88"/>
      <c r="IH36" s="88"/>
      <c r="II36" s="88"/>
      <c r="IJ36" s="88"/>
      <c r="IK36" s="88"/>
      <c r="IL36" s="88"/>
      <c r="IM36" s="88"/>
      <c r="IN36" s="88"/>
      <c r="IO36" s="88"/>
      <c r="IP36" s="88"/>
      <c r="IQ36" s="88"/>
      <c r="IR36" s="88"/>
      <c r="IS36" s="88"/>
      <c r="IT36" s="88"/>
      <c r="IU36" s="88"/>
      <c r="IV36" s="88"/>
      <c r="IW36" s="88"/>
      <c r="IX36" s="88"/>
      <c r="IY36" s="88"/>
      <c r="IZ36" s="88"/>
      <c r="JA36" s="88"/>
      <c r="JB36" s="88"/>
    </row>
    <row r="37" spans="1:262">
      <c r="A37" s="1596"/>
      <c r="B37" s="1612"/>
      <c r="C37" s="1590"/>
      <c r="D37" s="1602"/>
      <c r="E37" s="980"/>
      <c r="F37" s="369"/>
      <c r="G37" s="373"/>
      <c r="H37" s="369"/>
      <c r="I37" s="981"/>
      <c r="J37" s="369"/>
      <c r="K37" s="981"/>
      <c r="L37" s="369"/>
      <c r="M37" s="981"/>
      <c r="N37" s="369"/>
      <c r="O37" s="981"/>
      <c r="P37" s="369"/>
      <c r="Q37" s="981"/>
      <c r="R37" s="369"/>
      <c r="S37" s="981"/>
      <c r="T37" s="369"/>
      <c r="U37" s="981"/>
      <c r="V37" s="369"/>
      <c r="W37" s="981"/>
      <c r="X37" s="369"/>
      <c r="Y37" s="981"/>
      <c r="Z37" s="369"/>
      <c r="AA37" s="981"/>
      <c r="AB37" s="369"/>
      <c r="AC37" s="981"/>
      <c r="AD37" s="369"/>
      <c r="AE37" s="981"/>
      <c r="AF37" s="369"/>
      <c r="AG37" s="981"/>
      <c r="AH37" s="369"/>
      <c r="AI37" s="981"/>
      <c r="AJ37" s="369"/>
      <c r="AK37" s="1613"/>
      <c r="AL37" s="1614"/>
      <c r="AM37" s="1614"/>
      <c r="AN37" s="1615"/>
      <c r="AO37" s="88"/>
      <c r="AP37" s="88"/>
      <c r="AQ37" s="88"/>
      <c r="AR37" s="88"/>
      <c r="AS37" s="88"/>
      <c r="AT37" s="88"/>
      <c r="AU37" s="88"/>
      <c r="AV37" s="88"/>
      <c r="AW37" s="88"/>
      <c r="AX37" s="88"/>
      <c r="AY37" s="88"/>
      <c r="AZ37" s="88"/>
      <c r="BA37" s="88"/>
      <c r="BB37" s="88"/>
      <c r="BC37" s="88"/>
      <c r="BD37" s="88"/>
      <c r="BE37" s="88"/>
      <c r="BF37" s="88"/>
      <c r="BG37" s="88"/>
      <c r="BH37" s="88"/>
      <c r="BI37" s="88"/>
      <c r="BJ37" s="88"/>
      <c r="BK37" s="88"/>
      <c r="BL37" s="88"/>
      <c r="BM37" s="88"/>
      <c r="BN37" s="88"/>
      <c r="BO37" s="88"/>
      <c r="BP37" s="88"/>
      <c r="BQ37" s="88"/>
      <c r="BR37" s="88"/>
      <c r="BS37" s="88"/>
      <c r="BT37" s="88"/>
      <c r="BU37" s="88"/>
      <c r="BV37" s="88"/>
      <c r="BW37" s="88"/>
      <c r="BX37" s="88"/>
      <c r="BY37" s="88"/>
      <c r="BZ37" s="88"/>
      <c r="CA37" s="88"/>
      <c r="CB37" s="88"/>
      <c r="CC37" s="88"/>
      <c r="CD37" s="88"/>
      <c r="CE37" s="88"/>
      <c r="CF37" s="88"/>
      <c r="CG37" s="88"/>
      <c r="CH37" s="88"/>
      <c r="CI37" s="88"/>
      <c r="CJ37" s="88"/>
      <c r="CK37" s="88"/>
      <c r="CL37" s="88"/>
      <c r="CM37" s="88"/>
      <c r="CN37" s="88"/>
      <c r="CO37" s="88"/>
      <c r="CP37" s="88"/>
      <c r="CQ37" s="88"/>
      <c r="CR37" s="88"/>
      <c r="CS37" s="88"/>
      <c r="CT37" s="88"/>
      <c r="CU37" s="88"/>
      <c r="CV37" s="88"/>
      <c r="CW37" s="88"/>
      <c r="CX37" s="88"/>
      <c r="CY37" s="88"/>
      <c r="CZ37" s="88"/>
      <c r="DA37" s="88"/>
      <c r="DB37" s="88"/>
      <c r="DC37" s="88"/>
      <c r="DD37" s="88"/>
      <c r="DE37" s="88"/>
      <c r="DF37" s="88"/>
      <c r="DG37" s="88"/>
      <c r="DH37" s="88"/>
      <c r="DI37" s="88"/>
      <c r="DJ37" s="88"/>
      <c r="DK37" s="88"/>
      <c r="DL37" s="88"/>
      <c r="DM37" s="88"/>
      <c r="DN37" s="88"/>
      <c r="DO37" s="88"/>
      <c r="DP37" s="88"/>
      <c r="DQ37" s="88"/>
      <c r="DR37" s="88"/>
      <c r="DS37" s="88"/>
      <c r="DT37" s="88"/>
      <c r="DU37" s="88"/>
      <c r="DV37" s="88"/>
      <c r="DW37" s="88"/>
      <c r="DX37" s="88"/>
      <c r="DY37" s="88"/>
      <c r="DZ37" s="88"/>
      <c r="EA37" s="88"/>
      <c r="EB37" s="88"/>
      <c r="EC37" s="88"/>
      <c r="ED37" s="88"/>
      <c r="EE37" s="88"/>
      <c r="EF37" s="88"/>
      <c r="EG37" s="88"/>
      <c r="EH37" s="88"/>
      <c r="EI37" s="88"/>
      <c r="EJ37" s="88"/>
      <c r="EK37" s="88"/>
      <c r="EL37" s="88"/>
      <c r="EM37" s="88"/>
      <c r="EN37" s="88"/>
      <c r="EO37" s="88"/>
      <c r="EP37" s="88"/>
      <c r="EQ37" s="88"/>
      <c r="ER37" s="88"/>
      <c r="ES37" s="88"/>
      <c r="ET37" s="88"/>
      <c r="EU37" s="88"/>
      <c r="EV37" s="88"/>
      <c r="EW37" s="88"/>
      <c r="EX37" s="88"/>
      <c r="EY37" s="88"/>
      <c r="EZ37" s="88"/>
      <c r="FA37" s="88"/>
      <c r="FB37" s="88"/>
      <c r="FC37" s="88"/>
      <c r="FD37" s="88"/>
      <c r="FE37" s="88"/>
      <c r="FF37" s="88"/>
      <c r="FG37" s="88"/>
      <c r="FH37" s="88"/>
      <c r="FI37" s="88"/>
      <c r="FJ37" s="88"/>
      <c r="FK37" s="88"/>
      <c r="FL37" s="88"/>
      <c r="FM37" s="88"/>
      <c r="FN37" s="88"/>
      <c r="FO37" s="88"/>
      <c r="FP37" s="88"/>
      <c r="FQ37" s="88"/>
      <c r="FR37" s="88"/>
      <c r="FS37" s="88"/>
      <c r="FT37" s="88"/>
      <c r="FU37" s="88"/>
      <c r="FV37" s="88"/>
      <c r="FW37" s="88"/>
      <c r="FX37" s="88"/>
      <c r="FY37" s="88"/>
      <c r="FZ37" s="88"/>
      <c r="GA37" s="88"/>
      <c r="GB37" s="88"/>
      <c r="GC37" s="88"/>
      <c r="GD37" s="88"/>
      <c r="GE37" s="88"/>
      <c r="GF37" s="88"/>
      <c r="GG37" s="88"/>
      <c r="GH37" s="88"/>
      <c r="GI37" s="88"/>
      <c r="GJ37" s="88"/>
      <c r="GK37" s="88"/>
      <c r="GL37" s="88"/>
      <c r="GM37" s="88"/>
      <c r="GN37" s="88"/>
      <c r="GO37" s="88"/>
      <c r="GP37" s="88"/>
      <c r="GQ37" s="88"/>
      <c r="GR37" s="88"/>
      <c r="GS37" s="88"/>
      <c r="GT37" s="88"/>
      <c r="GU37" s="88"/>
      <c r="GV37" s="88"/>
      <c r="GW37" s="88"/>
      <c r="GX37" s="88"/>
      <c r="GY37" s="88"/>
      <c r="GZ37" s="88"/>
      <c r="HA37" s="88"/>
      <c r="HB37" s="88"/>
      <c r="HC37" s="88"/>
      <c r="HD37" s="88"/>
      <c r="HE37" s="88"/>
      <c r="HF37" s="88"/>
      <c r="HG37" s="88"/>
      <c r="HH37" s="88"/>
      <c r="HI37" s="88"/>
      <c r="HJ37" s="88"/>
      <c r="HK37" s="88"/>
      <c r="HL37" s="88"/>
      <c r="HM37" s="88"/>
      <c r="HN37" s="88"/>
      <c r="HO37" s="88"/>
      <c r="HP37" s="88"/>
      <c r="HQ37" s="88"/>
      <c r="HR37" s="88"/>
      <c r="HS37" s="88"/>
      <c r="HT37" s="88"/>
      <c r="HU37" s="88"/>
      <c r="HV37" s="88"/>
      <c r="HW37" s="88"/>
      <c r="HX37" s="88"/>
      <c r="HY37" s="88"/>
      <c r="HZ37" s="88"/>
      <c r="IA37" s="88"/>
      <c r="IB37" s="88"/>
      <c r="IC37" s="88"/>
      <c r="ID37" s="88"/>
      <c r="IE37" s="88"/>
      <c r="IF37" s="88"/>
      <c r="IG37" s="88"/>
      <c r="IH37" s="88"/>
      <c r="II37" s="88"/>
      <c r="IJ37" s="88"/>
      <c r="IK37" s="88"/>
      <c r="IL37" s="88"/>
      <c r="IM37" s="88"/>
      <c r="IN37" s="88"/>
      <c r="IO37" s="88"/>
      <c r="IP37" s="88"/>
      <c r="IQ37" s="88"/>
      <c r="IR37" s="88"/>
      <c r="IS37" s="88"/>
      <c r="IT37" s="88"/>
      <c r="IU37" s="88"/>
      <c r="IV37" s="88"/>
      <c r="IW37" s="88"/>
      <c r="IX37" s="88"/>
      <c r="IY37" s="88"/>
      <c r="IZ37" s="88"/>
      <c r="JA37" s="88"/>
      <c r="JB37" s="88"/>
    </row>
    <row r="38" spans="1:262">
      <c r="A38" s="1595">
        <v>13</v>
      </c>
      <c r="B38" s="1597" t="s">
        <v>3483</v>
      </c>
      <c r="C38" s="1599">
        <f>D38/$D$40</f>
        <v>0</v>
      </c>
      <c r="D38" s="1601"/>
      <c r="E38" s="980"/>
      <c r="F38" s="369"/>
      <c r="G38" s="373"/>
      <c r="H38" s="369"/>
      <c r="I38" s="981"/>
      <c r="J38" s="369"/>
      <c r="K38" s="981"/>
      <c r="L38" s="369"/>
      <c r="M38" s="981"/>
      <c r="N38" s="369"/>
      <c r="O38" s="981"/>
      <c r="P38" s="369"/>
      <c r="Q38" s="981"/>
      <c r="R38" s="369"/>
      <c r="S38" s="981"/>
      <c r="T38" s="369"/>
      <c r="U38" s="981"/>
      <c r="V38" s="369"/>
      <c r="W38" s="981"/>
      <c r="X38" s="369"/>
      <c r="Y38" s="981"/>
      <c r="Z38" s="369"/>
      <c r="AA38" s="981"/>
      <c r="AB38" s="369"/>
      <c r="AC38" s="981"/>
      <c r="AD38" s="369"/>
      <c r="AE38" s="981"/>
      <c r="AF38" s="369"/>
      <c r="AG38" s="981"/>
      <c r="AH38" s="369"/>
      <c r="AI38" s="981"/>
      <c r="AJ38" s="369"/>
      <c r="AK38" s="981"/>
      <c r="AL38" s="369"/>
      <c r="AM38" s="981">
        <v>1</v>
      </c>
      <c r="AN38" s="369">
        <f>D38</f>
        <v>0</v>
      </c>
      <c r="AO38" s="88"/>
      <c r="AP38" s="88"/>
      <c r="AQ38" s="88"/>
      <c r="AR38" s="88"/>
      <c r="AS38" s="88"/>
      <c r="AT38" s="88"/>
      <c r="AU38" s="88"/>
      <c r="AV38" s="88"/>
      <c r="AW38" s="88"/>
      <c r="AX38" s="88"/>
      <c r="AY38" s="88"/>
      <c r="AZ38" s="88"/>
      <c r="BA38" s="88"/>
      <c r="BB38" s="88"/>
      <c r="BC38" s="88"/>
      <c r="BD38" s="88"/>
      <c r="BE38" s="88"/>
      <c r="BF38" s="88"/>
      <c r="BG38" s="88"/>
      <c r="BH38" s="88"/>
      <c r="BI38" s="88"/>
      <c r="BJ38" s="88"/>
      <c r="BK38" s="88"/>
      <c r="BL38" s="88"/>
      <c r="BM38" s="88"/>
      <c r="BN38" s="88"/>
      <c r="BO38" s="88"/>
      <c r="BP38" s="88"/>
      <c r="BQ38" s="88"/>
      <c r="BR38" s="88"/>
      <c r="BS38" s="88"/>
      <c r="BT38" s="88"/>
      <c r="BU38" s="88"/>
      <c r="BV38" s="88"/>
      <c r="BW38" s="88"/>
      <c r="BX38" s="88"/>
      <c r="BY38" s="88"/>
      <c r="BZ38" s="88"/>
      <c r="CA38" s="88"/>
      <c r="CB38" s="88"/>
      <c r="CC38" s="88"/>
      <c r="CD38" s="88"/>
      <c r="CE38" s="88"/>
      <c r="CF38" s="88"/>
      <c r="CG38" s="88"/>
      <c r="CH38" s="88"/>
      <c r="CI38" s="88"/>
      <c r="CJ38" s="88"/>
      <c r="CK38" s="88"/>
      <c r="CL38" s="88"/>
      <c r="CM38" s="88"/>
      <c r="CN38" s="88"/>
      <c r="CO38" s="88"/>
      <c r="CP38" s="88"/>
      <c r="CQ38" s="88"/>
      <c r="CR38" s="88"/>
      <c r="CS38" s="88"/>
      <c r="CT38" s="88"/>
      <c r="CU38" s="88"/>
      <c r="CV38" s="88"/>
      <c r="CW38" s="88"/>
      <c r="CX38" s="88"/>
      <c r="CY38" s="88"/>
      <c r="CZ38" s="88"/>
      <c r="DA38" s="88"/>
      <c r="DB38" s="88"/>
      <c r="DC38" s="88"/>
      <c r="DD38" s="88"/>
      <c r="DE38" s="88"/>
      <c r="DF38" s="88"/>
      <c r="DG38" s="88"/>
      <c r="DH38" s="88"/>
      <c r="DI38" s="88"/>
      <c r="DJ38" s="88"/>
      <c r="DK38" s="88"/>
      <c r="DL38" s="88"/>
      <c r="DM38" s="88"/>
      <c r="DN38" s="88"/>
      <c r="DO38" s="88"/>
      <c r="DP38" s="88"/>
      <c r="DQ38" s="88"/>
      <c r="DR38" s="88"/>
      <c r="DS38" s="88"/>
      <c r="DT38" s="88"/>
      <c r="DU38" s="88"/>
      <c r="DV38" s="88"/>
      <c r="DW38" s="88"/>
      <c r="DX38" s="88"/>
      <c r="DY38" s="88"/>
      <c r="DZ38" s="88"/>
      <c r="EA38" s="88"/>
      <c r="EB38" s="88"/>
      <c r="EC38" s="88"/>
      <c r="ED38" s="88"/>
      <c r="EE38" s="88"/>
      <c r="EF38" s="88"/>
      <c r="EG38" s="88"/>
      <c r="EH38" s="88"/>
      <c r="EI38" s="88"/>
      <c r="EJ38" s="88"/>
      <c r="EK38" s="88"/>
      <c r="EL38" s="88"/>
      <c r="EM38" s="88"/>
      <c r="EN38" s="88"/>
      <c r="EO38" s="88"/>
      <c r="EP38" s="88"/>
      <c r="EQ38" s="88"/>
      <c r="ER38" s="88"/>
      <c r="ES38" s="88"/>
      <c r="ET38" s="88"/>
      <c r="EU38" s="88"/>
      <c r="EV38" s="88"/>
      <c r="EW38" s="88"/>
      <c r="EX38" s="88"/>
      <c r="EY38" s="88"/>
      <c r="EZ38" s="88"/>
      <c r="FA38" s="88"/>
      <c r="FB38" s="88"/>
      <c r="FC38" s="88"/>
      <c r="FD38" s="88"/>
      <c r="FE38" s="88"/>
      <c r="FF38" s="88"/>
      <c r="FG38" s="88"/>
      <c r="FH38" s="88"/>
      <c r="FI38" s="88"/>
      <c r="FJ38" s="88"/>
      <c r="FK38" s="88"/>
      <c r="FL38" s="88"/>
      <c r="FM38" s="88"/>
      <c r="FN38" s="88"/>
      <c r="FO38" s="88"/>
      <c r="FP38" s="88"/>
      <c r="FQ38" s="88"/>
      <c r="FR38" s="88"/>
      <c r="FS38" s="88"/>
      <c r="FT38" s="88"/>
      <c r="FU38" s="88"/>
      <c r="FV38" s="88"/>
      <c r="FW38" s="88"/>
      <c r="FX38" s="88"/>
      <c r="FY38" s="88"/>
      <c r="FZ38" s="88"/>
      <c r="GA38" s="88"/>
      <c r="GB38" s="88"/>
      <c r="GC38" s="88"/>
      <c r="GD38" s="88"/>
      <c r="GE38" s="88"/>
      <c r="GF38" s="88"/>
      <c r="GG38" s="88"/>
      <c r="GH38" s="88"/>
      <c r="GI38" s="88"/>
      <c r="GJ38" s="88"/>
      <c r="GK38" s="88"/>
      <c r="GL38" s="88"/>
      <c r="GM38" s="88"/>
      <c r="GN38" s="88"/>
      <c r="GO38" s="88"/>
      <c r="GP38" s="88"/>
      <c r="GQ38" s="88"/>
      <c r="GR38" s="88"/>
      <c r="GS38" s="88"/>
      <c r="GT38" s="88"/>
      <c r="GU38" s="88"/>
      <c r="GV38" s="88"/>
      <c r="GW38" s="88"/>
      <c r="GX38" s="88"/>
      <c r="GY38" s="88"/>
      <c r="GZ38" s="88"/>
      <c r="HA38" s="88"/>
      <c r="HB38" s="88"/>
      <c r="HC38" s="88"/>
      <c r="HD38" s="88"/>
      <c r="HE38" s="88"/>
      <c r="HF38" s="88"/>
      <c r="HG38" s="88"/>
      <c r="HH38" s="88"/>
      <c r="HI38" s="88"/>
      <c r="HJ38" s="88"/>
      <c r="HK38" s="88"/>
      <c r="HL38" s="88"/>
      <c r="HM38" s="88"/>
      <c r="HN38" s="88"/>
      <c r="HO38" s="88"/>
      <c r="HP38" s="88"/>
      <c r="HQ38" s="88"/>
      <c r="HR38" s="88"/>
      <c r="HS38" s="88"/>
      <c r="HT38" s="88"/>
      <c r="HU38" s="88"/>
      <c r="HV38" s="88"/>
      <c r="HW38" s="88"/>
      <c r="HX38" s="88"/>
      <c r="HY38" s="88"/>
      <c r="HZ38" s="88"/>
      <c r="IA38" s="88"/>
      <c r="IB38" s="88"/>
      <c r="IC38" s="88"/>
      <c r="ID38" s="88"/>
      <c r="IE38" s="88"/>
      <c r="IF38" s="88"/>
      <c r="IG38" s="88"/>
      <c r="IH38" s="88"/>
      <c r="II38" s="88"/>
      <c r="IJ38" s="88"/>
      <c r="IK38" s="88"/>
      <c r="IL38" s="88"/>
      <c r="IM38" s="88"/>
      <c r="IN38" s="88"/>
      <c r="IO38" s="88"/>
      <c r="IP38" s="88"/>
      <c r="IQ38" s="88"/>
      <c r="IR38" s="88"/>
      <c r="IS38" s="88"/>
      <c r="IT38" s="88"/>
      <c r="IU38" s="88"/>
      <c r="IV38" s="88"/>
      <c r="IW38" s="88"/>
      <c r="IX38" s="88"/>
      <c r="IY38" s="88"/>
      <c r="IZ38" s="88"/>
      <c r="JA38" s="88"/>
      <c r="JB38" s="88"/>
    </row>
    <row r="39" spans="1:262">
      <c r="A39" s="1596"/>
      <c r="B39" s="1598"/>
      <c r="C39" s="1600"/>
      <c r="D39" s="1602"/>
      <c r="E39" s="980"/>
      <c r="F39" s="369"/>
      <c r="G39" s="373"/>
      <c r="H39" s="369"/>
      <c r="I39" s="981"/>
      <c r="J39" s="369"/>
      <c r="K39" s="981"/>
      <c r="L39" s="369"/>
      <c r="M39" s="981"/>
      <c r="N39" s="369"/>
      <c r="O39" s="981"/>
      <c r="P39" s="369"/>
      <c r="Q39" s="981"/>
      <c r="R39" s="369"/>
      <c r="S39" s="981"/>
      <c r="T39" s="369"/>
      <c r="U39" s="981"/>
      <c r="V39" s="369"/>
      <c r="W39" s="981"/>
      <c r="X39" s="369"/>
      <c r="Y39" s="981"/>
      <c r="Z39" s="369"/>
      <c r="AA39" s="981"/>
      <c r="AB39" s="369"/>
      <c r="AC39" s="981"/>
      <c r="AD39" s="369"/>
      <c r="AE39" s="981"/>
      <c r="AF39" s="369"/>
      <c r="AG39" s="981"/>
      <c r="AH39" s="369"/>
      <c r="AI39" s="981"/>
      <c r="AJ39" s="369"/>
      <c r="AK39" s="981"/>
      <c r="AL39" s="369"/>
      <c r="AM39" s="977"/>
      <c r="AN39" s="371"/>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8"/>
      <c r="BM39" s="88"/>
      <c r="BN39" s="88"/>
      <c r="BO39" s="88"/>
      <c r="BP39" s="88"/>
      <c r="BQ39" s="88"/>
      <c r="BR39" s="88"/>
      <c r="BS39" s="88"/>
      <c r="BT39" s="88"/>
      <c r="BU39" s="88"/>
      <c r="BV39" s="88"/>
      <c r="BW39" s="88"/>
      <c r="BX39" s="88"/>
      <c r="BY39" s="88"/>
      <c r="BZ39" s="88"/>
      <c r="CA39" s="88"/>
      <c r="CB39" s="88"/>
      <c r="CC39" s="88"/>
      <c r="CD39" s="88"/>
      <c r="CE39" s="88"/>
      <c r="CF39" s="88"/>
      <c r="CG39" s="88"/>
      <c r="CH39" s="88"/>
      <c r="CI39" s="88"/>
      <c r="CJ39" s="88"/>
      <c r="CK39" s="88"/>
      <c r="CL39" s="88"/>
      <c r="CM39" s="88"/>
      <c r="CN39" s="88"/>
      <c r="CO39" s="88"/>
      <c r="CP39" s="88"/>
      <c r="CQ39" s="88"/>
      <c r="CR39" s="88"/>
      <c r="CS39" s="88"/>
      <c r="CT39" s="88"/>
      <c r="CU39" s="88"/>
      <c r="CV39" s="88"/>
      <c r="CW39" s="88"/>
      <c r="CX39" s="88"/>
      <c r="CY39" s="88"/>
      <c r="CZ39" s="88"/>
      <c r="DA39" s="88"/>
      <c r="DB39" s="88"/>
      <c r="DC39" s="88"/>
      <c r="DD39" s="88"/>
      <c r="DE39" s="88"/>
      <c r="DF39" s="88"/>
      <c r="DG39" s="88"/>
      <c r="DH39" s="88"/>
      <c r="DI39" s="88"/>
      <c r="DJ39" s="88"/>
      <c r="DK39" s="88"/>
      <c r="DL39" s="88"/>
      <c r="DM39" s="88"/>
      <c r="DN39" s="88"/>
      <c r="DO39" s="88"/>
      <c r="DP39" s="88"/>
      <c r="DQ39" s="88"/>
      <c r="DR39" s="88"/>
      <c r="DS39" s="88"/>
      <c r="DT39" s="88"/>
      <c r="DU39" s="88"/>
      <c r="DV39" s="88"/>
      <c r="DW39" s="88"/>
      <c r="DX39" s="88"/>
      <c r="DY39" s="88"/>
      <c r="DZ39" s="88"/>
      <c r="EA39" s="88"/>
      <c r="EB39" s="88"/>
      <c r="EC39" s="88"/>
      <c r="ED39" s="88"/>
      <c r="EE39" s="88"/>
      <c r="EF39" s="88"/>
      <c r="EG39" s="88"/>
      <c r="EH39" s="88"/>
      <c r="EI39" s="88"/>
      <c r="EJ39" s="88"/>
      <c r="EK39" s="88"/>
      <c r="EL39" s="88"/>
      <c r="EM39" s="88"/>
      <c r="EN39" s="88"/>
      <c r="EO39" s="88"/>
      <c r="EP39" s="88"/>
      <c r="EQ39" s="88"/>
      <c r="ER39" s="88"/>
      <c r="ES39" s="88"/>
      <c r="ET39" s="88"/>
      <c r="EU39" s="88"/>
      <c r="EV39" s="88"/>
      <c r="EW39" s="88"/>
      <c r="EX39" s="88"/>
      <c r="EY39" s="88"/>
      <c r="EZ39" s="88"/>
      <c r="FA39" s="88"/>
      <c r="FB39" s="88"/>
      <c r="FC39" s="88"/>
      <c r="FD39" s="88"/>
      <c r="FE39" s="88"/>
      <c r="FF39" s="88"/>
      <c r="FG39" s="88"/>
      <c r="FH39" s="88"/>
      <c r="FI39" s="88"/>
      <c r="FJ39" s="88"/>
      <c r="FK39" s="88"/>
      <c r="FL39" s="88"/>
      <c r="FM39" s="88"/>
      <c r="FN39" s="88"/>
      <c r="FO39" s="88"/>
      <c r="FP39" s="88"/>
      <c r="FQ39" s="88"/>
      <c r="FR39" s="88"/>
      <c r="FS39" s="88"/>
      <c r="FT39" s="88"/>
      <c r="FU39" s="88"/>
      <c r="FV39" s="88"/>
      <c r="FW39" s="88"/>
      <c r="FX39" s="88"/>
      <c r="FY39" s="88"/>
      <c r="FZ39" s="88"/>
      <c r="GA39" s="88"/>
      <c r="GB39" s="88"/>
      <c r="GC39" s="88"/>
      <c r="GD39" s="88"/>
      <c r="GE39" s="88"/>
      <c r="GF39" s="88"/>
      <c r="GG39" s="88"/>
      <c r="GH39" s="88"/>
      <c r="GI39" s="88"/>
      <c r="GJ39" s="88"/>
      <c r="GK39" s="88"/>
      <c r="GL39" s="88"/>
      <c r="GM39" s="88"/>
      <c r="GN39" s="88"/>
      <c r="GO39" s="88"/>
      <c r="GP39" s="88"/>
      <c r="GQ39" s="88"/>
      <c r="GR39" s="88"/>
      <c r="GS39" s="88"/>
      <c r="GT39" s="88"/>
      <c r="GU39" s="88"/>
      <c r="GV39" s="88"/>
      <c r="GW39" s="88"/>
      <c r="GX39" s="88"/>
      <c r="GY39" s="88"/>
      <c r="GZ39" s="88"/>
      <c r="HA39" s="88"/>
      <c r="HB39" s="88"/>
      <c r="HC39" s="88"/>
      <c r="HD39" s="88"/>
      <c r="HE39" s="88"/>
      <c r="HF39" s="88"/>
      <c r="HG39" s="88"/>
      <c r="HH39" s="88"/>
      <c r="HI39" s="88"/>
      <c r="HJ39" s="88"/>
      <c r="HK39" s="88"/>
      <c r="HL39" s="88"/>
      <c r="HM39" s="88"/>
      <c r="HN39" s="88"/>
      <c r="HO39" s="88"/>
      <c r="HP39" s="88"/>
      <c r="HQ39" s="88"/>
      <c r="HR39" s="88"/>
      <c r="HS39" s="88"/>
      <c r="HT39" s="88"/>
      <c r="HU39" s="88"/>
      <c r="HV39" s="88"/>
      <c r="HW39" s="88"/>
      <c r="HX39" s="88"/>
      <c r="HY39" s="88"/>
      <c r="HZ39" s="88"/>
      <c r="IA39" s="88"/>
      <c r="IB39" s="88"/>
      <c r="IC39" s="88"/>
      <c r="ID39" s="88"/>
      <c r="IE39" s="88"/>
      <c r="IF39" s="88"/>
      <c r="IG39" s="88"/>
      <c r="IH39" s="88"/>
      <c r="II39" s="88"/>
      <c r="IJ39" s="88"/>
      <c r="IK39" s="88"/>
      <c r="IL39" s="88"/>
      <c r="IM39" s="88"/>
      <c r="IN39" s="88"/>
      <c r="IO39" s="88"/>
      <c r="IP39" s="88"/>
      <c r="IQ39" s="88"/>
      <c r="IR39" s="88"/>
      <c r="IS39" s="88"/>
      <c r="IT39" s="88"/>
      <c r="IU39" s="88"/>
      <c r="IV39" s="88"/>
      <c r="IW39" s="88"/>
      <c r="IX39" s="88"/>
      <c r="IY39" s="88"/>
      <c r="IZ39" s="88"/>
      <c r="JA39" s="88"/>
      <c r="JB39" s="88"/>
    </row>
    <row r="40" spans="1:262" ht="18" customHeight="1">
      <c r="A40" s="1588" t="s">
        <v>21</v>
      </c>
      <c r="B40" s="364" t="s">
        <v>210</v>
      </c>
      <c r="C40" s="1590">
        <f>ROUND(SUM(C16:C39),2)</f>
        <v>1</v>
      </c>
      <c r="D40" s="1592">
        <f>D16+D18+D20+D22+D24+D26+D28+D30+D32+D34+D38+D36</f>
        <v>26964488.739999998</v>
      </c>
      <c r="E40" s="1268">
        <f>F40/$D$40</f>
        <v>1.8200000000000001E-2</v>
      </c>
      <c r="F40" s="1269">
        <f>ROUND(SUM(F16:F39),2)</f>
        <v>490449.52</v>
      </c>
      <c r="G40" s="1268">
        <f>H40/$D$40</f>
        <v>3.3700000000000001E-2</v>
      </c>
      <c r="H40" s="1269">
        <f>ROUND(SUM(H16:H39),2)</f>
        <v>907460.12</v>
      </c>
      <c r="I40" s="1268">
        <f>J40/$D$40</f>
        <v>4.6199999999999998E-2</v>
      </c>
      <c r="J40" s="1269">
        <f>ROUND(SUM(J16:J39),2)</f>
        <v>1245844.19</v>
      </c>
      <c r="K40" s="1268">
        <f>L40/$D$40</f>
        <v>4.65E-2</v>
      </c>
      <c r="L40" s="1269">
        <f>ROUND(SUM(L16:L39),2)</f>
        <v>1254553.6399999999</v>
      </c>
      <c r="M40" s="1268">
        <f>N40/$D$40</f>
        <v>4.65E-2</v>
      </c>
      <c r="N40" s="1269">
        <f>ROUND(SUM(N16:N38),2)</f>
        <v>1254553.6399999999</v>
      </c>
      <c r="O40" s="1268">
        <f>P40/$D$40</f>
        <v>5.1499999999999997E-2</v>
      </c>
      <c r="P40" s="1269">
        <f>ROUND(SUM(P16:P39),2)</f>
        <v>1389973.71</v>
      </c>
      <c r="Q40" s="1268">
        <f>R40/$D$40</f>
        <v>5.1499999999999997E-2</v>
      </c>
      <c r="R40" s="1269">
        <f>ROUND(SUM(R16:R39),2)</f>
        <v>1389973.71</v>
      </c>
      <c r="S40" s="1268">
        <f>T40/$D$40</f>
        <v>5.1499999999999997E-2</v>
      </c>
      <c r="T40" s="1269">
        <f>ROUND(SUM(T16:T39),2)</f>
        <v>1389973.71</v>
      </c>
      <c r="U40" s="1268">
        <f>V40/$D$40</f>
        <v>6.3899999999999998E-2</v>
      </c>
      <c r="V40" s="1269">
        <f>ROUND(SUM(V16:V39),2)</f>
        <v>1723582.17</v>
      </c>
      <c r="W40" s="1268">
        <f>X40/$D$40</f>
        <v>6.8900000000000003E-2</v>
      </c>
      <c r="X40" s="1269">
        <f>ROUND(SUM(X16:X39),2)</f>
        <v>1859002.25</v>
      </c>
      <c r="Y40" s="1268">
        <f>Z40/$D$40</f>
        <v>8.1500000000000003E-2</v>
      </c>
      <c r="Z40" s="1269">
        <f>ROUND(SUM(Z16:Z39),2)</f>
        <v>2197386.3199999998</v>
      </c>
      <c r="AA40" s="1268">
        <f>AB40/$D$40</f>
        <v>7.8399999999999997E-2</v>
      </c>
      <c r="AB40" s="1269">
        <f>ROUND(SUM(AB16:AB39),2)</f>
        <v>2113984.2000000002</v>
      </c>
      <c r="AC40" s="1268">
        <f>AD40/$D$40</f>
        <v>6.9099999999999995E-2</v>
      </c>
      <c r="AD40" s="1269">
        <f>ROUND(SUM(AD16:AD39),2)</f>
        <v>1863777.86</v>
      </c>
      <c r="AE40" s="1268">
        <f>AF40/$D$40</f>
        <v>6.88E-2</v>
      </c>
      <c r="AF40" s="1269">
        <f>ROUND(SUM(AF16:AF39),2)</f>
        <v>1855068.41</v>
      </c>
      <c r="AG40" s="1268">
        <f>AH40/$D$40</f>
        <v>5.62E-2</v>
      </c>
      <c r="AH40" s="1269">
        <f>ROUND(SUM(AH16:AH39),2)</f>
        <v>1516684.32</v>
      </c>
      <c r="AI40" s="1268">
        <f>AJ40/$D$40</f>
        <v>5.6399999999999999E-2</v>
      </c>
      <c r="AJ40" s="1269">
        <f>ROUND(SUM(AJ16:AJ39),2)</f>
        <v>1520301.39</v>
      </c>
      <c r="AK40" s="1268">
        <f>AL40/$D$40</f>
        <v>6.0499999999999998E-2</v>
      </c>
      <c r="AL40" s="1269">
        <f>ROUND(SUM(AL16:AL39),2)</f>
        <v>1631379.94</v>
      </c>
      <c r="AM40" s="1268">
        <f>AN40/$D$40</f>
        <v>5.0500000000000003E-2</v>
      </c>
      <c r="AN40" s="1269">
        <f>ROUND(SUM(AN16:AN39),2)</f>
        <v>1360539.64</v>
      </c>
      <c r="AO40" s="88"/>
      <c r="AP40" s="88"/>
      <c r="AQ40" s="88"/>
      <c r="AR40" s="88"/>
      <c r="AS40" s="88"/>
      <c r="AT40" s="88"/>
      <c r="AU40" s="88"/>
      <c r="AV40" s="88"/>
      <c r="AW40" s="88"/>
      <c r="AX40" s="88"/>
      <c r="AY40" s="88"/>
      <c r="AZ40" s="88"/>
      <c r="BA40" s="88"/>
      <c r="BB40" s="88"/>
      <c r="BC40" s="88"/>
      <c r="BD40" s="88"/>
      <c r="BE40" s="88"/>
      <c r="BF40" s="88"/>
      <c r="BG40" s="88"/>
      <c r="BH40" s="88"/>
      <c r="BI40" s="88"/>
      <c r="BJ40" s="88"/>
      <c r="BK40" s="88"/>
      <c r="BL40" s="88"/>
      <c r="BM40" s="88"/>
      <c r="BN40" s="88"/>
      <c r="BO40" s="88"/>
      <c r="BP40" s="88"/>
      <c r="BQ40" s="88"/>
      <c r="BR40" s="88"/>
      <c r="BS40" s="88"/>
      <c r="BT40" s="88"/>
      <c r="BU40" s="88"/>
      <c r="BV40" s="88"/>
      <c r="BW40" s="88"/>
      <c r="BX40" s="88"/>
      <c r="BY40" s="88"/>
      <c r="BZ40" s="88"/>
      <c r="CA40" s="88"/>
      <c r="CB40" s="88"/>
      <c r="CC40" s="88"/>
      <c r="CD40" s="88"/>
      <c r="CE40" s="88"/>
      <c r="CF40" s="88"/>
      <c r="CG40" s="88"/>
      <c r="CH40" s="88"/>
      <c r="CI40" s="88"/>
      <c r="CJ40" s="88"/>
      <c r="CK40" s="88"/>
      <c r="CL40" s="88"/>
      <c r="CM40" s="88"/>
      <c r="CN40" s="88"/>
      <c r="CO40" s="88"/>
      <c r="CP40" s="88"/>
      <c r="CQ40" s="88"/>
      <c r="CR40" s="88"/>
      <c r="CS40" s="88"/>
      <c r="CT40" s="88"/>
      <c r="CU40" s="88"/>
      <c r="CV40" s="88"/>
      <c r="CW40" s="88"/>
      <c r="CX40" s="88"/>
      <c r="CY40" s="88"/>
      <c r="CZ40" s="88"/>
      <c r="DA40" s="88"/>
      <c r="DB40" s="88"/>
      <c r="DC40" s="88"/>
      <c r="DD40" s="88"/>
      <c r="DE40" s="88"/>
      <c r="DF40" s="88"/>
      <c r="DG40" s="88"/>
      <c r="DH40" s="88"/>
      <c r="DI40" s="88"/>
      <c r="DJ40" s="88"/>
      <c r="DK40" s="88"/>
      <c r="DL40" s="88"/>
      <c r="DM40" s="88"/>
      <c r="DN40" s="88"/>
      <c r="DO40" s="88"/>
      <c r="DP40" s="88"/>
      <c r="DQ40" s="88"/>
      <c r="DR40" s="88"/>
      <c r="DS40" s="88"/>
      <c r="DT40" s="88"/>
      <c r="DU40" s="88"/>
      <c r="DV40" s="88"/>
      <c r="DW40" s="88"/>
      <c r="DX40" s="88"/>
      <c r="DY40" s="88"/>
      <c r="DZ40" s="88"/>
      <c r="EA40" s="88"/>
      <c r="EB40" s="88"/>
      <c r="EC40" s="88"/>
      <c r="ED40" s="88"/>
      <c r="EE40" s="88"/>
      <c r="EF40" s="88"/>
      <c r="EG40" s="88"/>
      <c r="EH40" s="88"/>
      <c r="EI40" s="88"/>
      <c r="EJ40" s="88"/>
      <c r="EK40" s="88"/>
      <c r="EL40" s="88"/>
      <c r="EM40" s="88"/>
      <c r="EN40" s="88"/>
      <c r="EO40" s="88"/>
      <c r="EP40" s="88"/>
      <c r="EQ40" s="88"/>
      <c r="ER40" s="88"/>
      <c r="ES40" s="88"/>
      <c r="ET40" s="88"/>
      <c r="EU40" s="88"/>
      <c r="EV40" s="88"/>
      <c r="EW40" s="88"/>
      <c r="EX40" s="88"/>
      <c r="EY40" s="88"/>
      <c r="EZ40" s="88"/>
      <c r="FA40" s="88"/>
      <c r="FB40" s="88"/>
      <c r="FC40" s="88"/>
      <c r="FD40" s="88"/>
      <c r="FE40" s="88"/>
      <c r="FF40" s="88"/>
      <c r="FG40" s="88"/>
      <c r="FH40" s="88"/>
      <c r="FI40" s="88"/>
      <c r="FJ40" s="88"/>
      <c r="FK40" s="88"/>
      <c r="FL40" s="88"/>
      <c r="FM40" s="88"/>
      <c r="FN40" s="88"/>
      <c r="FO40" s="88"/>
      <c r="FP40" s="88"/>
      <c r="FQ40" s="88"/>
      <c r="FR40" s="88"/>
      <c r="FS40" s="88"/>
      <c r="FT40" s="88"/>
      <c r="FU40" s="88"/>
      <c r="FV40" s="88"/>
      <c r="FW40" s="88"/>
      <c r="FX40" s="88"/>
      <c r="FY40" s="88"/>
      <c r="FZ40" s="88"/>
      <c r="GA40" s="88"/>
      <c r="GB40" s="88"/>
      <c r="GC40" s="88"/>
      <c r="GD40" s="88"/>
      <c r="GE40" s="88"/>
      <c r="GF40" s="88"/>
      <c r="GG40" s="88"/>
      <c r="GH40" s="88"/>
      <c r="GI40" s="88"/>
      <c r="GJ40" s="88"/>
      <c r="GK40" s="88"/>
      <c r="GL40" s="88"/>
      <c r="GM40" s="88"/>
      <c r="GN40" s="88"/>
      <c r="GO40" s="88"/>
      <c r="GP40" s="88"/>
      <c r="GQ40" s="88"/>
      <c r="GR40" s="88"/>
      <c r="GS40" s="88"/>
      <c r="GT40" s="88"/>
      <c r="GU40" s="88"/>
      <c r="GV40" s="88"/>
      <c r="GW40" s="88"/>
      <c r="GX40" s="88"/>
      <c r="GY40" s="88"/>
      <c r="GZ40" s="88"/>
      <c r="HA40" s="88"/>
      <c r="HB40" s="88"/>
      <c r="HC40" s="88"/>
      <c r="HD40" s="88"/>
      <c r="HE40" s="88"/>
      <c r="HF40" s="88"/>
      <c r="HG40" s="88"/>
      <c r="HH40" s="88"/>
      <c r="HI40" s="88"/>
      <c r="HJ40" s="88"/>
      <c r="HK40" s="88"/>
      <c r="HL40" s="88"/>
      <c r="HM40" s="88"/>
      <c r="HN40" s="88"/>
      <c r="HO40" s="88"/>
      <c r="HP40" s="88"/>
      <c r="HQ40" s="88"/>
      <c r="HR40" s="88"/>
      <c r="HS40" s="88"/>
      <c r="HT40" s="88"/>
      <c r="HU40" s="88"/>
      <c r="HV40" s="88"/>
      <c r="HW40" s="88"/>
      <c r="HX40" s="88"/>
      <c r="HY40" s="88"/>
      <c r="HZ40" s="88"/>
      <c r="IA40" s="88"/>
      <c r="IB40" s="88"/>
      <c r="IC40" s="88"/>
      <c r="ID40" s="88"/>
      <c r="IE40" s="88"/>
      <c r="IF40" s="88"/>
      <c r="IG40" s="88"/>
      <c r="IH40" s="88"/>
      <c r="II40" s="88"/>
      <c r="IJ40" s="88"/>
      <c r="IK40" s="88"/>
      <c r="IL40" s="88"/>
      <c r="IM40" s="88"/>
      <c r="IN40" s="88"/>
      <c r="IO40" s="88"/>
      <c r="IP40" s="88"/>
      <c r="IQ40" s="88"/>
      <c r="IR40" s="88"/>
      <c r="IS40" s="88"/>
      <c r="IT40" s="88"/>
      <c r="IU40" s="88"/>
      <c r="IV40" s="88"/>
      <c r="IW40" s="88"/>
      <c r="IX40" s="88"/>
      <c r="IY40" s="88"/>
      <c r="IZ40" s="88"/>
      <c r="JA40" s="88"/>
      <c r="JB40" s="88"/>
    </row>
    <row r="41" spans="1:262" ht="19.149999999999999" customHeight="1" thickBot="1">
      <c r="A41" s="1589"/>
      <c r="B41" s="379" t="s">
        <v>211</v>
      </c>
      <c r="C41" s="1591">
        <v>1</v>
      </c>
      <c r="D41" s="1593">
        <v>528609.18999999994</v>
      </c>
      <c r="E41" s="381">
        <f>F41/$D$40</f>
        <v>1.8200000000000001E-2</v>
      </c>
      <c r="F41" s="380">
        <f>F40</f>
        <v>490449.52</v>
      </c>
      <c r="G41" s="382">
        <f>H41/$D$40</f>
        <v>5.1799999999999999E-2</v>
      </c>
      <c r="H41" s="380">
        <f>F41+H40</f>
        <v>1397909.64</v>
      </c>
      <c r="I41" s="382">
        <f>J41/$D$40</f>
        <v>9.8000000000000004E-2</v>
      </c>
      <c r="J41" s="380">
        <f>H41+J40</f>
        <v>2643753.83</v>
      </c>
      <c r="K41" s="382">
        <f>L41/$D$40</f>
        <v>0.14460000000000001</v>
      </c>
      <c r="L41" s="380">
        <f>J41+L40</f>
        <v>3898307.47</v>
      </c>
      <c r="M41" s="382">
        <f>N41/$D$40</f>
        <v>0.19109999999999999</v>
      </c>
      <c r="N41" s="380">
        <f>L41+N40</f>
        <v>5152861.1100000003</v>
      </c>
      <c r="O41" s="382">
        <f>P41/$D$40</f>
        <v>0.24260000000000001</v>
      </c>
      <c r="P41" s="380">
        <f>N41+P40</f>
        <v>6542834.8200000003</v>
      </c>
      <c r="Q41" s="382">
        <f>R41/$D$40</f>
        <v>0.29420000000000002</v>
      </c>
      <c r="R41" s="380">
        <f>P41+R40</f>
        <v>7932808.5300000003</v>
      </c>
      <c r="S41" s="382">
        <f>T41/$D$40</f>
        <v>0.34570000000000001</v>
      </c>
      <c r="T41" s="380">
        <f>R41+T40</f>
        <v>9322782.2400000002</v>
      </c>
      <c r="U41" s="382">
        <f>V41/$D$40</f>
        <v>0.40970000000000001</v>
      </c>
      <c r="V41" s="380">
        <f>T41+V40</f>
        <v>11046364.41</v>
      </c>
      <c r="W41" s="382">
        <f>X41/$D$40</f>
        <v>0.47860000000000003</v>
      </c>
      <c r="X41" s="380">
        <f>V41+X40</f>
        <v>12905366.66</v>
      </c>
      <c r="Y41" s="382">
        <f>Z41/$D$40</f>
        <v>0.56010000000000004</v>
      </c>
      <c r="Z41" s="380">
        <f>X41+Z40</f>
        <v>15102752.98</v>
      </c>
      <c r="AA41" s="382">
        <f>AB41/$D$40</f>
        <v>0.63849999999999996</v>
      </c>
      <c r="AB41" s="380">
        <f>Z41+AB40</f>
        <v>17216737.18</v>
      </c>
      <c r="AC41" s="382">
        <f>AD41/$D$40</f>
        <v>0.70760000000000001</v>
      </c>
      <c r="AD41" s="380">
        <f>AB41+AD40</f>
        <v>19080515.039999999</v>
      </c>
      <c r="AE41" s="382">
        <f>AF41/$D$40</f>
        <v>0.77639999999999998</v>
      </c>
      <c r="AF41" s="380">
        <f>AD41+AF40</f>
        <v>20935583.449999999</v>
      </c>
      <c r="AG41" s="382">
        <f>AH41/$D$40</f>
        <v>0.8327</v>
      </c>
      <c r="AH41" s="380">
        <f>AF41+AH40</f>
        <v>22452267.77</v>
      </c>
      <c r="AI41" s="382">
        <f>AJ41/$D$40</f>
        <v>0.88900000000000001</v>
      </c>
      <c r="AJ41" s="380">
        <f>AH41+AJ40</f>
        <v>23972569.16</v>
      </c>
      <c r="AK41" s="382">
        <f>AL41/$D$40</f>
        <v>0.94950000000000001</v>
      </c>
      <c r="AL41" s="380">
        <f>AJ41+AL40</f>
        <v>25603949.100000001</v>
      </c>
      <c r="AM41" s="382">
        <f>ROUNDDOWN(AN41/$D$40,2)</f>
        <v>1</v>
      </c>
      <c r="AN41" s="380">
        <f>AL41+AN40</f>
        <v>26964488.739999998</v>
      </c>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8"/>
      <c r="BM41" s="88"/>
      <c r="BN41" s="88"/>
      <c r="BO41" s="88"/>
      <c r="BP41" s="88"/>
      <c r="BQ41" s="88"/>
      <c r="BR41" s="88"/>
      <c r="BS41" s="88"/>
      <c r="BT41" s="88"/>
      <c r="BU41" s="88"/>
      <c r="BV41" s="88"/>
      <c r="BW41" s="88"/>
      <c r="BX41" s="88"/>
      <c r="BY41" s="88"/>
      <c r="BZ41" s="88"/>
      <c r="CA41" s="88"/>
      <c r="CB41" s="88"/>
      <c r="CC41" s="88"/>
      <c r="CD41" s="88"/>
      <c r="CE41" s="88"/>
      <c r="CF41" s="88"/>
      <c r="CG41" s="88"/>
      <c r="CH41" s="88"/>
      <c r="CI41" s="88"/>
      <c r="CJ41" s="88"/>
      <c r="CK41" s="88"/>
      <c r="CL41" s="88"/>
      <c r="CM41" s="88"/>
      <c r="CN41" s="88"/>
      <c r="CO41" s="88"/>
      <c r="CP41" s="88"/>
      <c r="CQ41" s="88"/>
      <c r="CR41" s="88"/>
      <c r="CS41" s="88"/>
      <c r="CT41" s="88"/>
      <c r="CU41" s="88"/>
      <c r="CV41" s="88"/>
      <c r="CW41" s="88"/>
      <c r="CX41" s="88"/>
      <c r="CY41" s="88"/>
      <c r="CZ41" s="88"/>
      <c r="DA41" s="88"/>
      <c r="DB41" s="88"/>
      <c r="DC41" s="88"/>
      <c r="DD41" s="88"/>
      <c r="DE41" s="88"/>
      <c r="DF41" s="88"/>
      <c r="DG41" s="88"/>
      <c r="DH41" s="88"/>
      <c r="DI41" s="88"/>
      <c r="DJ41" s="88"/>
      <c r="DK41" s="88"/>
      <c r="DL41" s="88"/>
      <c r="DM41" s="88"/>
      <c r="DN41" s="88"/>
      <c r="DO41" s="88"/>
      <c r="DP41" s="88"/>
      <c r="DQ41" s="88"/>
      <c r="DR41" s="88"/>
      <c r="DS41" s="88"/>
      <c r="DT41" s="88"/>
      <c r="DU41" s="88"/>
      <c r="DV41" s="88"/>
      <c r="DW41" s="88"/>
      <c r="DX41" s="88"/>
      <c r="DY41" s="88"/>
      <c r="DZ41" s="88"/>
      <c r="EA41" s="88"/>
      <c r="EB41" s="88"/>
      <c r="EC41" s="88"/>
      <c r="ED41" s="88"/>
      <c r="EE41" s="88"/>
      <c r="EF41" s="88"/>
      <c r="EG41" s="88"/>
      <c r="EH41" s="88"/>
      <c r="EI41" s="88"/>
      <c r="EJ41" s="88"/>
      <c r="EK41" s="88"/>
      <c r="EL41" s="88"/>
      <c r="EM41" s="88"/>
      <c r="EN41" s="88"/>
      <c r="EO41" s="88"/>
      <c r="EP41" s="88"/>
      <c r="EQ41" s="88"/>
      <c r="ER41" s="88"/>
      <c r="ES41" s="88"/>
      <c r="ET41" s="88"/>
      <c r="EU41" s="88"/>
      <c r="EV41" s="88"/>
      <c r="EW41" s="88"/>
      <c r="EX41" s="88"/>
      <c r="EY41" s="88"/>
      <c r="EZ41" s="88"/>
      <c r="FA41" s="88"/>
      <c r="FB41" s="88"/>
      <c r="FC41" s="88"/>
      <c r="FD41" s="88"/>
      <c r="FE41" s="88"/>
      <c r="FF41" s="88"/>
      <c r="FG41" s="88"/>
      <c r="FH41" s="88"/>
      <c r="FI41" s="88"/>
      <c r="FJ41" s="88"/>
      <c r="FK41" s="88"/>
      <c r="FL41" s="88"/>
      <c r="FM41" s="88"/>
      <c r="FN41" s="88"/>
      <c r="FO41" s="88"/>
      <c r="FP41" s="88"/>
      <c r="FQ41" s="88"/>
      <c r="FR41" s="88"/>
      <c r="FS41" s="88"/>
      <c r="FT41" s="88"/>
      <c r="FU41" s="88"/>
      <c r="FV41" s="88"/>
      <c r="FW41" s="88"/>
      <c r="FX41" s="88"/>
      <c r="FY41" s="88"/>
      <c r="FZ41" s="88"/>
      <c r="GA41" s="88"/>
      <c r="GB41" s="88"/>
      <c r="GC41" s="88"/>
      <c r="GD41" s="88"/>
      <c r="GE41" s="88"/>
      <c r="GF41" s="88"/>
      <c r="GG41" s="88"/>
      <c r="GH41" s="88"/>
      <c r="GI41" s="88"/>
      <c r="GJ41" s="88"/>
      <c r="GK41" s="88"/>
      <c r="GL41" s="88"/>
      <c r="GM41" s="88"/>
      <c r="GN41" s="88"/>
      <c r="GO41" s="88"/>
      <c r="GP41" s="88"/>
      <c r="GQ41" s="88"/>
      <c r="GR41" s="88"/>
      <c r="GS41" s="88"/>
      <c r="GT41" s="88"/>
      <c r="GU41" s="88"/>
      <c r="GV41" s="88"/>
      <c r="GW41" s="88"/>
      <c r="GX41" s="88"/>
      <c r="GY41" s="88"/>
      <c r="GZ41" s="88"/>
      <c r="HA41" s="88"/>
      <c r="HB41" s="88"/>
      <c r="HC41" s="88"/>
      <c r="HD41" s="88"/>
      <c r="HE41" s="88"/>
      <c r="HF41" s="88"/>
      <c r="HG41" s="88"/>
      <c r="HH41" s="88"/>
      <c r="HI41" s="88"/>
      <c r="HJ41" s="88"/>
      <c r="HK41" s="88"/>
      <c r="HL41" s="88"/>
      <c r="HM41" s="88"/>
      <c r="HN41" s="88"/>
      <c r="HO41" s="88"/>
      <c r="HP41" s="88"/>
      <c r="HQ41" s="88"/>
      <c r="HR41" s="88"/>
      <c r="HS41" s="88"/>
      <c r="HT41" s="88"/>
      <c r="HU41" s="88"/>
      <c r="HV41" s="88"/>
      <c r="HW41" s="88"/>
      <c r="HX41" s="88"/>
      <c r="HY41" s="88"/>
      <c r="HZ41" s="88"/>
      <c r="IA41" s="88"/>
      <c r="IB41" s="88"/>
      <c r="IC41" s="88"/>
      <c r="ID41" s="88"/>
      <c r="IE41" s="88"/>
      <c r="IF41" s="88"/>
      <c r="IG41" s="88"/>
      <c r="IH41" s="88"/>
      <c r="II41" s="88"/>
      <c r="IJ41" s="88"/>
      <c r="IK41" s="88"/>
      <c r="IL41" s="88"/>
      <c r="IM41" s="88"/>
      <c r="IN41" s="88"/>
      <c r="IO41" s="88"/>
      <c r="IP41" s="88"/>
      <c r="IQ41" s="88"/>
      <c r="IR41" s="88"/>
      <c r="IS41" s="88"/>
      <c r="IT41" s="88"/>
      <c r="IU41" s="88"/>
      <c r="IV41" s="88"/>
      <c r="IW41" s="88"/>
      <c r="IX41" s="88"/>
      <c r="IY41" s="88"/>
      <c r="IZ41" s="88"/>
      <c r="JA41" s="88"/>
      <c r="JB41" s="88"/>
    </row>
    <row r="42" spans="1:262">
      <c r="AN42" s="1592"/>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8"/>
      <c r="BM42" s="88"/>
      <c r="BN42" s="88"/>
      <c r="BO42" s="88"/>
      <c r="BP42" s="88"/>
      <c r="BQ42" s="88"/>
      <c r="BR42" s="88"/>
      <c r="BS42" s="88"/>
      <c r="BT42" s="88"/>
      <c r="BU42" s="88"/>
      <c r="BV42" s="88"/>
      <c r="BW42" s="88"/>
      <c r="BX42" s="88"/>
      <c r="BY42" s="88"/>
      <c r="BZ42" s="88"/>
      <c r="CA42" s="88"/>
      <c r="CB42" s="88"/>
      <c r="CC42" s="88"/>
      <c r="CD42" s="88"/>
      <c r="CE42" s="88"/>
      <c r="CF42" s="88"/>
      <c r="CG42" s="88"/>
      <c r="CH42" s="88"/>
      <c r="CI42" s="88"/>
      <c r="CJ42" s="88"/>
      <c r="CK42" s="88"/>
      <c r="CL42" s="88"/>
      <c r="CM42" s="88"/>
      <c r="CN42" s="88"/>
      <c r="CO42" s="88"/>
      <c r="CP42" s="88"/>
      <c r="CQ42" s="88"/>
      <c r="CR42" s="88"/>
      <c r="CS42" s="88"/>
      <c r="CT42" s="88"/>
      <c r="CU42" s="88"/>
      <c r="CV42" s="88"/>
      <c r="CW42" s="88"/>
      <c r="CX42" s="88"/>
      <c r="CY42" s="88"/>
      <c r="CZ42" s="88"/>
      <c r="DA42" s="88"/>
      <c r="DB42" s="88"/>
      <c r="DC42" s="88"/>
      <c r="DD42" s="88"/>
      <c r="DE42" s="88"/>
      <c r="DF42" s="88"/>
      <c r="DG42" s="88"/>
      <c r="DH42" s="88"/>
      <c r="DI42" s="88"/>
      <c r="DJ42" s="88"/>
      <c r="DK42" s="88"/>
      <c r="DL42" s="88"/>
      <c r="DM42" s="88"/>
      <c r="DN42" s="88"/>
      <c r="DO42" s="88"/>
      <c r="DP42" s="88"/>
      <c r="DQ42" s="88"/>
      <c r="DR42" s="88"/>
      <c r="DS42" s="88"/>
      <c r="DT42" s="88"/>
      <c r="DU42" s="88"/>
      <c r="DV42" s="88"/>
      <c r="DW42" s="88"/>
      <c r="DX42" s="88"/>
      <c r="DY42" s="88"/>
      <c r="DZ42" s="88"/>
      <c r="EA42" s="88"/>
      <c r="EB42" s="88"/>
      <c r="EC42" s="88"/>
      <c r="ED42" s="88"/>
      <c r="EE42" s="88"/>
      <c r="EF42" s="88"/>
      <c r="EG42" s="88"/>
      <c r="EH42" s="88"/>
      <c r="EI42" s="88"/>
      <c r="EJ42" s="88"/>
      <c r="EK42" s="88"/>
      <c r="EL42" s="88"/>
      <c r="EM42" s="88"/>
      <c r="EN42" s="88"/>
      <c r="EO42" s="88"/>
      <c r="EP42" s="88"/>
      <c r="EQ42" s="88"/>
      <c r="ER42" s="88"/>
      <c r="ES42" s="88"/>
      <c r="ET42" s="88"/>
      <c r="EU42" s="88"/>
      <c r="EV42" s="88"/>
      <c r="EW42" s="88"/>
      <c r="EX42" s="88"/>
      <c r="EY42" s="88"/>
      <c r="EZ42" s="88"/>
      <c r="FA42" s="88"/>
      <c r="FB42" s="88"/>
      <c r="FC42" s="88"/>
      <c r="FD42" s="88"/>
      <c r="FE42" s="88"/>
      <c r="FF42" s="88"/>
      <c r="FG42" s="88"/>
      <c r="FH42" s="88"/>
      <c r="FI42" s="88"/>
      <c r="FJ42" s="88"/>
      <c r="FK42" s="88"/>
      <c r="FL42" s="88"/>
      <c r="FM42" s="88"/>
      <c r="FN42" s="88"/>
      <c r="FO42" s="88"/>
      <c r="FP42" s="88"/>
      <c r="FQ42" s="88"/>
      <c r="FR42" s="88"/>
      <c r="FS42" s="88"/>
      <c r="FT42" s="88"/>
      <c r="FU42" s="88"/>
      <c r="FV42" s="88"/>
      <c r="FW42" s="88"/>
      <c r="FX42" s="88"/>
      <c r="FY42" s="88"/>
      <c r="FZ42" s="88"/>
      <c r="GA42" s="88"/>
      <c r="GB42" s="88"/>
      <c r="GC42" s="88"/>
      <c r="GD42" s="88"/>
      <c r="GE42" s="88"/>
      <c r="GF42" s="88"/>
      <c r="GG42" s="88"/>
      <c r="GH42" s="88"/>
      <c r="GI42" s="88"/>
      <c r="GJ42" s="88"/>
      <c r="GK42" s="88"/>
      <c r="GL42" s="88"/>
      <c r="GM42" s="88"/>
      <c r="GN42" s="88"/>
      <c r="GO42" s="88"/>
      <c r="GP42" s="88"/>
      <c r="GQ42" s="88"/>
      <c r="GR42" s="88"/>
      <c r="GS42" s="88"/>
      <c r="GT42" s="88"/>
      <c r="GU42" s="88"/>
      <c r="GV42" s="88"/>
      <c r="GW42" s="88"/>
      <c r="GX42" s="88"/>
      <c r="GY42" s="88"/>
      <c r="GZ42" s="88"/>
      <c r="HA42" s="88"/>
      <c r="HB42" s="88"/>
      <c r="HC42" s="88"/>
      <c r="HD42" s="88"/>
      <c r="HE42" s="88"/>
      <c r="HF42" s="88"/>
      <c r="HG42" s="88"/>
      <c r="HH42" s="88"/>
      <c r="HI42" s="88"/>
      <c r="HJ42" s="88"/>
      <c r="HK42" s="88"/>
      <c r="HL42" s="88"/>
      <c r="HM42" s="88"/>
      <c r="HN42" s="88"/>
      <c r="HO42" s="88"/>
      <c r="HP42" s="88"/>
      <c r="HQ42" s="88"/>
      <c r="HR42" s="88"/>
      <c r="HS42" s="88"/>
      <c r="HT42" s="88"/>
      <c r="HU42" s="88"/>
      <c r="HV42" s="88"/>
      <c r="HW42" s="88"/>
      <c r="HX42" s="88"/>
      <c r="HY42" s="88"/>
      <c r="HZ42" s="88"/>
      <c r="IA42" s="88"/>
      <c r="IB42" s="88"/>
      <c r="IC42" s="88"/>
      <c r="ID42" s="88"/>
      <c r="IE42" s="88"/>
      <c r="IF42" s="88"/>
      <c r="IG42" s="88"/>
      <c r="IH42" s="88"/>
      <c r="II42" s="88"/>
      <c r="IJ42" s="88"/>
      <c r="IK42" s="88"/>
      <c r="IL42" s="88"/>
      <c r="IM42" s="88"/>
      <c r="IN42" s="88"/>
      <c r="IO42" s="88"/>
      <c r="IP42" s="88"/>
      <c r="IQ42" s="88"/>
      <c r="IR42" s="88"/>
      <c r="IS42" s="88"/>
      <c r="IT42" s="88"/>
      <c r="IU42" s="88"/>
      <c r="IV42" s="88"/>
      <c r="IW42" s="88"/>
      <c r="IX42" s="88"/>
      <c r="IY42" s="88"/>
      <c r="IZ42" s="88"/>
      <c r="JA42" s="88"/>
      <c r="JB42" s="88"/>
    </row>
    <row r="43" spans="1:262" ht="15" thickBot="1">
      <c r="AN43" s="1593"/>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8"/>
      <c r="BM43" s="88"/>
      <c r="BN43" s="88"/>
      <c r="BO43" s="88"/>
      <c r="BP43" s="88"/>
      <c r="BQ43" s="88"/>
      <c r="BR43" s="88"/>
      <c r="BS43" s="88"/>
      <c r="BT43" s="88"/>
      <c r="BU43" s="88"/>
      <c r="BV43" s="88"/>
      <c r="BW43" s="88"/>
      <c r="BX43" s="88"/>
      <c r="BY43" s="88"/>
      <c r="BZ43" s="88"/>
      <c r="CA43" s="88"/>
      <c r="CB43" s="88"/>
      <c r="CC43" s="88"/>
      <c r="CD43" s="88"/>
      <c r="CE43" s="88"/>
      <c r="CF43" s="88"/>
      <c r="CG43" s="88"/>
      <c r="CH43" s="88"/>
      <c r="CI43" s="88"/>
      <c r="CJ43" s="88"/>
      <c r="CK43" s="88"/>
      <c r="CL43" s="88"/>
      <c r="CM43" s="88"/>
      <c r="CN43" s="88"/>
      <c r="CO43" s="88"/>
      <c r="CP43" s="88"/>
      <c r="CQ43" s="88"/>
      <c r="CR43" s="88"/>
      <c r="CS43" s="88"/>
      <c r="CT43" s="88"/>
      <c r="CU43" s="88"/>
      <c r="CV43" s="88"/>
      <c r="CW43" s="88"/>
      <c r="CX43" s="88"/>
      <c r="CY43" s="88"/>
      <c r="CZ43" s="88"/>
      <c r="DA43" s="88"/>
      <c r="DB43" s="88"/>
      <c r="DC43" s="88"/>
      <c r="DD43" s="88"/>
      <c r="DE43" s="88"/>
      <c r="DF43" s="88"/>
      <c r="DG43" s="88"/>
      <c r="DH43" s="88"/>
      <c r="DI43" s="88"/>
      <c r="DJ43" s="88"/>
      <c r="DK43" s="88"/>
      <c r="DL43" s="88"/>
      <c r="DM43" s="88"/>
      <c r="DN43" s="88"/>
      <c r="DO43" s="88"/>
      <c r="DP43" s="88"/>
      <c r="DQ43" s="88"/>
      <c r="DR43" s="88"/>
      <c r="DS43" s="88"/>
      <c r="DT43" s="88"/>
      <c r="DU43" s="88"/>
      <c r="DV43" s="88"/>
      <c r="DW43" s="88"/>
      <c r="DX43" s="88"/>
      <c r="DY43" s="88"/>
      <c r="DZ43" s="88"/>
      <c r="EA43" s="88"/>
      <c r="EB43" s="88"/>
      <c r="EC43" s="88"/>
      <c r="ED43" s="88"/>
      <c r="EE43" s="88"/>
      <c r="EF43" s="88"/>
      <c r="EG43" s="88"/>
      <c r="EH43" s="88"/>
      <c r="EI43" s="88"/>
      <c r="EJ43" s="88"/>
      <c r="EK43" s="88"/>
      <c r="EL43" s="88"/>
      <c r="EM43" s="88"/>
      <c r="EN43" s="88"/>
      <c r="EO43" s="88"/>
      <c r="EP43" s="88"/>
      <c r="EQ43" s="88"/>
      <c r="ER43" s="88"/>
      <c r="ES43" s="88"/>
      <c r="ET43" s="88"/>
      <c r="EU43" s="88"/>
      <c r="EV43" s="88"/>
      <c r="EW43" s="88"/>
      <c r="EX43" s="88"/>
      <c r="EY43" s="88"/>
      <c r="EZ43" s="88"/>
      <c r="FA43" s="88"/>
      <c r="FB43" s="88"/>
      <c r="FC43" s="88"/>
      <c r="FD43" s="88"/>
      <c r="FE43" s="88"/>
      <c r="FF43" s="88"/>
      <c r="FG43" s="88"/>
      <c r="FH43" s="88"/>
      <c r="FI43" s="88"/>
      <c r="FJ43" s="88"/>
      <c r="FK43" s="88"/>
      <c r="FL43" s="88"/>
      <c r="FM43" s="88"/>
      <c r="FN43" s="88"/>
      <c r="FO43" s="88"/>
      <c r="FP43" s="88"/>
      <c r="FQ43" s="88"/>
      <c r="FR43" s="88"/>
      <c r="FS43" s="88"/>
      <c r="FT43" s="88"/>
      <c r="FU43" s="88"/>
      <c r="FV43" s="88"/>
      <c r="FW43" s="88"/>
      <c r="FX43" s="88"/>
      <c r="FY43" s="88"/>
      <c r="FZ43" s="88"/>
      <c r="GA43" s="88"/>
      <c r="GB43" s="88"/>
      <c r="GC43" s="88"/>
      <c r="GD43" s="88"/>
      <c r="GE43" s="88"/>
      <c r="GF43" s="88"/>
      <c r="GG43" s="88"/>
      <c r="GH43" s="88"/>
      <c r="GI43" s="88"/>
      <c r="GJ43" s="88"/>
      <c r="GK43" s="88"/>
      <c r="GL43" s="88"/>
      <c r="GM43" s="88"/>
      <c r="GN43" s="88"/>
      <c r="GO43" s="88"/>
      <c r="GP43" s="88"/>
      <c r="GQ43" s="88"/>
      <c r="GR43" s="88"/>
      <c r="GS43" s="88"/>
      <c r="GT43" s="88"/>
      <c r="GU43" s="88"/>
      <c r="GV43" s="88"/>
      <c r="GW43" s="88"/>
      <c r="GX43" s="88"/>
      <c r="GY43" s="88"/>
      <c r="GZ43" s="88"/>
      <c r="HA43" s="88"/>
      <c r="HB43" s="88"/>
      <c r="HC43" s="88"/>
      <c r="HD43" s="88"/>
      <c r="HE43" s="88"/>
      <c r="HF43" s="88"/>
      <c r="HG43" s="88"/>
      <c r="HH43" s="88"/>
      <c r="HI43" s="88"/>
      <c r="HJ43" s="88"/>
      <c r="HK43" s="88"/>
      <c r="HL43" s="88"/>
      <c r="HM43" s="88"/>
      <c r="HN43" s="88"/>
      <c r="HO43" s="88"/>
      <c r="HP43" s="88"/>
      <c r="HQ43" s="88"/>
      <c r="HR43" s="88"/>
      <c r="HS43" s="88"/>
      <c r="HT43" s="88"/>
      <c r="HU43" s="88"/>
      <c r="HV43" s="88"/>
      <c r="HW43" s="88"/>
      <c r="HX43" s="88"/>
      <c r="HY43" s="88"/>
      <c r="HZ43" s="88"/>
      <c r="IA43" s="88"/>
      <c r="IB43" s="88"/>
      <c r="IC43" s="88"/>
      <c r="ID43" s="88"/>
      <c r="IE43" s="88"/>
      <c r="IF43" s="88"/>
      <c r="IG43" s="88"/>
      <c r="IH43" s="88"/>
      <c r="II43" s="88"/>
      <c r="IJ43" s="88"/>
      <c r="IK43" s="88"/>
      <c r="IL43" s="88"/>
      <c r="IM43" s="88"/>
      <c r="IN43" s="88"/>
      <c r="IO43" s="88"/>
      <c r="IP43" s="88"/>
      <c r="IQ43" s="88"/>
      <c r="IR43" s="88"/>
      <c r="IS43" s="88"/>
      <c r="IT43" s="88"/>
      <c r="IU43" s="88"/>
      <c r="IV43" s="88"/>
      <c r="IW43" s="88"/>
      <c r="IX43" s="88"/>
      <c r="IY43" s="88"/>
      <c r="IZ43" s="88"/>
      <c r="JA43" s="88"/>
      <c r="JB43" s="88"/>
    </row>
    <row r="44" spans="1:262" ht="16.5">
      <c r="B44" s="393"/>
      <c r="C44" s="1587"/>
      <c r="D44" s="1587"/>
      <c r="E44" s="1587"/>
      <c r="F44" s="1587"/>
      <c r="G44" s="1587"/>
      <c r="H44" s="1587"/>
      <c r="I44" s="1587"/>
      <c r="J44" s="1587"/>
      <c r="K44" s="1587"/>
      <c r="L44" s="1587"/>
      <c r="M44" s="442"/>
      <c r="N44" s="442"/>
      <c r="O44" s="442"/>
      <c r="P44" s="442"/>
      <c r="Q44" s="442"/>
      <c r="R44" s="442"/>
      <c r="S44" s="442"/>
      <c r="T44" s="442"/>
      <c r="U44" s="442"/>
      <c r="V44" s="442"/>
      <c r="W44" s="442"/>
      <c r="X44" s="442"/>
      <c r="Y44" s="442"/>
      <c r="Z44" s="442"/>
      <c r="AA44" s="442"/>
      <c r="AB44" s="442"/>
      <c r="AC44" s="442"/>
      <c r="AD44" s="442"/>
      <c r="AE44" s="442"/>
      <c r="AF44" s="442"/>
      <c r="AG44" s="442"/>
      <c r="AH44" s="442"/>
      <c r="AI44" s="442"/>
      <c r="AJ44" s="442"/>
      <c r="AK44" s="442"/>
      <c r="AL44" s="442"/>
      <c r="AM44" s="442"/>
      <c r="AN44" s="1160"/>
      <c r="AO44" s="88"/>
      <c r="AP44" s="88"/>
      <c r="AQ44" s="88"/>
      <c r="AR44" s="88"/>
      <c r="AS44" s="88"/>
      <c r="AT44" s="88"/>
      <c r="AU44" s="88"/>
      <c r="AV44" s="88"/>
      <c r="AW44" s="88"/>
      <c r="AX44" s="88"/>
      <c r="AY44" s="88"/>
      <c r="AZ44" s="88"/>
      <c r="BA44" s="88"/>
      <c r="BB44" s="88"/>
      <c r="BC44" s="88"/>
      <c r="BD44" s="88"/>
      <c r="BE44" s="88"/>
      <c r="BF44" s="88"/>
      <c r="BG44" s="88"/>
      <c r="BH44" s="88"/>
      <c r="BI44" s="88"/>
      <c r="BJ44" s="88"/>
      <c r="BK44" s="88"/>
      <c r="BL44" s="88"/>
      <c r="BM44" s="88"/>
      <c r="BN44" s="88"/>
      <c r="BO44" s="88"/>
      <c r="BP44" s="88"/>
      <c r="BQ44" s="88"/>
      <c r="BR44" s="88"/>
      <c r="BS44" s="88"/>
      <c r="BT44" s="88"/>
      <c r="BU44" s="88"/>
      <c r="BV44" s="88"/>
      <c r="BW44" s="88"/>
      <c r="BX44" s="88"/>
      <c r="BY44" s="88"/>
      <c r="BZ44" s="88"/>
      <c r="CA44" s="88"/>
      <c r="CB44" s="88"/>
      <c r="CC44" s="88"/>
      <c r="CD44" s="88"/>
      <c r="CE44" s="88"/>
      <c r="CF44" s="88"/>
      <c r="CG44" s="88"/>
      <c r="CH44" s="88"/>
      <c r="CI44" s="88"/>
      <c r="CJ44" s="88"/>
      <c r="CK44" s="88"/>
      <c r="CL44" s="88"/>
      <c r="CM44" s="88"/>
      <c r="CN44" s="88"/>
      <c r="CO44" s="88"/>
      <c r="CP44" s="88"/>
      <c r="CQ44" s="88"/>
      <c r="CR44" s="88"/>
      <c r="CS44" s="88"/>
      <c r="CT44" s="88"/>
      <c r="CU44" s="88"/>
      <c r="CV44" s="88"/>
      <c r="CW44" s="88"/>
      <c r="CX44" s="88"/>
      <c r="CY44" s="88"/>
      <c r="CZ44" s="88"/>
      <c r="DA44" s="88"/>
      <c r="DB44" s="88"/>
      <c r="DC44" s="88"/>
      <c r="DD44" s="88"/>
      <c r="DE44" s="88"/>
      <c r="DF44" s="88"/>
      <c r="DG44" s="88"/>
      <c r="DH44" s="88"/>
      <c r="DI44" s="88"/>
      <c r="DJ44" s="88"/>
      <c r="DK44" s="88"/>
      <c r="DL44" s="88"/>
      <c r="DM44" s="88"/>
      <c r="DN44" s="88"/>
      <c r="DO44" s="88"/>
      <c r="DP44" s="88"/>
      <c r="DQ44" s="88"/>
      <c r="DR44" s="88"/>
      <c r="DS44" s="88"/>
      <c r="DT44" s="88"/>
      <c r="DU44" s="88"/>
      <c r="DV44" s="88"/>
      <c r="DW44" s="88"/>
      <c r="DX44" s="88"/>
      <c r="DY44" s="88"/>
      <c r="DZ44" s="88"/>
      <c r="EA44" s="88"/>
      <c r="EB44" s="88"/>
      <c r="EC44" s="88"/>
      <c r="ED44" s="88"/>
      <c r="EE44" s="88"/>
      <c r="EF44" s="88"/>
      <c r="EG44" s="88"/>
      <c r="EH44" s="88"/>
      <c r="EI44" s="88"/>
      <c r="EJ44" s="88"/>
      <c r="EK44" s="88"/>
      <c r="EL44" s="88"/>
      <c r="EM44" s="88"/>
      <c r="EN44" s="88"/>
      <c r="EO44" s="88"/>
      <c r="EP44" s="88"/>
      <c r="EQ44" s="88"/>
      <c r="ER44" s="88"/>
      <c r="ES44" s="88"/>
      <c r="ET44" s="88"/>
      <c r="EU44" s="88"/>
      <c r="EV44" s="88"/>
      <c r="EW44" s="88"/>
      <c r="EX44" s="88"/>
      <c r="EY44" s="88"/>
      <c r="EZ44" s="88"/>
      <c r="FA44" s="88"/>
      <c r="FB44" s="88"/>
      <c r="FC44" s="88"/>
      <c r="FD44" s="88"/>
      <c r="FE44" s="88"/>
      <c r="FF44" s="88"/>
      <c r="FG44" s="88"/>
      <c r="FH44" s="88"/>
      <c r="FI44" s="88"/>
      <c r="FJ44" s="88"/>
      <c r="FK44" s="88"/>
      <c r="FL44" s="88"/>
      <c r="FM44" s="88"/>
      <c r="FN44" s="88"/>
      <c r="FO44" s="88"/>
      <c r="FP44" s="88"/>
      <c r="FQ44" s="88"/>
      <c r="FR44" s="88"/>
      <c r="FS44" s="88"/>
      <c r="FT44" s="88"/>
      <c r="FU44" s="88"/>
      <c r="FV44" s="88"/>
      <c r="FW44" s="88"/>
      <c r="FX44" s="88"/>
      <c r="FY44" s="88"/>
      <c r="FZ44" s="88"/>
      <c r="GA44" s="88"/>
      <c r="GB44" s="88"/>
      <c r="GC44" s="88"/>
      <c r="GD44" s="88"/>
      <c r="GE44" s="88"/>
      <c r="GF44" s="88"/>
      <c r="GG44" s="88"/>
      <c r="GH44" s="88"/>
      <c r="GI44" s="88"/>
      <c r="GJ44" s="88"/>
      <c r="GK44" s="88"/>
      <c r="GL44" s="88"/>
      <c r="GM44" s="88"/>
      <c r="GN44" s="88"/>
      <c r="GO44" s="88"/>
      <c r="GP44" s="88"/>
      <c r="GQ44" s="88"/>
      <c r="GR44" s="88"/>
      <c r="GS44" s="88"/>
      <c r="GT44" s="88"/>
      <c r="GU44" s="88"/>
      <c r="GV44" s="88"/>
      <c r="GW44" s="88"/>
      <c r="GX44" s="88"/>
      <c r="GY44" s="88"/>
      <c r="GZ44" s="88"/>
      <c r="HA44" s="88"/>
      <c r="HB44" s="88"/>
      <c r="HC44" s="88"/>
      <c r="HD44" s="88"/>
      <c r="HE44" s="88"/>
      <c r="HF44" s="88"/>
      <c r="HG44" s="88"/>
      <c r="HH44" s="88"/>
      <c r="HI44" s="88"/>
      <c r="HJ44" s="88"/>
      <c r="HK44" s="88"/>
      <c r="HL44" s="88"/>
      <c r="HM44" s="88"/>
      <c r="HN44" s="88"/>
      <c r="HO44" s="88"/>
      <c r="HP44" s="88"/>
      <c r="HQ44" s="88"/>
      <c r="HR44" s="88"/>
      <c r="HS44" s="88"/>
      <c r="HT44" s="88"/>
      <c r="HU44" s="88"/>
      <c r="HV44" s="88"/>
      <c r="HW44" s="88"/>
      <c r="HX44" s="88"/>
      <c r="HY44" s="88"/>
      <c r="HZ44" s="88"/>
      <c r="IA44" s="88"/>
      <c r="IB44" s="88"/>
      <c r="IC44" s="88"/>
      <c r="ID44" s="88"/>
      <c r="IE44" s="88"/>
      <c r="IF44" s="88"/>
      <c r="IG44" s="88"/>
      <c r="IH44" s="88"/>
      <c r="II44" s="88"/>
      <c r="IJ44" s="88"/>
      <c r="IK44" s="88"/>
      <c r="IL44" s="88"/>
      <c r="IM44" s="88"/>
      <c r="IN44" s="88"/>
      <c r="IO44" s="88"/>
      <c r="IP44" s="88"/>
      <c r="IQ44" s="88"/>
      <c r="IR44" s="88"/>
      <c r="IS44" s="88"/>
      <c r="IT44" s="88"/>
      <c r="IU44" s="88"/>
      <c r="IV44" s="88"/>
      <c r="IW44" s="88"/>
      <c r="IX44" s="88"/>
      <c r="IY44" s="88"/>
      <c r="IZ44" s="88"/>
      <c r="JA44" s="88"/>
      <c r="JB44" s="88"/>
    </row>
    <row r="45" spans="1:262" ht="16.5">
      <c r="B45" s="392"/>
      <c r="C45" s="1038"/>
      <c r="D45" s="392"/>
      <c r="E45" s="392"/>
      <c r="F45" s="392"/>
      <c r="G45" s="392"/>
      <c r="H45" s="392"/>
      <c r="I45" s="392"/>
      <c r="J45" s="392"/>
      <c r="K45" s="392"/>
      <c r="L45" s="392"/>
      <c r="M45" s="392"/>
      <c r="N45" s="974"/>
      <c r="O45" s="392"/>
      <c r="P45" s="392"/>
      <c r="Q45" s="392"/>
      <c r="R45" s="392"/>
      <c r="S45" s="392"/>
      <c r="T45" s="392"/>
      <c r="U45" s="392"/>
      <c r="V45" s="392"/>
      <c r="W45" s="392"/>
      <c r="X45" s="392"/>
      <c r="Y45" s="392"/>
      <c r="Z45" s="392"/>
      <c r="AA45" s="392"/>
      <c r="AB45" s="392"/>
      <c r="AC45" s="392"/>
      <c r="AD45" s="392"/>
      <c r="AE45" s="392"/>
      <c r="AF45" s="392"/>
      <c r="AG45" s="392"/>
      <c r="AH45" s="392"/>
      <c r="AI45" s="392"/>
      <c r="AJ45" s="392"/>
      <c r="AK45" s="392"/>
      <c r="AL45" s="392"/>
      <c r="AM45" s="392"/>
      <c r="AN45" s="392"/>
      <c r="AO45" s="88"/>
      <c r="AP45" s="88"/>
      <c r="AQ45" s="88"/>
      <c r="AR45" s="88"/>
      <c r="AS45" s="88"/>
      <c r="AT45" s="88"/>
      <c r="AU45" s="88"/>
      <c r="AV45" s="88"/>
      <c r="AW45" s="88"/>
      <c r="AX45" s="88"/>
      <c r="AY45" s="88"/>
      <c r="AZ45" s="88"/>
      <c r="BA45" s="88"/>
      <c r="BB45" s="88"/>
      <c r="BC45" s="88"/>
      <c r="BD45" s="88"/>
      <c r="BE45" s="88"/>
      <c r="BF45" s="88"/>
      <c r="BG45" s="88"/>
      <c r="BH45" s="88"/>
      <c r="BI45" s="88"/>
      <c r="BJ45" s="88"/>
      <c r="BK45" s="88"/>
      <c r="BL45" s="88"/>
      <c r="BM45" s="88"/>
      <c r="BN45" s="88"/>
      <c r="BO45" s="88"/>
      <c r="BP45" s="88"/>
      <c r="BQ45" s="88"/>
      <c r="BR45" s="88"/>
      <c r="BS45" s="88"/>
      <c r="BT45" s="88"/>
      <c r="BU45" s="88"/>
      <c r="BV45" s="88"/>
      <c r="BW45" s="88"/>
      <c r="BX45" s="88"/>
      <c r="BY45" s="88"/>
      <c r="BZ45" s="88"/>
      <c r="CA45" s="88"/>
      <c r="CB45" s="88"/>
      <c r="CC45" s="88"/>
      <c r="CD45" s="88"/>
      <c r="CE45" s="88"/>
      <c r="CF45" s="88"/>
      <c r="CG45" s="88"/>
      <c r="CH45" s="88"/>
      <c r="CI45" s="88"/>
      <c r="CJ45" s="88"/>
      <c r="CK45" s="88"/>
      <c r="CL45" s="88"/>
      <c r="CM45" s="88"/>
      <c r="CN45" s="88"/>
      <c r="CO45" s="88"/>
      <c r="CP45" s="88"/>
      <c r="CQ45" s="88"/>
      <c r="CR45" s="88"/>
      <c r="CS45" s="88"/>
      <c r="CT45" s="88"/>
      <c r="CU45" s="88"/>
      <c r="CV45" s="88"/>
      <c r="CW45" s="88"/>
      <c r="CX45" s="88"/>
      <c r="CY45" s="88"/>
      <c r="CZ45" s="88"/>
      <c r="DA45" s="88"/>
      <c r="DB45" s="88"/>
      <c r="DC45" s="88"/>
      <c r="DD45" s="88"/>
      <c r="DE45" s="88"/>
      <c r="DF45" s="88"/>
      <c r="DG45" s="88"/>
      <c r="DH45" s="88"/>
      <c r="DI45" s="88"/>
      <c r="DJ45" s="88"/>
      <c r="DK45" s="88"/>
      <c r="DL45" s="88"/>
      <c r="DM45" s="88"/>
      <c r="DN45" s="88"/>
      <c r="DO45" s="88"/>
      <c r="DP45" s="88"/>
      <c r="DQ45" s="88"/>
      <c r="DR45" s="88"/>
      <c r="DS45" s="88"/>
      <c r="DT45" s="88"/>
      <c r="DU45" s="88"/>
      <c r="DV45" s="88"/>
      <c r="DW45" s="88"/>
      <c r="DX45" s="88"/>
      <c r="DY45" s="88"/>
      <c r="DZ45" s="88"/>
      <c r="EA45" s="88"/>
      <c r="EB45" s="88"/>
      <c r="EC45" s="88"/>
      <c r="ED45" s="88"/>
      <c r="EE45" s="88"/>
      <c r="EF45" s="88"/>
      <c r="EG45" s="88"/>
      <c r="EH45" s="88"/>
      <c r="EI45" s="88"/>
      <c r="EJ45" s="88"/>
      <c r="EK45" s="88"/>
      <c r="EL45" s="88"/>
      <c r="EM45" s="88"/>
      <c r="EN45" s="88"/>
      <c r="EO45" s="88"/>
      <c r="EP45" s="88"/>
      <c r="EQ45" s="88"/>
      <c r="ER45" s="88"/>
      <c r="ES45" s="88"/>
      <c r="ET45" s="88"/>
      <c r="EU45" s="88"/>
      <c r="EV45" s="88"/>
      <c r="EW45" s="88"/>
      <c r="EX45" s="88"/>
      <c r="EY45" s="88"/>
      <c r="EZ45" s="88"/>
      <c r="FA45" s="88"/>
      <c r="FB45" s="88"/>
      <c r="FC45" s="88"/>
      <c r="FD45" s="88"/>
      <c r="FE45" s="88"/>
      <c r="FF45" s="88"/>
      <c r="FG45" s="88"/>
      <c r="FH45" s="88"/>
      <c r="FI45" s="88"/>
      <c r="FJ45" s="88"/>
      <c r="FK45" s="88"/>
      <c r="FL45" s="88"/>
      <c r="FM45" s="88"/>
      <c r="FN45" s="88"/>
      <c r="FO45" s="88"/>
      <c r="FP45" s="88"/>
      <c r="FQ45" s="88"/>
      <c r="FR45" s="88"/>
      <c r="FS45" s="88"/>
      <c r="FT45" s="88"/>
      <c r="FU45" s="88"/>
      <c r="FV45" s="88"/>
      <c r="FW45" s="88"/>
      <c r="FX45" s="88"/>
      <c r="FY45" s="88"/>
      <c r="FZ45" s="88"/>
      <c r="GA45" s="88"/>
      <c r="GB45" s="88"/>
      <c r="GC45" s="88"/>
      <c r="GD45" s="88"/>
      <c r="GE45" s="88"/>
      <c r="GF45" s="88"/>
      <c r="GG45" s="88"/>
      <c r="GH45" s="88"/>
      <c r="GI45" s="88"/>
      <c r="GJ45" s="88"/>
      <c r="GK45" s="88"/>
      <c r="GL45" s="88"/>
      <c r="GM45" s="88"/>
      <c r="GN45" s="88"/>
      <c r="GO45" s="88"/>
      <c r="GP45" s="88"/>
      <c r="GQ45" s="88"/>
      <c r="GR45" s="88"/>
      <c r="GS45" s="88"/>
      <c r="GT45" s="88"/>
      <c r="GU45" s="88"/>
      <c r="GV45" s="88"/>
      <c r="GW45" s="88"/>
      <c r="GX45" s="88"/>
      <c r="GY45" s="88"/>
      <c r="GZ45" s="88"/>
      <c r="HA45" s="88"/>
      <c r="HB45" s="88"/>
      <c r="HC45" s="88"/>
      <c r="HD45" s="88"/>
      <c r="HE45" s="88"/>
      <c r="HF45" s="88"/>
      <c r="HG45" s="88"/>
      <c r="HH45" s="88"/>
      <c r="HI45" s="88"/>
      <c r="HJ45" s="88"/>
      <c r="HK45" s="88"/>
      <c r="HL45" s="88"/>
      <c r="HM45" s="88"/>
      <c r="HN45" s="88"/>
      <c r="HO45" s="88"/>
      <c r="HP45" s="88"/>
      <c r="HQ45" s="88"/>
      <c r="HR45" s="88"/>
      <c r="HS45" s="88"/>
      <c r="HT45" s="88"/>
      <c r="HU45" s="88"/>
      <c r="HV45" s="88"/>
      <c r="HW45" s="88"/>
      <c r="HX45" s="88"/>
      <c r="HY45" s="88"/>
      <c r="HZ45" s="88"/>
      <c r="IA45" s="88"/>
      <c r="IB45" s="88"/>
      <c r="IC45" s="88"/>
      <c r="ID45" s="88"/>
      <c r="IE45" s="88"/>
      <c r="IF45" s="88"/>
      <c r="IG45" s="88"/>
      <c r="IH45" s="88"/>
      <c r="II45" s="88"/>
      <c r="IJ45" s="88"/>
      <c r="IK45" s="88"/>
      <c r="IL45" s="88"/>
      <c r="IM45" s="88"/>
      <c r="IN45" s="88"/>
      <c r="IO45" s="88"/>
      <c r="IP45" s="88"/>
      <c r="IQ45" s="88"/>
      <c r="IR45" s="88"/>
      <c r="IS45" s="88"/>
      <c r="IT45" s="88"/>
      <c r="IU45" s="88"/>
      <c r="IV45" s="88"/>
      <c r="IW45" s="88"/>
      <c r="IX45" s="88"/>
      <c r="IY45" s="88"/>
      <c r="IZ45" s="88"/>
      <c r="JA45" s="88"/>
      <c r="JB45" s="88"/>
    </row>
    <row r="46" spans="1:262">
      <c r="N46" s="519"/>
      <c r="P46" s="519"/>
      <c r="Q46" s="519"/>
      <c r="AO46" s="88"/>
      <c r="AP46" s="88"/>
      <c r="AQ46" s="88"/>
      <c r="AR46" s="88"/>
      <c r="AS46" s="88"/>
      <c r="AT46" s="88"/>
      <c r="AU46" s="88"/>
      <c r="AV46" s="88"/>
      <c r="AW46" s="88"/>
      <c r="AX46" s="88"/>
      <c r="AY46" s="88"/>
      <c r="AZ46" s="88"/>
      <c r="BA46" s="88"/>
      <c r="BB46" s="88"/>
      <c r="BC46" s="88"/>
      <c r="BD46" s="88"/>
      <c r="BE46" s="88"/>
      <c r="BF46" s="88"/>
      <c r="BG46" s="88"/>
      <c r="BH46" s="88"/>
      <c r="BI46" s="88"/>
      <c r="BJ46" s="88"/>
      <c r="BK46" s="88"/>
      <c r="BL46" s="88"/>
      <c r="BM46" s="88"/>
      <c r="BN46" s="88"/>
      <c r="BO46" s="88"/>
      <c r="BP46" s="88"/>
      <c r="BQ46" s="88"/>
      <c r="BR46" s="88"/>
      <c r="BS46" s="88"/>
      <c r="BT46" s="88"/>
      <c r="BU46" s="88"/>
      <c r="BV46" s="88"/>
      <c r="BW46" s="88"/>
      <c r="BX46" s="88"/>
      <c r="BY46" s="88"/>
      <c r="BZ46" s="88"/>
      <c r="CA46" s="88"/>
      <c r="CB46" s="88"/>
      <c r="CC46" s="88"/>
      <c r="CD46" s="88"/>
      <c r="CE46" s="88"/>
      <c r="CF46" s="88"/>
      <c r="CG46" s="88"/>
      <c r="CH46" s="88"/>
      <c r="CI46" s="88"/>
      <c r="CJ46" s="88"/>
      <c r="CK46" s="88"/>
      <c r="CL46" s="88"/>
      <c r="CM46" s="88"/>
      <c r="CN46" s="88"/>
      <c r="CO46" s="88"/>
      <c r="CP46" s="88"/>
      <c r="CQ46" s="88"/>
      <c r="CR46" s="88"/>
      <c r="CS46" s="88"/>
      <c r="CT46" s="88"/>
      <c r="CU46" s="88"/>
      <c r="CV46" s="88"/>
      <c r="CW46" s="88"/>
      <c r="CX46" s="88"/>
      <c r="CY46" s="88"/>
      <c r="CZ46" s="88"/>
      <c r="DA46" s="88"/>
      <c r="DB46" s="88"/>
      <c r="DC46" s="88"/>
      <c r="DD46" s="88"/>
      <c r="DE46" s="88"/>
      <c r="DF46" s="88"/>
      <c r="DG46" s="88"/>
      <c r="DH46" s="88"/>
      <c r="DI46" s="88"/>
      <c r="DJ46" s="88"/>
      <c r="DK46" s="88"/>
      <c r="DL46" s="88"/>
      <c r="DM46" s="88"/>
      <c r="DN46" s="88"/>
      <c r="DO46" s="88"/>
      <c r="DP46" s="88"/>
      <c r="DQ46" s="88"/>
      <c r="DR46" s="88"/>
      <c r="DS46" s="88"/>
      <c r="DT46" s="88"/>
      <c r="DU46" s="88"/>
      <c r="DV46" s="88"/>
      <c r="DW46" s="88"/>
      <c r="DX46" s="88"/>
      <c r="DY46" s="88"/>
      <c r="DZ46" s="88"/>
      <c r="EA46" s="88"/>
      <c r="EB46" s="88"/>
      <c r="EC46" s="88"/>
      <c r="ED46" s="88"/>
      <c r="EE46" s="88"/>
      <c r="EF46" s="88"/>
      <c r="EG46" s="88"/>
      <c r="EH46" s="88"/>
      <c r="EI46" s="88"/>
      <c r="EJ46" s="88"/>
      <c r="EK46" s="88"/>
      <c r="EL46" s="88"/>
      <c r="EM46" s="88"/>
      <c r="EN46" s="88"/>
      <c r="EO46" s="88"/>
      <c r="EP46" s="88"/>
      <c r="EQ46" s="88"/>
      <c r="ER46" s="88"/>
      <c r="ES46" s="88"/>
      <c r="ET46" s="88"/>
      <c r="EU46" s="88"/>
      <c r="EV46" s="88"/>
      <c r="EW46" s="88"/>
      <c r="EX46" s="88"/>
      <c r="EY46" s="88"/>
      <c r="EZ46" s="88"/>
      <c r="FA46" s="88"/>
      <c r="FB46" s="88"/>
      <c r="FC46" s="88"/>
      <c r="FD46" s="88"/>
      <c r="FE46" s="88"/>
      <c r="FF46" s="88"/>
      <c r="FG46" s="88"/>
      <c r="FH46" s="88"/>
      <c r="FI46" s="88"/>
      <c r="FJ46" s="88"/>
      <c r="FK46" s="88"/>
      <c r="FL46" s="88"/>
      <c r="FM46" s="88"/>
      <c r="FN46" s="88"/>
      <c r="FO46" s="88"/>
      <c r="FP46" s="88"/>
      <c r="FQ46" s="88"/>
      <c r="FR46" s="88"/>
      <c r="FS46" s="88"/>
      <c r="FT46" s="88"/>
      <c r="FU46" s="88"/>
      <c r="FV46" s="88"/>
      <c r="FW46" s="88"/>
      <c r="FX46" s="88"/>
      <c r="FY46" s="88"/>
      <c r="FZ46" s="88"/>
      <c r="GA46" s="88"/>
      <c r="GB46" s="88"/>
      <c r="GC46" s="88"/>
      <c r="GD46" s="88"/>
      <c r="GE46" s="88"/>
      <c r="GF46" s="88"/>
      <c r="GG46" s="88"/>
      <c r="GH46" s="88"/>
      <c r="GI46" s="88"/>
      <c r="GJ46" s="88"/>
      <c r="GK46" s="88"/>
      <c r="GL46" s="88"/>
      <c r="GM46" s="88"/>
      <c r="GN46" s="88"/>
      <c r="GO46" s="88"/>
      <c r="GP46" s="88"/>
      <c r="GQ46" s="88"/>
      <c r="GR46" s="88"/>
      <c r="GS46" s="88"/>
      <c r="GT46" s="88"/>
      <c r="GU46" s="88"/>
      <c r="GV46" s="88"/>
      <c r="GW46" s="88"/>
      <c r="GX46" s="88"/>
      <c r="GY46" s="88"/>
      <c r="GZ46" s="88"/>
      <c r="HA46" s="88"/>
      <c r="HB46" s="88"/>
      <c r="HC46" s="88"/>
      <c r="HD46" s="88"/>
      <c r="HE46" s="88"/>
      <c r="HF46" s="88"/>
      <c r="HG46" s="88"/>
      <c r="HH46" s="88"/>
      <c r="HI46" s="88"/>
      <c r="HJ46" s="88"/>
      <c r="HK46" s="88"/>
      <c r="HL46" s="88"/>
      <c r="HM46" s="88"/>
      <c r="HN46" s="88"/>
      <c r="HO46" s="88"/>
      <c r="HP46" s="88"/>
      <c r="HQ46" s="88"/>
      <c r="HR46" s="88"/>
      <c r="HS46" s="88"/>
      <c r="HT46" s="88"/>
      <c r="HU46" s="88"/>
      <c r="HV46" s="88"/>
      <c r="HW46" s="88"/>
      <c r="HX46" s="88"/>
      <c r="HY46" s="88"/>
      <c r="HZ46" s="88"/>
      <c r="IA46" s="88"/>
      <c r="IB46" s="88"/>
      <c r="IC46" s="88"/>
      <c r="ID46" s="88"/>
      <c r="IE46" s="88"/>
      <c r="IF46" s="88"/>
      <c r="IG46" s="88"/>
      <c r="IH46" s="88"/>
      <c r="II46" s="88"/>
      <c r="IJ46" s="88"/>
      <c r="IK46" s="88"/>
      <c r="IL46" s="88"/>
      <c r="IM46" s="88"/>
      <c r="IN46" s="88"/>
      <c r="IO46" s="88"/>
      <c r="IP46" s="88"/>
      <c r="IQ46" s="88"/>
      <c r="IR46" s="88"/>
      <c r="IS46" s="88"/>
      <c r="IT46" s="88"/>
      <c r="IU46" s="88"/>
      <c r="IV46" s="88"/>
      <c r="IW46" s="88"/>
      <c r="IX46" s="88"/>
      <c r="IY46" s="88"/>
      <c r="IZ46" s="88"/>
      <c r="JA46" s="88"/>
      <c r="JB46" s="88"/>
    </row>
    <row r="47" spans="1:262">
      <c r="N47" s="519"/>
      <c r="P47" s="519"/>
      <c r="Q47" s="519"/>
      <c r="AO47" s="88"/>
      <c r="AP47" s="88"/>
      <c r="AQ47" s="88"/>
      <c r="AR47" s="88"/>
      <c r="AS47" s="88"/>
      <c r="AT47" s="88"/>
      <c r="AU47" s="88"/>
      <c r="AV47" s="88"/>
      <c r="AW47" s="88"/>
      <c r="AX47" s="88"/>
      <c r="AY47" s="88"/>
      <c r="AZ47" s="88"/>
      <c r="BA47" s="88"/>
      <c r="BB47" s="88"/>
      <c r="BC47" s="88"/>
      <c r="BD47" s="88"/>
      <c r="BE47" s="88"/>
      <c r="BF47" s="88"/>
      <c r="BG47" s="88"/>
      <c r="BH47" s="88"/>
      <c r="BI47" s="88"/>
      <c r="BJ47" s="88"/>
      <c r="BK47" s="88"/>
      <c r="BL47" s="88"/>
      <c r="BM47" s="88"/>
      <c r="BN47" s="88"/>
      <c r="BO47" s="88"/>
      <c r="BP47" s="88"/>
      <c r="BQ47" s="88"/>
      <c r="BR47" s="88"/>
      <c r="BS47" s="88"/>
      <c r="BT47" s="88"/>
      <c r="BU47" s="88"/>
      <c r="BV47" s="88"/>
      <c r="BW47" s="88"/>
      <c r="BX47" s="88"/>
      <c r="BY47" s="88"/>
      <c r="BZ47" s="88"/>
      <c r="CA47" s="88"/>
      <c r="CB47" s="88"/>
      <c r="CC47" s="88"/>
      <c r="CD47" s="88"/>
      <c r="CE47" s="88"/>
      <c r="CF47" s="88"/>
      <c r="CG47" s="88"/>
      <c r="CH47" s="88"/>
      <c r="CI47" s="88"/>
      <c r="CJ47" s="88"/>
      <c r="CK47" s="88"/>
      <c r="CL47" s="88"/>
      <c r="CM47" s="88"/>
      <c r="CN47" s="88"/>
      <c r="CO47" s="88"/>
      <c r="CP47" s="88"/>
      <c r="CQ47" s="88"/>
      <c r="CR47" s="88"/>
      <c r="CS47" s="88"/>
      <c r="CT47" s="88"/>
      <c r="CU47" s="88"/>
      <c r="CV47" s="88"/>
      <c r="CW47" s="88"/>
      <c r="CX47" s="88"/>
      <c r="CY47" s="88"/>
      <c r="CZ47" s="88"/>
      <c r="DA47" s="88"/>
      <c r="DB47" s="88"/>
      <c r="DC47" s="88"/>
      <c r="DD47" s="88"/>
      <c r="DE47" s="88"/>
      <c r="DF47" s="88"/>
      <c r="DG47" s="88"/>
      <c r="DH47" s="88"/>
      <c r="DI47" s="88"/>
      <c r="DJ47" s="88"/>
      <c r="DK47" s="88"/>
      <c r="DL47" s="88"/>
      <c r="DM47" s="88"/>
      <c r="DN47" s="88"/>
      <c r="DO47" s="88"/>
      <c r="DP47" s="88"/>
      <c r="DQ47" s="88"/>
      <c r="DR47" s="88"/>
      <c r="DS47" s="88"/>
      <c r="DT47" s="88"/>
      <c r="DU47" s="88"/>
      <c r="DV47" s="88"/>
      <c r="DW47" s="88"/>
      <c r="DX47" s="88"/>
      <c r="DY47" s="88"/>
      <c r="DZ47" s="88"/>
      <c r="EA47" s="88"/>
      <c r="EB47" s="88"/>
      <c r="EC47" s="88"/>
      <c r="ED47" s="88"/>
      <c r="EE47" s="88"/>
      <c r="EF47" s="88"/>
      <c r="EG47" s="88"/>
      <c r="EH47" s="88"/>
      <c r="EI47" s="88"/>
      <c r="EJ47" s="88"/>
      <c r="EK47" s="88"/>
      <c r="EL47" s="88"/>
      <c r="EM47" s="88"/>
      <c r="EN47" s="88"/>
      <c r="EO47" s="88"/>
      <c r="EP47" s="88"/>
      <c r="EQ47" s="88"/>
      <c r="ER47" s="88"/>
      <c r="ES47" s="88"/>
      <c r="ET47" s="88"/>
      <c r="EU47" s="88"/>
      <c r="EV47" s="88"/>
      <c r="EW47" s="88"/>
      <c r="EX47" s="88"/>
      <c r="EY47" s="88"/>
      <c r="EZ47" s="88"/>
      <c r="FA47" s="88"/>
      <c r="FB47" s="88"/>
      <c r="FC47" s="88"/>
      <c r="FD47" s="88"/>
      <c r="FE47" s="88"/>
      <c r="FF47" s="88"/>
      <c r="FG47" s="88"/>
      <c r="FH47" s="88"/>
      <c r="FI47" s="88"/>
      <c r="FJ47" s="88"/>
      <c r="FK47" s="88"/>
      <c r="FL47" s="88"/>
      <c r="FM47" s="88"/>
      <c r="FN47" s="88"/>
      <c r="FO47" s="88"/>
      <c r="FP47" s="88"/>
      <c r="FQ47" s="88"/>
      <c r="FR47" s="88"/>
      <c r="FS47" s="88"/>
      <c r="FT47" s="88"/>
      <c r="FU47" s="88"/>
      <c r="FV47" s="88"/>
      <c r="FW47" s="88"/>
      <c r="FX47" s="88"/>
      <c r="FY47" s="88"/>
      <c r="FZ47" s="88"/>
      <c r="GA47" s="88"/>
      <c r="GB47" s="88"/>
      <c r="GC47" s="88"/>
      <c r="GD47" s="88"/>
      <c r="GE47" s="88"/>
      <c r="GF47" s="88"/>
      <c r="GG47" s="88"/>
      <c r="GH47" s="88"/>
      <c r="GI47" s="88"/>
      <c r="GJ47" s="88"/>
      <c r="GK47" s="88"/>
      <c r="GL47" s="88"/>
      <c r="GM47" s="88"/>
      <c r="GN47" s="88"/>
      <c r="GO47" s="88"/>
      <c r="GP47" s="88"/>
      <c r="GQ47" s="88"/>
      <c r="GR47" s="88"/>
      <c r="GS47" s="88"/>
      <c r="GT47" s="88"/>
      <c r="GU47" s="88"/>
      <c r="GV47" s="88"/>
      <c r="GW47" s="88"/>
      <c r="GX47" s="88"/>
      <c r="GY47" s="88"/>
      <c r="GZ47" s="88"/>
      <c r="HA47" s="88"/>
      <c r="HB47" s="88"/>
      <c r="HC47" s="88"/>
      <c r="HD47" s="88"/>
      <c r="HE47" s="88"/>
      <c r="HF47" s="88"/>
      <c r="HG47" s="88"/>
      <c r="HH47" s="88"/>
      <c r="HI47" s="88"/>
      <c r="HJ47" s="88"/>
      <c r="HK47" s="88"/>
      <c r="HL47" s="88"/>
      <c r="HM47" s="88"/>
      <c r="HN47" s="88"/>
      <c r="HO47" s="88"/>
      <c r="HP47" s="88"/>
      <c r="HQ47" s="88"/>
      <c r="HR47" s="88"/>
      <c r="HS47" s="88"/>
      <c r="HT47" s="88"/>
      <c r="HU47" s="88"/>
      <c r="HV47" s="88"/>
      <c r="HW47" s="88"/>
      <c r="HX47" s="88"/>
      <c r="HY47" s="88"/>
      <c r="HZ47" s="88"/>
      <c r="IA47" s="88"/>
      <c r="IB47" s="88"/>
      <c r="IC47" s="88"/>
      <c r="ID47" s="88"/>
      <c r="IE47" s="88"/>
      <c r="IF47" s="88"/>
      <c r="IG47" s="88"/>
      <c r="IH47" s="88"/>
      <c r="II47" s="88"/>
      <c r="IJ47" s="88"/>
      <c r="IK47" s="88"/>
      <c r="IL47" s="88"/>
      <c r="IM47" s="88"/>
      <c r="IN47" s="88"/>
      <c r="IO47" s="88"/>
      <c r="IP47" s="88"/>
      <c r="IQ47" s="88"/>
      <c r="IR47" s="88"/>
      <c r="IS47" s="88"/>
      <c r="IT47" s="88"/>
      <c r="IU47" s="88"/>
      <c r="IV47" s="88"/>
      <c r="IW47" s="88"/>
      <c r="IX47" s="88"/>
      <c r="IY47" s="88"/>
      <c r="IZ47" s="88"/>
      <c r="JA47" s="88"/>
      <c r="JB47" s="88"/>
    </row>
    <row r="48" spans="1:262">
      <c r="N48" s="519"/>
      <c r="P48" s="519"/>
      <c r="Q48" s="519"/>
      <c r="AO48" s="88"/>
      <c r="AP48" s="88"/>
      <c r="AQ48" s="88"/>
      <c r="AR48" s="88"/>
      <c r="AS48" s="88"/>
      <c r="AT48" s="88"/>
      <c r="AU48" s="88"/>
      <c r="AV48" s="88"/>
      <c r="AW48" s="88"/>
      <c r="AX48" s="88"/>
      <c r="AY48" s="88"/>
      <c r="AZ48" s="88"/>
      <c r="BA48" s="88"/>
      <c r="BB48" s="88"/>
      <c r="BC48" s="88"/>
      <c r="BD48" s="88"/>
      <c r="BE48" s="88"/>
      <c r="BF48" s="88"/>
      <c r="BG48" s="88"/>
      <c r="BH48" s="88"/>
      <c r="BI48" s="88"/>
      <c r="BJ48" s="88"/>
      <c r="BK48" s="88"/>
      <c r="BL48" s="88"/>
      <c r="BM48" s="88"/>
      <c r="BN48" s="88"/>
      <c r="BO48" s="88"/>
      <c r="BP48" s="88"/>
      <c r="BQ48" s="88"/>
      <c r="BR48" s="88"/>
      <c r="BS48" s="88"/>
      <c r="BT48" s="88"/>
      <c r="BU48" s="88"/>
      <c r="BV48" s="88"/>
      <c r="BW48" s="88"/>
      <c r="BX48" s="88"/>
      <c r="BY48" s="88"/>
      <c r="BZ48" s="88"/>
      <c r="CA48" s="88"/>
      <c r="CB48" s="88"/>
      <c r="CC48" s="88"/>
      <c r="CD48" s="88"/>
      <c r="CE48" s="88"/>
      <c r="CF48" s="88"/>
      <c r="CG48" s="88"/>
      <c r="CH48" s="88"/>
      <c r="CI48" s="88"/>
      <c r="CJ48" s="88"/>
      <c r="CK48" s="88"/>
      <c r="CL48" s="88"/>
      <c r="CM48" s="88"/>
      <c r="CN48" s="88"/>
      <c r="CO48" s="88"/>
      <c r="CP48" s="88"/>
      <c r="CQ48" s="88"/>
      <c r="CR48" s="88"/>
      <c r="CS48" s="88"/>
      <c r="CT48" s="88"/>
      <c r="CU48" s="88"/>
      <c r="CV48" s="88"/>
      <c r="CW48" s="88"/>
      <c r="CX48" s="88"/>
      <c r="CY48" s="88"/>
      <c r="CZ48" s="88"/>
      <c r="DA48" s="88"/>
      <c r="DB48" s="88"/>
      <c r="DC48" s="88"/>
      <c r="DD48" s="88"/>
      <c r="DE48" s="88"/>
      <c r="DF48" s="88"/>
      <c r="DG48" s="88"/>
      <c r="DH48" s="88"/>
      <c r="DI48" s="88"/>
      <c r="DJ48" s="88"/>
      <c r="DK48" s="88"/>
      <c r="DL48" s="88"/>
      <c r="DM48" s="88"/>
      <c r="DN48" s="88"/>
      <c r="DO48" s="88"/>
      <c r="DP48" s="88"/>
      <c r="DQ48" s="88"/>
      <c r="DR48" s="88"/>
      <c r="DS48" s="88"/>
      <c r="DT48" s="88"/>
      <c r="DU48" s="88"/>
      <c r="DV48" s="88"/>
      <c r="DW48" s="88"/>
      <c r="DX48" s="88"/>
      <c r="DY48" s="88"/>
      <c r="DZ48" s="88"/>
      <c r="EA48" s="88"/>
      <c r="EB48" s="88"/>
      <c r="EC48" s="88"/>
      <c r="ED48" s="88"/>
      <c r="EE48" s="88"/>
      <c r="EF48" s="88"/>
      <c r="EG48" s="88"/>
      <c r="EH48" s="88"/>
      <c r="EI48" s="88"/>
      <c r="EJ48" s="88"/>
      <c r="EK48" s="88"/>
      <c r="EL48" s="88"/>
      <c r="EM48" s="88"/>
      <c r="EN48" s="88"/>
      <c r="EO48" s="88"/>
      <c r="EP48" s="88"/>
      <c r="EQ48" s="88"/>
      <c r="ER48" s="88"/>
      <c r="ES48" s="88"/>
      <c r="ET48" s="88"/>
      <c r="EU48" s="88"/>
      <c r="EV48" s="88"/>
      <c r="EW48" s="88"/>
      <c r="EX48" s="88"/>
      <c r="EY48" s="88"/>
      <c r="EZ48" s="88"/>
      <c r="FA48" s="88"/>
      <c r="FB48" s="88"/>
      <c r="FC48" s="88"/>
      <c r="FD48" s="88"/>
      <c r="FE48" s="88"/>
      <c r="FF48" s="88"/>
      <c r="FG48" s="88"/>
      <c r="FH48" s="88"/>
      <c r="FI48" s="88"/>
      <c r="FJ48" s="88"/>
      <c r="FK48" s="88"/>
      <c r="FL48" s="88"/>
      <c r="FM48" s="88"/>
      <c r="FN48" s="88"/>
      <c r="FO48" s="88"/>
      <c r="FP48" s="88"/>
      <c r="FQ48" s="88"/>
      <c r="FR48" s="88"/>
      <c r="FS48" s="88"/>
      <c r="FT48" s="88"/>
      <c r="FU48" s="88"/>
      <c r="FV48" s="88"/>
      <c r="FW48" s="88"/>
      <c r="FX48" s="88"/>
      <c r="FY48" s="88"/>
      <c r="FZ48" s="88"/>
      <c r="GA48" s="88"/>
      <c r="GB48" s="88"/>
      <c r="GC48" s="88"/>
      <c r="GD48" s="88"/>
      <c r="GE48" s="88"/>
      <c r="GF48" s="88"/>
      <c r="GG48" s="88"/>
      <c r="GH48" s="88"/>
      <c r="GI48" s="88"/>
      <c r="GJ48" s="88"/>
      <c r="GK48" s="88"/>
      <c r="GL48" s="88"/>
      <c r="GM48" s="88"/>
      <c r="GN48" s="88"/>
      <c r="GO48" s="88"/>
      <c r="GP48" s="88"/>
      <c r="GQ48" s="88"/>
      <c r="GR48" s="88"/>
      <c r="GS48" s="88"/>
      <c r="GT48" s="88"/>
      <c r="GU48" s="88"/>
      <c r="GV48" s="88"/>
      <c r="GW48" s="88"/>
      <c r="GX48" s="88"/>
      <c r="GY48" s="88"/>
      <c r="GZ48" s="88"/>
      <c r="HA48" s="88"/>
      <c r="HB48" s="88"/>
      <c r="HC48" s="88"/>
      <c r="HD48" s="88"/>
      <c r="HE48" s="88"/>
      <c r="HF48" s="88"/>
      <c r="HG48" s="88"/>
      <c r="HH48" s="88"/>
      <c r="HI48" s="88"/>
      <c r="HJ48" s="88"/>
      <c r="HK48" s="88"/>
      <c r="HL48" s="88"/>
      <c r="HM48" s="88"/>
      <c r="HN48" s="88"/>
      <c r="HO48" s="88"/>
      <c r="HP48" s="88"/>
      <c r="HQ48" s="88"/>
      <c r="HR48" s="88"/>
      <c r="HS48" s="88"/>
      <c r="HT48" s="88"/>
      <c r="HU48" s="88"/>
      <c r="HV48" s="88"/>
      <c r="HW48" s="88"/>
      <c r="HX48" s="88"/>
      <c r="HY48" s="88"/>
      <c r="HZ48" s="88"/>
      <c r="IA48" s="88"/>
      <c r="IB48" s="88"/>
      <c r="IC48" s="88"/>
      <c r="ID48" s="88"/>
      <c r="IE48" s="88"/>
      <c r="IF48" s="88"/>
      <c r="IG48" s="88"/>
      <c r="IH48" s="88"/>
      <c r="II48" s="88"/>
      <c r="IJ48" s="88"/>
      <c r="IK48" s="88"/>
      <c r="IL48" s="88"/>
      <c r="IM48" s="88"/>
      <c r="IN48" s="88"/>
      <c r="IO48" s="88"/>
      <c r="IP48" s="88"/>
      <c r="IQ48" s="88"/>
      <c r="IR48" s="88"/>
      <c r="IS48" s="88"/>
      <c r="IT48" s="88"/>
      <c r="IU48" s="88"/>
      <c r="IV48" s="88"/>
      <c r="IW48" s="88"/>
      <c r="IX48" s="88"/>
      <c r="IY48" s="88"/>
      <c r="IZ48" s="88"/>
      <c r="JA48" s="88"/>
      <c r="JB48" s="88"/>
    </row>
    <row r="49" spans="5:18" s="88" customFormat="1">
      <c r="E49" s="108"/>
      <c r="F49" s="108"/>
      <c r="G49" s="108"/>
      <c r="H49" s="108"/>
      <c r="I49" s="108"/>
      <c r="J49" s="108"/>
      <c r="K49" s="108"/>
      <c r="L49" s="108"/>
      <c r="M49" s="108"/>
      <c r="N49" s="975"/>
      <c r="O49" s="519"/>
      <c r="P49" s="975"/>
      <c r="Q49" s="975"/>
      <c r="R49" s="519"/>
    </row>
    <row r="50" spans="5:18" s="88" customFormat="1">
      <c r="E50" s="108"/>
      <c r="F50" s="108"/>
      <c r="G50" s="108"/>
      <c r="H50" s="108"/>
      <c r="I50" s="108"/>
      <c r="J50" s="108"/>
      <c r="K50" s="108"/>
      <c r="L50" s="108"/>
      <c r="M50" s="108"/>
      <c r="N50" s="108"/>
      <c r="O50" s="108"/>
      <c r="P50" s="108"/>
      <c r="Q50" s="108"/>
      <c r="R50" s="108"/>
    </row>
    <row r="51" spans="5:18" s="88" customFormat="1">
      <c r="E51" s="108"/>
      <c r="F51" s="108"/>
      <c r="G51" s="108"/>
      <c r="H51" s="108"/>
      <c r="I51" s="108"/>
      <c r="J51" s="108"/>
      <c r="K51" s="108"/>
      <c r="L51" s="108"/>
      <c r="M51" s="108"/>
      <c r="N51" s="108"/>
      <c r="O51" s="976"/>
      <c r="P51" s="108"/>
      <c r="Q51" s="108"/>
      <c r="R51" s="108"/>
    </row>
    <row r="52" spans="5:18" s="88" customFormat="1">
      <c r="E52" s="108"/>
      <c r="F52" s="108"/>
      <c r="G52" s="108"/>
      <c r="H52" s="108"/>
      <c r="I52" s="108"/>
      <c r="J52" s="108"/>
      <c r="K52" s="108"/>
      <c r="L52" s="108"/>
      <c r="M52" s="108"/>
      <c r="N52" s="108"/>
      <c r="O52" s="108"/>
      <c r="P52" s="108"/>
      <c r="Q52" s="108"/>
      <c r="R52" s="108"/>
    </row>
    <row r="53" spans="5:18" s="88" customFormat="1">
      <c r="E53" s="108"/>
      <c r="F53" s="108"/>
      <c r="G53" s="108"/>
      <c r="H53" s="108"/>
      <c r="I53" s="108"/>
      <c r="J53" s="108"/>
      <c r="K53" s="108"/>
      <c r="L53" s="108"/>
      <c r="M53" s="108"/>
      <c r="N53" s="108"/>
      <c r="O53" s="108"/>
      <c r="P53" s="108"/>
      <c r="Q53" s="108"/>
      <c r="R53" s="108"/>
    </row>
    <row r="55" spans="5:18" s="88" customFormat="1">
      <c r="E55" s="108"/>
      <c r="F55" s="108"/>
      <c r="G55" s="108"/>
      <c r="H55" s="108"/>
      <c r="I55" s="108"/>
      <c r="J55" s="108"/>
      <c r="K55" s="108"/>
      <c r="L55" s="108"/>
      <c r="M55" s="108"/>
      <c r="N55" s="108"/>
      <c r="O55" s="108"/>
      <c r="P55" s="108"/>
      <c r="Q55" s="108"/>
      <c r="R55" s="108"/>
    </row>
    <row r="592" spans="4:4" s="88" customFormat="1">
      <c r="D592" s="1000"/>
    </row>
    <row r="593" spans="3:6" s="88" customFormat="1">
      <c r="C593" s="113"/>
      <c r="D593" s="1000"/>
      <c r="E593" s="108"/>
      <c r="F593" s="999" t="s">
        <v>2140</v>
      </c>
    </row>
    <row r="594" spans="3:6" s="88" customFormat="1">
      <c r="C594" s="107" t="s">
        <v>9</v>
      </c>
      <c r="D594" s="1000"/>
      <c r="E594" s="108"/>
      <c r="F594" s="108"/>
    </row>
    <row r="595" spans="3:6" s="88" customFormat="1">
      <c r="C595" s="107" t="s">
        <v>2143</v>
      </c>
      <c r="D595" s="108"/>
      <c r="E595" s="994"/>
      <c r="F595" s="108"/>
    </row>
    <row r="596" spans="3:6" s="88" customFormat="1" ht="20.25">
      <c r="C596" s="107" t="s">
        <v>2144</v>
      </c>
      <c r="D596" s="997"/>
      <c r="E596" s="994"/>
      <c r="F596" s="108"/>
    </row>
    <row r="597" spans="3:6" s="88" customFormat="1" ht="20.25">
      <c r="C597" s="107" t="s">
        <v>2146</v>
      </c>
      <c r="D597" s="997"/>
      <c r="E597" s="994"/>
      <c r="F597" s="108"/>
    </row>
    <row r="598" spans="3:6" s="88" customFormat="1" ht="20.25">
      <c r="C598" s="107" t="s">
        <v>2147</v>
      </c>
      <c r="D598" s="997"/>
      <c r="E598" s="994"/>
    </row>
    <row r="599" spans="3:6" s="88" customFormat="1" ht="20.25">
      <c r="C599" s="107" t="s">
        <v>2148</v>
      </c>
      <c r="D599" s="997"/>
      <c r="E599" s="994"/>
    </row>
    <row r="600" spans="3:6" s="88" customFormat="1" ht="20.25">
      <c r="C600" s="107" t="s">
        <v>2149</v>
      </c>
      <c r="D600" s="997"/>
      <c r="E600" s="994"/>
    </row>
    <row r="601" spans="3:6" s="88" customFormat="1" ht="20.25">
      <c r="C601" s="107" t="s">
        <v>2152</v>
      </c>
      <c r="D601" s="997"/>
      <c r="E601" s="994"/>
    </row>
    <row r="602" spans="3:6" s="88" customFormat="1" ht="20.25">
      <c r="C602" s="107" t="s">
        <v>2153</v>
      </c>
      <c r="D602" s="997"/>
      <c r="E602" s="994"/>
    </row>
    <row r="603" spans="3:6" s="88" customFormat="1" ht="20.25">
      <c r="C603" s="107" t="s">
        <v>2154</v>
      </c>
      <c r="D603" s="997"/>
      <c r="E603" s="994"/>
    </row>
    <row r="604" spans="3:6" s="88" customFormat="1" ht="20.25">
      <c r="C604" s="107" t="s">
        <v>2155</v>
      </c>
      <c r="D604" s="997"/>
      <c r="E604" s="994"/>
    </row>
    <row r="605" spans="3:6" s="88" customFormat="1" ht="20.25">
      <c r="C605" s="107" t="s">
        <v>2145</v>
      </c>
      <c r="D605" s="997"/>
      <c r="E605" s="994"/>
    </row>
    <row r="606" spans="3:6" s="88" customFormat="1" ht="20.25">
      <c r="C606" s="107" t="s">
        <v>2150</v>
      </c>
      <c r="D606" s="997"/>
      <c r="E606" s="994"/>
    </row>
    <row r="607" spans="3:6" s="88" customFormat="1" ht="20.25">
      <c r="C607" s="107" t="s">
        <v>2151</v>
      </c>
      <c r="D607" s="997"/>
      <c r="E607" s="994"/>
    </row>
    <row r="608" spans="3:6" s="88" customFormat="1" ht="20.25">
      <c r="C608" s="107" t="s">
        <v>2156</v>
      </c>
      <c r="D608" s="997"/>
      <c r="E608" s="994"/>
    </row>
    <row r="609" spans="3:5" s="88" customFormat="1" ht="20.25">
      <c r="C609" s="107" t="s">
        <v>2157</v>
      </c>
      <c r="D609" s="997"/>
      <c r="E609" s="994"/>
    </row>
    <row r="610" spans="3:5" s="88" customFormat="1" ht="20.25">
      <c r="C610" s="107" t="s">
        <v>2158</v>
      </c>
      <c r="D610" s="997"/>
      <c r="E610" s="994"/>
    </row>
    <row r="611" spans="3:5" s="88" customFormat="1" ht="20.25">
      <c r="C611" s="107" t="s">
        <v>2159</v>
      </c>
      <c r="D611" s="997"/>
      <c r="E611" s="994"/>
    </row>
    <row r="612" spans="3:5" s="88" customFormat="1" ht="20.25">
      <c r="C612" s="107" t="s">
        <v>2160</v>
      </c>
      <c r="D612" s="997"/>
      <c r="E612" s="994"/>
    </row>
    <row r="613" spans="3:5" s="88" customFormat="1" ht="20.25">
      <c r="C613" s="107" t="s">
        <v>2161</v>
      </c>
      <c r="D613" s="997"/>
      <c r="E613" s="994"/>
    </row>
    <row r="614" spans="3:5" s="88" customFormat="1" ht="20.25">
      <c r="C614" s="107" t="s">
        <v>2162</v>
      </c>
      <c r="D614" s="997"/>
      <c r="E614" s="994"/>
    </row>
    <row r="615" spans="3:5" s="88" customFormat="1" ht="20.25">
      <c r="C615" s="107" t="s">
        <v>2163</v>
      </c>
      <c r="D615" s="997"/>
      <c r="E615" s="994"/>
    </row>
    <row r="616" spans="3:5" s="88" customFormat="1" ht="20.25">
      <c r="C616" s="107" t="s">
        <v>2164</v>
      </c>
      <c r="D616" s="997"/>
      <c r="E616" s="994"/>
    </row>
    <row r="617" spans="3:5" s="88" customFormat="1" ht="20.25">
      <c r="C617" s="107" t="s">
        <v>2165</v>
      </c>
      <c r="D617" s="997"/>
      <c r="E617" s="994"/>
    </row>
    <row r="618" spans="3:5" s="88" customFormat="1" ht="20.25">
      <c r="C618" s="107" t="s">
        <v>2166</v>
      </c>
      <c r="D618" s="997"/>
      <c r="E618" s="994"/>
    </row>
    <row r="619" spans="3:5" s="88" customFormat="1" ht="20.25">
      <c r="C619" s="107" t="s">
        <v>2167</v>
      </c>
      <c r="D619" s="997"/>
      <c r="E619" s="994"/>
    </row>
    <row r="620" spans="3:5" s="88" customFormat="1" ht="20.25">
      <c r="C620" s="107" t="s">
        <v>2168</v>
      </c>
      <c r="D620" s="997"/>
      <c r="E620" s="994"/>
    </row>
    <row r="621" spans="3:5" s="88" customFormat="1" ht="20.25">
      <c r="C621" s="107" t="s">
        <v>2169</v>
      </c>
      <c r="D621" s="997"/>
      <c r="E621" s="994"/>
    </row>
    <row r="622" spans="3:5" s="88" customFormat="1" ht="20.25">
      <c r="C622" s="107" t="s">
        <v>2170</v>
      </c>
      <c r="D622" s="997"/>
      <c r="E622" s="994"/>
    </row>
    <row r="623" spans="3:5" s="88" customFormat="1" ht="20.25">
      <c r="C623" s="107" t="s">
        <v>2171</v>
      </c>
      <c r="D623" s="997"/>
      <c r="E623" s="994"/>
    </row>
    <row r="624" spans="3:5" s="88" customFormat="1" ht="20.25">
      <c r="C624" s="107" t="s">
        <v>2172</v>
      </c>
      <c r="D624" s="997"/>
      <c r="E624" s="994"/>
    </row>
    <row r="625" spans="3:5" s="88" customFormat="1" ht="20.25">
      <c r="C625" s="107" t="s">
        <v>2173</v>
      </c>
      <c r="D625" s="997"/>
      <c r="E625" s="994"/>
    </row>
    <row r="626" spans="3:5" s="88" customFormat="1" ht="20.25">
      <c r="C626" s="107" t="s">
        <v>2174</v>
      </c>
      <c r="D626" s="997"/>
      <c r="E626" s="994"/>
    </row>
    <row r="627" spans="3:5" s="88" customFormat="1" ht="20.25">
      <c r="C627" s="107" t="s">
        <v>2175</v>
      </c>
      <c r="D627" s="997"/>
      <c r="E627" s="994"/>
    </row>
    <row r="628" spans="3:5" s="88" customFormat="1" ht="20.25">
      <c r="C628" s="107" t="s">
        <v>2176</v>
      </c>
      <c r="D628" s="997"/>
      <c r="E628" s="994"/>
    </row>
    <row r="629" spans="3:5" s="88" customFormat="1" ht="20.25">
      <c r="C629" s="107" t="s">
        <v>2177</v>
      </c>
      <c r="D629" s="997"/>
      <c r="E629" s="994"/>
    </row>
    <row r="630" spans="3:5" s="88" customFormat="1" ht="20.25">
      <c r="C630" s="107" t="s">
        <v>2178</v>
      </c>
      <c r="D630" s="997"/>
      <c r="E630" s="994"/>
    </row>
    <row r="631" spans="3:5" s="88" customFormat="1" ht="20.25">
      <c r="C631" s="107" t="s">
        <v>2179</v>
      </c>
      <c r="D631" s="997"/>
      <c r="E631" s="994"/>
    </row>
    <row r="632" spans="3:5" s="88" customFormat="1" ht="20.25">
      <c r="C632" s="107" t="s">
        <v>2180</v>
      </c>
      <c r="D632" s="997"/>
      <c r="E632" s="994"/>
    </row>
    <row r="633" spans="3:5" s="88" customFormat="1" ht="20.25">
      <c r="C633" s="107" t="s">
        <v>2181</v>
      </c>
      <c r="D633" s="997"/>
      <c r="E633" s="994"/>
    </row>
    <row r="634" spans="3:5" s="88" customFormat="1" ht="20.25">
      <c r="C634" s="107" t="s">
        <v>2182</v>
      </c>
      <c r="D634" s="997"/>
      <c r="E634" s="994"/>
    </row>
    <row r="635" spans="3:5" s="88" customFormat="1" ht="20.25">
      <c r="C635" s="107" t="s">
        <v>2183</v>
      </c>
      <c r="D635" s="997"/>
      <c r="E635" s="994"/>
    </row>
    <row r="636" spans="3:5" s="88" customFormat="1" ht="20.25">
      <c r="C636" s="107" t="s">
        <v>2184</v>
      </c>
      <c r="D636" s="997"/>
      <c r="E636" s="994"/>
    </row>
    <row r="637" spans="3:5" s="88" customFormat="1" ht="20.25">
      <c r="C637" s="107" t="s">
        <v>2185</v>
      </c>
      <c r="D637" s="997"/>
      <c r="E637" s="994"/>
    </row>
    <row r="638" spans="3:5" s="88" customFormat="1" ht="20.25">
      <c r="C638" s="107" t="s">
        <v>2186</v>
      </c>
      <c r="D638" s="997"/>
      <c r="E638" s="994"/>
    </row>
    <row r="639" spans="3:5" s="88" customFormat="1" ht="20.25">
      <c r="C639" s="107" t="s">
        <v>2187</v>
      </c>
      <c r="D639" s="997"/>
      <c r="E639" s="994"/>
    </row>
    <row r="640" spans="3:5" s="88" customFormat="1" ht="20.25">
      <c r="C640" s="107" t="s">
        <v>2188</v>
      </c>
      <c r="D640" s="997"/>
      <c r="E640" s="994"/>
    </row>
    <row r="641" spans="3:5" s="88" customFormat="1" ht="26.25">
      <c r="C641" s="1031" t="s">
        <v>2189</v>
      </c>
      <c r="D641" s="997"/>
      <c r="E641" s="994"/>
    </row>
    <row r="642" spans="3:5" s="88" customFormat="1" ht="26.25">
      <c r="C642" s="1031" t="s">
        <v>2190</v>
      </c>
      <c r="D642" s="997"/>
      <c r="E642" s="994"/>
    </row>
    <row r="643" spans="3:5" s="88" customFormat="1" ht="26.25">
      <c r="C643" s="1031" t="s">
        <v>2191</v>
      </c>
      <c r="D643" s="997"/>
      <c r="E643" s="994"/>
    </row>
    <row r="644" spans="3:5" s="88" customFormat="1" ht="26.25">
      <c r="C644" s="1031" t="s">
        <v>2192</v>
      </c>
      <c r="D644" s="997"/>
      <c r="E644" s="994"/>
    </row>
    <row r="645" spans="3:5" s="88" customFormat="1" ht="26.25">
      <c r="C645" s="1031" t="s">
        <v>2193</v>
      </c>
      <c r="D645" s="997"/>
      <c r="E645" s="994"/>
    </row>
    <row r="646" spans="3:5" s="88" customFormat="1" ht="26.25">
      <c r="C646" s="1031" t="s">
        <v>2194</v>
      </c>
      <c r="D646" s="997"/>
      <c r="E646" s="994"/>
    </row>
    <row r="647" spans="3:5" s="88" customFormat="1" ht="26.25">
      <c r="C647" s="1031" t="s">
        <v>2195</v>
      </c>
      <c r="D647" s="997"/>
      <c r="E647" s="994"/>
    </row>
    <row r="648" spans="3:5" s="88" customFormat="1" ht="26.25">
      <c r="C648" s="1031" t="s">
        <v>2196</v>
      </c>
      <c r="D648" s="997"/>
      <c r="E648" s="994"/>
    </row>
    <row r="649" spans="3:5" s="88" customFormat="1" ht="26.25">
      <c r="C649" s="1031" t="s">
        <v>2197</v>
      </c>
      <c r="D649" s="997"/>
      <c r="E649" s="994"/>
    </row>
    <row r="650" spans="3:5" s="88" customFormat="1" ht="26.25">
      <c r="C650" s="1031" t="s">
        <v>2198</v>
      </c>
      <c r="D650" s="997"/>
      <c r="E650" s="994"/>
    </row>
    <row r="651" spans="3:5" s="88" customFormat="1" ht="26.25">
      <c r="C651" s="1031" t="s">
        <v>2199</v>
      </c>
      <c r="D651" s="997"/>
      <c r="E651" s="994"/>
    </row>
    <row r="652" spans="3:5" s="88" customFormat="1" ht="26.25">
      <c r="C652" s="1031" t="s">
        <v>2200</v>
      </c>
      <c r="D652" s="997"/>
      <c r="E652" s="994"/>
    </row>
    <row r="653" spans="3:5" s="88" customFormat="1" ht="26.25">
      <c r="C653" s="1031" t="s">
        <v>2201</v>
      </c>
      <c r="D653" s="997"/>
      <c r="E653" s="994"/>
    </row>
    <row r="654" spans="3:5" s="88" customFormat="1" ht="26.25">
      <c r="C654" s="1031" t="s">
        <v>2202</v>
      </c>
      <c r="D654" s="997"/>
      <c r="E654" s="994"/>
    </row>
    <row r="655" spans="3:5" s="88" customFormat="1" ht="26.25">
      <c r="C655" s="1031" t="s">
        <v>2203</v>
      </c>
      <c r="D655" s="997"/>
      <c r="E655" s="994"/>
    </row>
    <row r="656" spans="3:5" s="88" customFormat="1" ht="26.25">
      <c r="C656" s="1031" t="s">
        <v>2204</v>
      </c>
      <c r="D656" s="997"/>
      <c r="E656" s="994"/>
    </row>
    <row r="657" spans="3:5" s="88" customFormat="1" ht="26.25">
      <c r="C657" s="1031" t="s">
        <v>2205</v>
      </c>
      <c r="D657" s="997"/>
      <c r="E657" s="994"/>
    </row>
    <row r="658" spans="3:5" s="88" customFormat="1" ht="26.25">
      <c r="C658" s="1031" t="s">
        <v>2206</v>
      </c>
      <c r="D658" s="997"/>
      <c r="E658" s="994"/>
    </row>
    <row r="659" spans="3:5" s="88" customFormat="1" ht="26.25">
      <c r="C659" s="1031" t="s">
        <v>2207</v>
      </c>
      <c r="D659" s="997"/>
      <c r="E659" s="994"/>
    </row>
    <row r="660" spans="3:5" s="88" customFormat="1" ht="26.25">
      <c r="C660" s="1031" t="s">
        <v>2208</v>
      </c>
      <c r="D660" s="997"/>
      <c r="E660" s="994"/>
    </row>
    <row r="661" spans="3:5" s="88" customFormat="1" ht="26.25">
      <c r="C661" s="1031" t="s">
        <v>2209</v>
      </c>
      <c r="D661" s="997"/>
      <c r="E661" s="994"/>
    </row>
    <row r="662" spans="3:5" s="88" customFormat="1" ht="26.25">
      <c r="C662" s="1031" t="s">
        <v>2210</v>
      </c>
      <c r="D662" s="997"/>
      <c r="E662" s="994"/>
    </row>
    <row r="663" spans="3:5" s="88" customFormat="1" ht="26.25">
      <c r="C663" s="1031" t="s">
        <v>2211</v>
      </c>
      <c r="D663" s="997"/>
      <c r="E663" s="994"/>
    </row>
    <row r="664" spans="3:5" s="88" customFormat="1" ht="26.25">
      <c r="C664" s="1031" t="s">
        <v>2212</v>
      </c>
      <c r="D664" s="997"/>
      <c r="E664" s="994"/>
    </row>
    <row r="665" spans="3:5" s="88" customFormat="1" ht="26.25">
      <c r="C665" s="1031" t="s">
        <v>2213</v>
      </c>
      <c r="D665" s="997"/>
      <c r="E665" s="994"/>
    </row>
    <row r="666" spans="3:5" s="88" customFormat="1" ht="26.25">
      <c r="C666" s="1031" t="s">
        <v>2214</v>
      </c>
      <c r="D666" s="997"/>
      <c r="E666" s="994"/>
    </row>
    <row r="667" spans="3:5" s="88" customFormat="1" ht="26.25">
      <c r="C667" s="1031" t="s">
        <v>2215</v>
      </c>
      <c r="D667" s="997"/>
      <c r="E667" s="994"/>
    </row>
    <row r="668" spans="3:5" s="88" customFormat="1" ht="26.25">
      <c r="C668" s="1031" t="s">
        <v>2216</v>
      </c>
      <c r="D668" s="997"/>
      <c r="E668" s="994"/>
    </row>
    <row r="669" spans="3:5" s="88" customFormat="1" ht="26.25">
      <c r="C669" s="1031" t="s">
        <v>2217</v>
      </c>
      <c r="D669" s="997"/>
      <c r="E669" s="994"/>
    </row>
    <row r="670" spans="3:5" s="88" customFormat="1" ht="26.25">
      <c r="C670" s="1031" t="s">
        <v>2218</v>
      </c>
      <c r="D670" s="997"/>
      <c r="E670" s="994"/>
    </row>
    <row r="671" spans="3:5" s="88" customFormat="1" ht="26.25">
      <c r="C671" s="1031" t="s">
        <v>2219</v>
      </c>
      <c r="D671" s="997"/>
      <c r="E671" s="994"/>
    </row>
    <row r="672" spans="3:5" s="88" customFormat="1" ht="26.25">
      <c r="C672" s="1031" t="s">
        <v>2220</v>
      </c>
      <c r="D672" s="997"/>
      <c r="E672" s="994"/>
    </row>
    <row r="673" spans="3:5" s="88" customFormat="1" ht="26.25">
      <c r="C673" s="1031" t="s">
        <v>2221</v>
      </c>
      <c r="D673" s="997"/>
      <c r="E673" s="994"/>
    </row>
    <row r="674" spans="3:5" s="88" customFormat="1" ht="26.25">
      <c r="C674" s="1031" t="s">
        <v>2222</v>
      </c>
      <c r="D674" s="997"/>
      <c r="E674" s="994"/>
    </row>
    <row r="675" spans="3:5" s="88" customFormat="1" ht="26.25">
      <c r="C675" s="1031" t="s">
        <v>2223</v>
      </c>
      <c r="D675" s="997"/>
      <c r="E675" s="994"/>
    </row>
    <row r="676" spans="3:5" s="88" customFormat="1" ht="26.25">
      <c r="C676" s="1031" t="s">
        <v>2224</v>
      </c>
      <c r="D676" s="997"/>
      <c r="E676" s="994"/>
    </row>
    <row r="677" spans="3:5" s="88" customFormat="1" ht="26.25">
      <c r="C677" s="1031" t="s">
        <v>2225</v>
      </c>
      <c r="D677" s="997"/>
      <c r="E677" s="994"/>
    </row>
    <row r="678" spans="3:5" s="88" customFormat="1" ht="26.25">
      <c r="C678" s="1031" t="s">
        <v>2226</v>
      </c>
      <c r="D678" s="997"/>
      <c r="E678" s="994"/>
    </row>
    <row r="679" spans="3:5" s="88" customFormat="1" ht="26.25">
      <c r="C679" s="1031" t="s">
        <v>2227</v>
      </c>
      <c r="D679" s="997"/>
      <c r="E679" s="994"/>
    </row>
    <row r="680" spans="3:5" s="88" customFormat="1" ht="26.25">
      <c r="C680" s="1031" t="s">
        <v>2228</v>
      </c>
      <c r="D680" s="997"/>
      <c r="E680" s="994"/>
    </row>
    <row r="681" spans="3:5" s="88" customFormat="1" ht="26.25">
      <c r="C681" s="1031" t="s">
        <v>2229</v>
      </c>
      <c r="D681" s="997"/>
      <c r="E681" s="994"/>
    </row>
    <row r="682" spans="3:5" s="88" customFormat="1" ht="26.25">
      <c r="C682" s="1031" t="s">
        <v>2230</v>
      </c>
      <c r="D682" s="997"/>
      <c r="E682" s="994"/>
    </row>
    <row r="683" spans="3:5" s="88" customFormat="1" ht="26.25">
      <c r="C683" s="1031" t="s">
        <v>2231</v>
      </c>
      <c r="D683" s="997"/>
      <c r="E683" s="994"/>
    </row>
    <row r="684" spans="3:5" s="88" customFormat="1" ht="26.25">
      <c r="C684" s="1031" t="s">
        <v>2232</v>
      </c>
      <c r="D684" s="997"/>
      <c r="E684" s="994"/>
    </row>
    <row r="685" spans="3:5" s="88" customFormat="1" ht="26.25">
      <c r="C685" s="1031" t="s">
        <v>2233</v>
      </c>
      <c r="D685" s="997"/>
      <c r="E685" s="994"/>
    </row>
    <row r="686" spans="3:5" s="88" customFormat="1" ht="26.25">
      <c r="C686" s="1031" t="s">
        <v>2234</v>
      </c>
      <c r="D686" s="997"/>
      <c r="E686" s="994"/>
    </row>
    <row r="687" spans="3:5" s="88" customFormat="1" ht="26.25">
      <c r="C687" s="1031" t="s">
        <v>2235</v>
      </c>
      <c r="D687" s="997"/>
      <c r="E687" s="994"/>
    </row>
    <row r="688" spans="3:5" s="88" customFormat="1" ht="26.25">
      <c r="C688" s="1031" t="s">
        <v>2236</v>
      </c>
      <c r="D688" s="997"/>
      <c r="E688" s="994"/>
    </row>
    <row r="689" spans="3:11" s="88" customFormat="1" ht="26.25">
      <c r="C689" s="1031" t="s">
        <v>2237</v>
      </c>
      <c r="D689" s="997"/>
      <c r="E689" s="994"/>
      <c r="G689" s="108"/>
      <c r="H689" s="108"/>
      <c r="I689" s="108"/>
      <c r="J689" s="108"/>
      <c r="K689" s="108"/>
    </row>
    <row r="690" spans="3:11" s="993" customFormat="1" ht="24" customHeight="1">
      <c r="C690" s="1031" t="s">
        <v>2238</v>
      </c>
      <c r="D690" s="997"/>
      <c r="E690" s="994"/>
      <c r="F690" s="88"/>
      <c r="G690" s="108"/>
      <c r="H690" s="108"/>
      <c r="I690" s="108"/>
      <c r="J690" s="108"/>
      <c r="K690" s="108"/>
    </row>
    <row r="691" spans="3:11" s="993" customFormat="1" ht="24" customHeight="1">
      <c r="C691" s="1031" t="s">
        <v>2239</v>
      </c>
      <c r="D691" s="997"/>
      <c r="E691" s="994"/>
      <c r="F691" s="88"/>
      <c r="G691" s="108"/>
      <c r="H691" s="108"/>
      <c r="I691" s="108"/>
      <c r="J691" s="108"/>
      <c r="K691" s="108"/>
    </row>
    <row r="692" spans="3:11" s="993" customFormat="1" ht="24" customHeight="1">
      <c r="C692" s="1031" t="s">
        <v>2240</v>
      </c>
      <c r="D692" s="997"/>
      <c r="E692" s="994"/>
      <c r="F692" s="88"/>
      <c r="G692" s="108"/>
      <c r="H692" s="108"/>
      <c r="I692" s="108"/>
      <c r="J692" s="108"/>
      <c r="K692" s="108"/>
    </row>
    <row r="693" spans="3:11" s="993" customFormat="1" ht="24" customHeight="1">
      <c r="C693" s="1031" t="s">
        <v>2241</v>
      </c>
      <c r="D693" s="997"/>
      <c r="E693" s="994"/>
      <c r="F693" s="88"/>
      <c r="G693" s="108"/>
      <c r="H693" s="108"/>
      <c r="I693" s="108"/>
      <c r="J693" s="108"/>
      <c r="K693" s="108"/>
    </row>
    <row r="694" spans="3:11" s="993" customFormat="1" ht="24" customHeight="1">
      <c r="C694" s="1031" t="s">
        <v>2242</v>
      </c>
      <c r="D694" s="997"/>
      <c r="E694" s="994"/>
      <c r="F694" s="88"/>
      <c r="G694" s="108"/>
      <c r="H694" s="108"/>
      <c r="I694" s="108"/>
      <c r="J694" s="108"/>
      <c r="K694" s="108"/>
    </row>
    <row r="695" spans="3:11" s="993" customFormat="1" ht="24" customHeight="1">
      <c r="C695" s="1031" t="s">
        <v>2243</v>
      </c>
      <c r="D695" s="997"/>
      <c r="E695" s="994"/>
      <c r="F695" s="88"/>
      <c r="G695" s="108"/>
      <c r="H695" s="108"/>
      <c r="I695" s="108"/>
      <c r="J695" s="108"/>
      <c r="K695" s="108"/>
    </row>
    <row r="696" spans="3:11" s="993" customFormat="1" ht="24" customHeight="1">
      <c r="C696" s="1031" t="s">
        <v>26</v>
      </c>
      <c r="D696" s="1014"/>
      <c r="E696" s="994"/>
      <c r="F696" s="1016"/>
      <c r="G696" s="1015"/>
      <c r="H696" s="1015"/>
      <c r="I696" s="1015"/>
      <c r="J696" s="1015"/>
      <c r="K696" s="1015"/>
    </row>
    <row r="697" spans="3:11" s="993" customFormat="1" ht="24" customHeight="1">
      <c r="C697" s="1031" t="s">
        <v>2141</v>
      </c>
      <c r="D697" s="1014"/>
      <c r="E697" s="994"/>
      <c r="F697" s="1016"/>
      <c r="G697" s="1015"/>
      <c r="H697" s="1015"/>
      <c r="I697" s="1015"/>
      <c r="J697" s="1015"/>
      <c r="K697" s="1015"/>
    </row>
    <row r="698" spans="3:11" s="993" customFormat="1" ht="24" customHeight="1">
      <c r="C698" s="1031" t="s">
        <v>2244</v>
      </c>
      <c r="D698" s="1014"/>
      <c r="E698" s="994"/>
      <c r="F698" s="1016"/>
      <c r="G698" s="1018"/>
      <c r="H698" s="1018"/>
      <c r="I698" s="1024"/>
      <c r="J698" s="1024"/>
      <c r="K698" s="1024"/>
    </row>
    <row r="699" spans="3:11" s="993" customFormat="1" ht="24" customHeight="1">
      <c r="C699" s="1031" t="s">
        <v>2245</v>
      </c>
      <c r="D699" s="1014"/>
      <c r="E699" s="994"/>
      <c r="F699" s="1016"/>
      <c r="G699" s="1018"/>
      <c r="H699" s="1018"/>
      <c r="I699" s="1024"/>
      <c r="J699" s="1024"/>
      <c r="K699" s="1024"/>
    </row>
    <row r="700" spans="3:11" s="993" customFormat="1" ht="24" customHeight="1">
      <c r="C700" s="1031" t="s">
        <v>2246</v>
      </c>
      <c r="D700" s="1014"/>
      <c r="E700" s="994"/>
      <c r="F700" s="1016"/>
      <c r="G700" s="1018"/>
      <c r="H700" s="1018"/>
      <c r="I700" s="1024"/>
      <c r="J700" s="1024"/>
      <c r="K700" s="1024"/>
    </row>
    <row r="701" spans="3:11" s="993" customFormat="1" ht="24" customHeight="1">
      <c r="C701" s="1031" t="s">
        <v>2247</v>
      </c>
      <c r="D701" s="1014"/>
      <c r="E701" s="994"/>
      <c r="F701" s="1016"/>
      <c r="G701" s="1018"/>
      <c r="H701" s="1018"/>
      <c r="I701" s="1024"/>
      <c r="J701" s="1024"/>
      <c r="K701" s="1024"/>
    </row>
    <row r="702" spans="3:11" s="993" customFormat="1" ht="24" customHeight="1">
      <c r="C702" s="1031" t="s">
        <v>2248</v>
      </c>
      <c r="D702" s="1014"/>
      <c r="E702" s="994"/>
      <c r="F702" s="1016"/>
      <c r="G702" s="1018"/>
      <c r="H702" s="1018"/>
      <c r="I702" s="1024"/>
      <c r="J702" s="1024"/>
      <c r="K702" s="1024"/>
    </row>
    <row r="703" spans="3:11" s="993" customFormat="1" ht="24" customHeight="1">
      <c r="C703" s="1031" t="s">
        <v>2142</v>
      </c>
      <c r="D703" s="1014"/>
      <c r="E703" s="994"/>
      <c r="F703" s="1016"/>
      <c r="G703" s="1018"/>
      <c r="H703" s="1018"/>
      <c r="I703" s="1024"/>
      <c r="J703" s="1024"/>
      <c r="K703" s="1024"/>
    </row>
    <row r="704" spans="3:11" s="993" customFormat="1" ht="24" customHeight="1">
      <c r="C704" s="1031" t="s">
        <v>2249</v>
      </c>
      <c r="D704" s="1014"/>
      <c r="E704" s="994"/>
      <c r="F704" s="1016"/>
      <c r="G704" s="1018"/>
      <c r="H704" s="1018"/>
      <c r="I704" s="1024"/>
      <c r="J704" s="1024"/>
      <c r="K704" s="1024"/>
    </row>
    <row r="705" spans="3:11" s="993" customFormat="1" ht="24" customHeight="1">
      <c r="C705" s="1031" t="s">
        <v>2250</v>
      </c>
      <c r="D705" s="1014"/>
      <c r="E705" s="994"/>
      <c r="F705" s="1016"/>
      <c r="G705" s="1018"/>
      <c r="H705" s="1018"/>
      <c r="I705" s="1024"/>
      <c r="J705" s="1024"/>
      <c r="K705" s="1024"/>
    </row>
    <row r="706" spans="3:11" s="993" customFormat="1" ht="24" customHeight="1">
      <c r="C706" s="1031" t="s">
        <v>2251</v>
      </c>
      <c r="D706" s="1014"/>
      <c r="E706" s="994"/>
      <c r="F706" s="1016"/>
      <c r="G706" s="1018"/>
      <c r="H706" s="1018"/>
      <c r="I706" s="1024"/>
      <c r="J706" s="1024"/>
      <c r="K706" s="1024"/>
    </row>
    <row r="707" spans="3:11" s="993" customFormat="1" ht="24" customHeight="1">
      <c r="C707" s="1031" t="s">
        <v>2252</v>
      </c>
      <c r="D707" s="1014"/>
      <c r="E707" s="994"/>
      <c r="F707" s="1016"/>
      <c r="G707" s="1018"/>
      <c r="H707" s="1018"/>
      <c r="I707" s="1024"/>
      <c r="J707" s="1024"/>
      <c r="K707" s="1024"/>
    </row>
    <row r="708" spans="3:11" s="993" customFormat="1" ht="24" customHeight="1">
      <c r="C708" s="1031" t="s">
        <v>2253</v>
      </c>
      <c r="D708" s="1014"/>
      <c r="E708" s="994"/>
      <c r="F708" s="1016"/>
      <c r="G708" s="1018"/>
      <c r="H708" s="1018"/>
      <c r="I708" s="1024"/>
      <c r="J708" s="1024"/>
      <c r="K708" s="1024"/>
    </row>
    <row r="709" spans="3:11" s="993" customFormat="1" ht="24" customHeight="1">
      <c r="C709" s="1031" t="s">
        <v>63</v>
      </c>
      <c r="D709" s="1014"/>
      <c r="E709" s="994"/>
      <c r="F709" s="1016"/>
      <c r="G709" s="1018"/>
      <c r="H709" s="1018"/>
      <c r="I709" s="1024"/>
      <c r="J709" s="1024"/>
      <c r="K709" s="1024"/>
    </row>
    <row r="710" spans="3:11" s="993" customFormat="1" ht="24" customHeight="1">
      <c r="C710" s="1031" t="s">
        <v>2254</v>
      </c>
      <c r="D710" s="1014"/>
      <c r="E710" s="994"/>
      <c r="F710" s="1016"/>
      <c r="G710" s="1018"/>
      <c r="H710" s="1018"/>
      <c r="I710" s="1024"/>
      <c r="J710" s="1024"/>
      <c r="K710" s="1024"/>
    </row>
    <row r="711" spans="3:11" s="993" customFormat="1" ht="24" customHeight="1">
      <c r="C711" s="1031" t="s">
        <v>2255</v>
      </c>
      <c r="D711" s="1014"/>
      <c r="E711" s="994"/>
      <c r="F711" s="1016"/>
      <c r="G711" s="1018"/>
      <c r="H711" s="1018"/>
      <c r="I711" s="1024"/>
      <c r="J711" s="1024"/>
      <c r="K711" s="1024"/>
    </row>
    <row r="712" spans="3:11" s="993" customFormat="1" ht="24" customHeight="1">
      <c r="C712" s="1031" t="s">
        <v>2256</v>
      </c>
      <c r="D712" s="1014"/>
      <c r="E712" s="994"/>
      <c r="F712" s="1016"/>
      <c r="G712" s="1018"/>
      <c r="H712" s="1018"/>
      <c r="I712" s="1024"/>
      <c r="J712" s="1024"/>
      <c r="K712" s="1024"/>
    </row>
    <row r="713" spans="3:11" s="993" customFormat="1" ht="24" customHeight="1">
      <c r="C713" s="1031" t="s">
        <v>2257</v>
      </c>
      <c r="D713" s="1014"/>
      <c r="E713" s="994"/>
      <c r="F713" s="1016"/>
      <c r="G713" s="1018"/>
      <c r="H713" s="1018"/>
      <c r="I713" s="1024"/>
      <c r="J713" s="1024"/>
      <c r="K713" s="1024"/>
    </row>
    <row r="714" spans="3:11" s="993" customFormat="1" ht="24" customHeight="1">
      <c r="C714" s="1031" t="s">
        <v>2258</v>
      </c>
      <c r="D714" s="1014"/>
      <c r="E714" s="994"/>
      <c r="F714" s="1016"/>
      <c r="G714" s="1018"/>
      <c r="H714" s="1018"/>
      <c r="I714" s="1024"/>
      <c r="J714" s="1024"/>
      <c r="K714" s="1024"/>
    </row>
    <row r="715" spans="3:11" s="993" customFormat="1" ht="24" customHeight="1">
      <c r="C715" s="1031" t="s">
        <v>2259</v>
      </c>
      <c r="D715" s="1014"/>
      <c r="E715" s="994"/>
      <c r="F715" s="1016"/>
      <c r="G715" s="1018"/>
      <c r="H715" s="1018"/>
      <c r="I715" s="1024"/>
      <c r="J715" s="1024"/>
      <c r="K715" s="1024"/>
    </row>
    <row r="716" spans="3:11" s="993" customFormat="1" ht="24" customHeight="1">
      <c r="C716" s="1031" t="s">
        <v>2260</v>
      </c>
      <c r="D716" s="1014"/>
      <c r="E716" s="994"/>
      <c r="F716" s="1016"/>
      <c r="G716" s="1018"/>
      <c r="H716" s="1018"/>
      <c r="I716" s="1024"/>
      <c r="J716" s="1024"/>
      <c r="K716" s="1024"/>
    </row>
    <row r="717" spans="3:11" s="993" customFormat="1" ht="24" customHeight="1">
      <c r="C717" s="1031" t="s">
        <v>2261</v>
      </c>
      <c r="D717" s="1014"/>
      <c r="E717" s="994"/>
      <c r="F717" s="1016"/>
      <c r="G717" s="1018"/>
      <c r="H717" s="1018"/>
      <c r="I717" s="1024"/>
      <c r="J717" s="1024"/>
      <c r="K717" s="1024"/>
    </row>
    <row r="718" spans="3:11" s="993" customFormat="1" ht="24" customHeight="1">
      <c r="C718" s="1031" t="s">
        <v>997</v>
      </c>
      <c r="D718" s="1014"/>
      <c r="E718" s="994"/>
      <c r="F718" s="1016"/>
      <c r="G718" s="1018"/>
      <c r="H718" s="1018"/>
      <c r="I718" s="1024"/>
      <c r="J718" s="1024"/>
      <c r="K718" s="1024"/>
    </row>
    <row r="719" spans="3:11" s="993" customFormat="1" ht="24" customHeight="1">
      <c r="C719" s="1031" t="s">
        <v>2262</v>
      </c>
      <c r="D719" s="1014"/>
      <c r="E719" s="994"/>
      <c r="F719" s="1016"/>
      <c r="G719" s="1018"/>
      <c r="H719" s="1018"/>
      <c r="I719" s="1024"/>
      <c r="J719" s="1024"/>
      <c r="K719" s="1024"/>
    </row>
    <row r="720" spans="3:11" s="993" customFormat="1" ht="24" customHeight="1">
      <c r="C720" s="1031" t="s">
        <v>2263</v>
      </c>
      <c r="D720" s="1014"/>
      <c r="E720" s="994"/>
      <c r="F720" s="1016"/>
      <c r="G720" s="1018"/>
      <c r="H720" s="1018"/>
      <c r="I720" s="1024"/>
      <c r="J720" s="1024"/>
      <c r="K720" s="1024"/>
    </row>
    <row r="721" spans="3:11" s="993" customFormat="1" ht="24" customHeight="1">
      <c r="C721" s="1031" t="s">
        <v>2264</v>
      </c>
      <c r="D721" s="1014"/>
      <c r="E721" s="994"/>
      <c r="F721" s="1016"/>
      <c r="G721" s="1018"/>
      <c r="H721" s="1018"/>
      <c r="I721" s="1024"/>
      <c r="J721" s="1024"/>
      <c r="K721" s="1024"/>
    </row>
    <row r="722" spans="3:11" s="993" customFormat="1" ht="24" customHeight="1">
      <c r="C722" s="1031" t="s">
        <v>2265</v>
      </c>
      <c r="D722" s="1014"/>
      <c r="E722" s="994"/>
      <c r="F722" s="1016"/>
      <c r="G722" s="1018"/>
      <c r="H722" s="1018"/>
      <c r="I722" s="1024"/>
      <c r="J722" s="1024"/>
      <c r="K722" s="1024"/>
    </row>
    <row r="723" spans="3:11" s="993" customFormat="1" ht="24" customHeight="1">
      <c r="C723" s="1031" t="s">
        <v>2266</v>
      </c>
      <c r="D723" s="1014"/>
      <c r="E723" s="994"/>
      <c r="F723" s="1016"/>
      <c r="G723" s="1018"/>
      <c r="H723" s="1018"/>
      <c r="I723" s="1024"/>
      <c r="J723" s="1024"/>
      <c r="K723" s="1024"/>
    </row>
    <row r="724" spans="3:11" s="993" customFormat="1" ht="24" customHeight="1">
      <c r="C724" s="1031" t="s">
        <v>2267</v>
      </c>
      <c r="D724" s="1014"/>
      <c r="E724" s="994"/>
      <c r="F724" s="1016"/>
      <c r="G724" s="1018"/>
      <c r="H724" s="1018"/>
      <c r="I724" s="1024"/>
      <c r="J724" s="1024"/>
      <c r="K724" s="1024"/>
    </row>
    <row r="725" spans="3:11" s="993" customFormat="1" ht="24" customHeight="1">
      <c r="C725" s="1031" t="s">
        <v>2268</v>
      </c>
      <c r="D725" s="1014"/>
      <c r="E725" s="994"/>
      <c r="F725" s="1016"/>
      <c r="G725" s="1018"/>
      <c r="H725" s="1018"/>
      <c r="I725" s="1024"/>
      <c r="J725" s="1024"/>
      <c r="K725" s="1024"/>
    </row>
    <row r="726" spans="3:11" s="993" customFormat="1" ht="24" customHeight="1">
      <c r="C726" s="1031" t="s">
        <v>2269</v>
      </c>
      <c r="D726" s="1014"/>
      <c r="E726" s="994"/>
      <c r="F726" s="1016"/>
      <c r="G726" s="1018"/>
      <c r="H726" s="1018"/>
      <c r="I726" s="1024"/>
      <c r="J726" s="1024"/>
      <c r="K726" s="1024"/>
    </row>
    <row r="727" spans="3:11" s="993" customFormat="1" ht="24" customHeight="1">
      <c r="C727" s="1031" t="s">
        <v>2270</v>
      </c>
      <c r="D727" s="1014"/>
      <c r="E727" s="994"/>
      <c r="F727" s="1016"/>
      <c r="G727" s="1018"/>
      <c r="H727" s="1018"/>
      <c r="I727" s="1024"/>
      <c r="J727" s="1024"/>
      <c r="K727" s="1024"/>
    </row>
    <row r="728" spans="3:11" s="993" customFormat="1" ht="24" customHeight="1">
      <c r="C728" s="1031" t="s">
        <v>2271</v>
      </c>
      <c r="D728" s="1014"/>
      <c r="E728" s="994"/>
      <c r="F728" s="1016"/>
      <c r="G728" s="1018"/>
      <c r="H728" s="1018"/>
      <c r="I728" s="1024"/>
      <c r="J728" s="1024"/>
      <c r="K728" s="1024"/>
    </row>
    <row r="729" spans="3:11" s="993" customFormat="1" ht="24" customHeight="1">
      <c r="C729" s="1031" t="s">
        <v>998</v>
      </c>
      <c r="D729" s="1014"/>
      <c r="E729" s="994"/>
      <c r="F729" s="1016"/>
      <c r="G729" s="1018"/>
      <c r="H729" s="1018"/>
      <c r="I729" s="1024"/>
      <c r="J729" s="1024"/>
      <c r="K729" s="1024"/>
    </row>
    <row r="730" spans="3:11" s="993" customFormat="1" ht="24" customHeight="1">
      <c r="C730" s="1031" t="s">
        <v>2272</v>
      </c>
      <c r="D730" s="1014"/>
      <c r="E730" s="994"/>
      <c r="F730" s="1016"/>
      <c r="G730" s="1018"/>
      <c r="H730" s="1018"/>
      <c r="I730" s="1024"/>
      <c r="J730" s="1024"/>
      <c r="K730" s="1024"/>
    </row>
    <row r="731" spans="3:11" s="993" customFormat="1" ht="24" customHeight="1">
      <c r="C731" s="1031" t="s">
        <v>2273</v>
      </c>
      <c r="D731" s="1014"/>
      <c r="E731" s="994"/>
      <c r="F731" s="1016"/>
      <c r="G731" s="1018"/>
      <c r="H731" s="1018"/>
      <c r="I731" s="1024"/>
      <c r="J731" s="1024"/>
      <c r="K731" s="1024"/>
    </row>
    <row r="732" spans="3:11" s="993" customFormat="1" ht="24" customHeight="1">
      <c r="C732" s="1031" t="s">
        <v>2274</v>
      </c>
      <c r="D732" s="1014"/>
      <c r="E732" s="994"/>
      <c r="F732" s="1016"/>
      <c r="G732" s="1018"/>
      <c r="H732" s="1018"/>
      <c r="I732" s="1024"/>
      <c r="J732" s="1024"/>
      <c r="K732" s="1024"/>
    </row>
    <row r="733" spans="3:11" s="993" customFormat="1" ht="24" customHeight="1">
      <c r="C733" s="1031" t="s">
        <v>2275</v>
      </c>
      <c r="D733" s="1014"/>
      <c r="E733" s="994"/>
      <c r="F733" s="1016"/>
      <c r="G733" s="1018"/>
      <c r="H733" s="1018"/>
      <c r="I733" s="1024"/>
      <c r="J733" s="1024"/>
      <c r="K733" s="1024"/>
    </row>
    <row r="734" spans="3:11" s="993" customFormat="1" ht="24" customHeight="1">
      <c r="C734" s="1031" t="s">
        <v>2276</v>
      </c>
      <c r="D734" s="1014"/>
      <c r="E734" s="994"/>
      <c r="F734" s="1016"/>
      <c r="G734" s="1018"/>
      <c r="H734" s="1018"/>
      <c r="I734" s="1024"/>
      <c r="J734" s="1024"/>
      <c r="K734" s="1024"/>
    </row>
    <row r="735" spans="3:11" s="993" customFormat="1" ht="24" customHeight="1">
      <c r="C735" s="1031" t="s">
        <v>2277</v>
      </c>
      <c r="D735" s="1014"/>
      <c r="E735" s="994"/>
      <c r="F735" s="1016"/>
      <c r="G735" s="1018"/>
      <c r="H735" s="1018"/>
      <c r="I735" s="1024"/>
      <c r="J735" s="1024"/>
      <c r="K735" s="1024"/>
    </row>
    <row r="736" spans="3:11" s="993" customFormat="1" ht="24" customHeight="1">
      <c r="C736" s="1031" t="s">
        <v>2278</v>
      </c>
      <c r="D736" s="1014"/>
      <c r="E736" s="994"/>
      <c r="F736" s="1016"/>
      <c r="G736" s="1018"/>
      <c r="H736" s="1018"/>
      <c r="I736" s="1024"/>
      <c r="J736" s="1024"/>
      <c r="K736" s="1024"/>
    </row>
    <row r="737" spans="1:11" s="993" customFormat="1" ht="24" customHeight="1">
      <c r="C737" s="1031" t="s">
        <v>2279</v>
      </c>
      <c r="D737" s="1014"/>
      <c r="E737" s="994"/>
      <c r="F737" s="1016"/>
      <c r="G737" s="1018"/>
      <c r="H737" s="1018"/>
      <c r="I737" s="1024"/>
      <c r="J737" s="1024"/>
      <c r="K737" s="1024"/>
    </row>
    <row r="738" spans="1:11" s="993" customFormat="1" ht="24" customHeight="1">
      <c r="C738" s="1031" t="s">
        <v>2280</v>
      </c>
      <c r="D738" s="1014"/>
      <c r="E738" s="994"/>
      <c r="F738" s="1016"/>
      <c r="G738" s="1018"/>
      <c r="H738" s="1018"/>
      <c r="I738" s="1024"/>
      <c r="J738" s="1024"/>
      <c r="K738" s="1024"/>
    </row>
    <row r="739" spans="1:11" s="993" customFormat="1" ht="24" customHeight="1">
      <c r="C739" s="1031" t="s">
        <v>2281</v>
      </c>
      <c r="D739" s="1014"/>
      <c r="E739" s="994"/>
      <c r="F739" s="1016"/>
      <c r="G739" s="1018"/>
      <c r="H739" s="1018"/>
      <c r="I739" s="1024"/>
      <c r="J739" s="1024"/>
      <c r="K739" s="1024"/>
    </row>
    <row r="740" spans="1:11" s="993" customFormat="1" ht="24" customHeight="1">
      <c r="C740" s="1031" t="s">
        <v>2282</v>
      </c>
      <c r="D740" s="1014"/>
      <c r="E740" s="994"/>
      <c r="F740" s="1016"/>
      <c r="G740" s="1018"/>
      <c r="H740" s="1018"/>
      <c r="I740" s="1024"/>
      <c r="J740" s="1024"/>
      <c r="K740" s="1024"/>
    </row>
    <row r="741" spans="1:11" s="993" customFormat="1" ht="24" customHeight="1">
      <c r="C741" s="1031" t="s">
        <v>999</v>
      </c>
      <c r="D741" s="1014"/>
      <c r="E741" s="994"/>
      <c r="F741" s="1016"/>
      <c r="G741" s="1018"/>
      <c r="H741" s="1018"/>
      <c r="I741" s="1024"/>
      <c r="J741" s="1024"/>
      <c r="K741" s="1024"/>
    </row>
    <row r="742" spans="1:11" s="993" customFormat="1" ht="24" customHeight="1">
      <c r="C742" s="1031" t="s">
        <v>2283</v>
      </c>
      <c r="D742" s="1014"/>
      <c r="E742" s="994"/>
      <c r="F742" s="1016"/>
      <c r="G742" s="1018"/>
      <c r="H742" s="1018"/>
      <c r="I742" s="1024"/>
      <c r="J742" s="1024"/>
      <c r="K742" s="1024"/>
    </row>
    <row r="743" spans="1:11" s="993" customFormat="1" ht="24" customHeight="1">
      <c r="C743" s="1031" t="s">
        <v>2284</v>
      </c>
      <c r="D743" s="1014"/>
      <c r="E743" s="994"/>
      <c r="F743" s="1016"/>
      <c r="G743" s="1018"/>
      <c r="H743" s="1018"/>
      <c r="I743" s="1024"/>
      <c r="J743" s="1024"/>
      <c r="K743" s="1024"/>
    </row>
    <row r="744" spans="1:11" s="993" customFormat="1" ht="24" customHeight="1">
      <c r="C744" s="1031" t="s">
        <v>2285</v>
      </c>
      <c r="D744" s="1014"/>
      <c r="E744" s="994"/>
      <c r="F744" s="1016"/>
      <c r="G744" s="1018"/>
      <c r="H744" s="1018"/>
      <c r="I744" s="1024"/>
      <c r="J744" s="1024"/>
      <c r="K744" s="1024"/>
    </row>
    <row r="745" spans="1:11" s="993" customFormat="1" ht="24" customHeight="1">
      <c r="C745" s="1031" t="s">
        <v>2286</v>
      </c>
      <c r="D745" s="1014"/>
      <c r="E745" s="994"/>
      <c r="F745" s="1016"/>
      <c r="G745" s="1018"/>
      <c r="H745" s="1018"/>
      <c r="I745" s="1024"/>
      <c r="J745" s="1024"/>
      <c r="K745" s="1024"/>
    </row>
    <row r="746" spans="1:11" s="993" customFormat="1" ht="24" customHeight="1">
      <c r="C746" s="1031" t="s">
        <v>2287</v>
      </c>
      <c r="D746" s="1014"/>
      <c r="E746" s="994"/>
      <c r="F746" s="1016"/>
      <c r="G746" s="1018"/>
      <c r="H746" s="1018"/>
      <c r="I746" s="1024"/>
      <c r="J746" s="1024"/>
      <c r="K746" s="1024"/>
    </row>
    <row r="747" spans="1:11" s="993" customFormat="1" ht="24" customHeight="1">
      <c r="C747" s="1031" t="s">
        <v>2288</v>
      </c>
      <c r="D747" s="1014"/>
      <c r="E747" s="994"/>
      <c r="F747" s="1016"/>
      <c r="G747" s="1018"/>
      <c r="H747" s="1018"/>
      <c r="I747" s="1024"/>
      <c r="J747" s="1024"/>
      <c r="K747" s="1024"/>
    </row>
    <row r="748" spans="1:11" s="993" customFormat="1" ht="24" customHeight="1">
      <c r="C748" s="1031" t="s">
        <v>2289</v>
      </c>
      <c r="D748" s="1017"/>
      <c r="E748" s="1029"/>
      <c r="F748" s="998"/>
      <c r="G748" s="996"/>
      <c r="H748" s="1022"/>
      <c r="I748" s="1025"/>
      <c r="J748" s="1026"/>
      <c r="K748" s="1026"/>
    </row>
    <row r="749" spans="1:11" s="993" customFormat="1" ht="24" customHeight="1">
      <c r="A749" s="1015"/>
      <c r="B749" s="1015"/>
      <c r="C749" s="1031" t="s">
        <v>2290</v>
      </c>
      <c r="D749" s="1014"/>
      <c r="E749" s="994"/>
      <c r="F749" s="1016"/>
      <c r="G749" s="1018"/>
      <c r="H749" s="1018"/>
      <c r="I749" s="1024"/>
      <c r="J749" s="1027"/>
      <c r="K749" s="1027"/>
    </row>
    <row r="750" spans="1:11" s="993" customFormat="1" ht="24" customHeight="1">
      <c r="A750" s="1015"/>
      <c r="B750" s="1015"/>
      <c r="C750" s="1031" t="s">
        <v>2291</v>
      </c>
      <c r="D750" s="1014"/>
      <c r="E750" s="994"/>
      <c r="F750" s="1016"/>
      <c r="G750" s="1018"/>
      <c r="H750" s="1018"/>
      <c r="I750" s="1024"/>
      <c r="J750" s="1027"/>
      <c r="K750" s="1027"/>
    </row>
    <row r="751" spans="1:11" s="993" customFormat="1" ht="24" customHeight="1">
      <c r="A751" s="1015"/>
      <c r="B751" s="1015"/>
      <c r="C751" s="1031" t="s">
        <v>2292</v>
      </c>
      <c r="D751" s="1014"/>
      <c r="E751" s="994"/>
      <c r="F751" s="1016"/>
      <c r="G751" s="1018"/>
      <c r="H751" s="1018"/>
      <c r="I751" s="1024"/>
      <c r="J751" s="1027"/>
      <c r="K751" s="1027"/>
    </row>
    <row r="752" spans="1:11" s="993" customFormat="1" ht="24" customHeight="1">
      <c r="A752" s="1015"/>
      <c r="B752" s="1015"/>
      <c r="C752" s="1031" t="s">
        <v>2293</v>
      </c>
      <c r="D752" s="1014"/>
      <c r="E752" s="994"/>
      <c r="F752" s="1016"/>
      <c r="G752" s="1018"/>
      <c r="H752" s="1018"/>
      <c r="I752" s="1024"/>
      <c r="J752" s="1027"/>
      <c r="K752" s="1027"/>
    </row>
    <row r="753" spans="1:11" s="993" customFormat="1" ht="24" customHeight="1">
      <c r="A753" s="1015"/>
      <c r="B753" s="1015"/>
      <c r="C753" s="1031" t="s">
        <v>2294</v>
      </c>
      <c r="D753" s="1014"/>
      <c r="E753" s="994"/>
      <c r="F753" s="1016"/>
      <c r="G753" s="1018"/>
      <c r="H753" s="1018"/>
      <c r="I753" s="1024"/>
      <c r="J753" s="1027"/>
      <c r="K753" s="1027"/>
    </row>
    <row r="754" spans="1:11" s="993" customFormat="1" ht="24" customHeight="1">
      <c r="A754" s="1015"/>
      <c r="B754" s="1015"/>
      <c r="C754" s="1031" t="s">
        <v>2295</v>
      </c>
      <c r="D754" s="1014"/>
      <c r="E754" s="994"/>
      <c r="F754" s="1016"/>
      <c r="G754" s="1018"/>
      <c r="H754" s="1018"/>
      <c r="I754" s="1024"/>
      <c r="J754" s="1027"/>
      <c r="K754" s="1027"/>
    </row>
    <row r="755" spans="1:11" s="993" customFormat="1" ht="24" customHeight="1">
      <c r="A755" s="1015"/>
      <c r="B755" s="1015"/>
      <c r="C755" s="1031" t="s">
        <v>2296</v>
      </c>
      <c r="D755" s="1014"/>
      <c r="E755" s="994"/>
      <c r="F755" s="1016"/>
      <c r="G755" s="1018"/>
      <c r="H755" s="1018"/>
      <c r="I755" s="1024"/>
      <c r="J755" s="1027"/>
      <c r="K755" s="1027"/>
    </row>
    <row r="756" spans="1:11" s="993" customFormat="1" ht="24" customHeight="1">
      <c r="A756" s="1015"/>
      <c r="B756" s="1015"/>
      <c r="C756" s="1031" t="s">
        <v>2297</v>
      </c>
      <c r="D756" s="1014"/>
      <c r="E756" s="994"/>
      <c r="F756" s="1016"/>
      <c r="G756" s="1018"/>
      <c r="H756" s="1018"/>
      <c r="I756" s="1024"/>
      <c r="J756" s="1027"/>
      <c r="K756" s="1027"/>
    </row>
    <row r="757" spans="1:11" s="993" customFormat="1" ht="24" customHeight="1">
      <c r="A757" s="1015"/>
      <c r="B757" s="1015"/>
      <c r="C757" s="1031" t="s">
        <v>2298</v>
      </c>
      <c r="D757" s="1014"/>
      <c r="E757" s="994"/>
      <c r="F757" s="1016"/>
      <c r="G757" s="1018"/>
      <c r="H757" s="1018"/>
      <c r="I757" s="1024"/>
      <c r="J757" s="1027"/>
      <c r="K757" s="1027"/>
    </row>
    <row r="758" spans="1:11" s="993" customFormat="1" ht="24" customHeight="1">
      <c r="A758" s="1015"/>
      <c r="B758" s="1015"/>
      <c r="C758" s="1031" t="s">
        <v>2299</v>
      </c>
      <c r="D758" s="1014"/>
      <c r="E758" s="994"/>
      <c r="F758" s="1016"/>
      <c r="G758" s="1018"/>
      <c r="H758" s="1018"/>
      <c r="I758" s="1024"/>
      <c r="J758" s="1027"/>
      <c r="K758" s="1027"/>
    </row>
    <row r="759" spans="1:11" s="993" customFormat="1" ht="24" customHeight="1">
      <c r="A759" s="1015"/>
      <c r="B759" s="1015"/>
      <c r="C759" s="1031" t="s">
        <v>2300</v>
      </c>
      <c r="D759" s="1014"/>
      <c r="E759" s="994"/>
      <c r="F759" s="1016"/>
      <c r="G759" s="1018"/>
      <c r="H759" s="1018"/>
      <c r="I759" s="1024"/>
      <c r="J759" s="1027"/>
      <c r="K759" s="1027"/>
    </row>
    <row r="760" spans="1:11" s="993" customFormat="1" ht="24" customHeight="1">
      <c r="A760" s="1015"/>
      <c r="B760" s="1015"/>
      <c r="C760" s="1031" t="s">
        <v>2301</v>
      </c>
      <c r="D760" s="1014"/>
      <c r="E760" s="994"/>
      <c r="F760" s="1016"/>
      <c r="G760" s="1018"/>
      <c r="H760" s="1018"/>
      <c r="I760" s="1024"/>
      <c r="J760" s="1027"/>
      <c r="K760" s="1027"/>
    </row>
    <row r="761" spans="1:11" s="993" customFormat="1" ht="24" customHeight="1">
      <c r="A761" s="1015"/>
      <c r="B761" s="1015"/>
      <c r="C761" s="1031" t="s">
        <v>2302</v>
      </c>
      <c r="D761" s="1014"/>
      <c r="E761" s="994"/>
      <c r="F761" s="1016"/>
      <c r="G761" s="1018"/>
      <c r="H761" s="1018"/>
      <c r="I761" s="1024"/>
      <c r="J761" s="1027"/>
      <c r="K761" s="1027"/>
    </row>
    <row r="762" spans="1:11" s="993" customFormat="1" ht="24" customHeight="1">
      <c r="A762" s="1015"/>
      <c r="B762" s="1015"/>
      <c r="C762" s="1031" t="s">
        <v>2303</v>
      </c>
      <c r="D762" s="1014"/>
      <c r="E762" s="994"/>
      <c r="F762" s="1016"/>
      <c r="G762" s="1018"/>
      <c r="H762" s="1018"/>
      <c r="I762" s="1024"/>
      <c r="J762" s="1027"/>
      <c r="K762" s="1027"/>
    </row>
    <row r="763" spans="1:11" s="993" customFormat="1" ht="24" customHeight="1">
      <c r="A763" s="1015"/>
      <c r="B763" s="1015"/>
      <c r="C763" s="1031" t="s">
        <v>2304</v>
      </c>
      <c r="D763" s="1014"/>
      <c r="E763" s="994"/>
      <c r="F763" s="1016"/>
      <c r="G763" s="1018"/>
      <c r="H763" s="1018"/>
      <c r="I763" s="1024"/>
      <c r="J763" s="1027"/>
      <c r="K763" s="1027"/>
    </row>
    <row r="764" spans="1:11" s="993" customFormat="1" ht="24" customHeight="1">
      <c r="A764" s="1015"/>
      <c r="B764" s="1015"/>
      <c r="C764" s="1031" t="s">
        <v>2305</v>
      </c>
      <c r="D764" s="1014"/>
      <c r="E764" s="994"/>
      <c r="F764" s="1016"/>
      <c r="G764" s="1018"/>
      <c r="H764" s="1018"/>
      <c r="I764" s="1024"/>
      <c r="J764" s="1027"/>
      <c r="K764" s="1027"/>
    </row>
    <row r="765" spans="1:11" s="993" customFormat="1" ht="24" customHeight="1">
      <c r="A765" s="1015"/>
      <c r="B765" s="1015"/>
      <c r="C765" s="1031" t="s">
        <v>2306</v>
      </c>
      <c r="D765" s="1014"/>
      <c r="E765" s="994"/>
      <c r="F765" s="1016"/>
      <c r="G765" s="1018"/>
      <c r="H765" s="1018"/>
      <c r="I765" s="1024"/>
      <c r="J765" s="1027"/>
      <c r="K765" s="1027"/>
    </row>
    <row r="766" spans="1:11" s="993" customFormat="1" ht="24" customHeight="1">
      <c r="A766" s="1015"/>
      <c r="B766" s="1015"/>
      <c r="C766" s="1031" t="s">
        <v>2307</v>
      </c>
      <c r="D766" s="1014"/>
      <c r="E766" s="994"/>
      <c r="F766" s="1016"/>
      <c r="G766" s="1018"/>
      <c r="H766" s="1018"/>
      <c r="I766" s="1024"/>
      <c r="J766" s="1027"/>
      <c r="K766" s="1027"/>
    </row>
    <row r="767" spans="1:11" s="993" customFormat="1" ht="24" customHeight="1">
      <c r="A767" s="1015"/>
      <c r="B767" s="1015"/>
      <c r="C767" s="1031" t="s">
        <v>2308</v>
      </c>
      <c r="D767" s="1014"/>
      <c r="E767" s="994"/>
      <c r="F767" s="1016"/>
      <c r="G767" s="1018"/>
      <c r="H767" s="1018"/>
      <c r="I767" s="1024"/>
      <c r="J767" s="1027"/>
      <c r="K767" s="1027"/>
    </row>
    <row r="768" spans="1:11" s="993" customFormat="1" ht="24" customHeight="1">
      <c r="A768" s="1015"/>
      <c r="B768" s="1015"/>
      <c r="C768" s="1031" t="s">
        <v>2309</v>
      </c>
      <c r="D768" s="1014"/>
      <c r="E768" s="994"/>
      <c r="F768" s="1016"/>
      <c r="G768" s="1018"/>
      <c r="H768" s="1018"/>
      <c r="I768" s="1024"/>
      <c r="J768" s="1027"/>
      <c r="K768" s="1027"/>
    </row>
    <row r="769" spans="1:11" s="993" customFormat="1" ht="24" customHeight="1">
      <c r="A769" s="1015"/>
      <c r="B769" s="1015"/>
      <c r="C769" s="1031" t="s">
        <v>2310</v>
      </c>
      <c r="D769" s="1014"/>
      <c r="E769" s="994"/>
      <c r="F769" s="1016"/>
      <c r="G769" s="1018"/>
      <c r="H769" s="1018"/>
      <c r="I769" s="1024"/>
      <c r="J769" s="1027"/>
      <c r="K769" s="1027"/>
    </row>
    <row r="770" spans="1:11" s="993" customFormat="1" ht="24" customHeight="1">
      <c r="A770" s="1015"/>
      <c r="B770" s="1015"/>
      <c r="C770" s="1031" t="s">
        <v>2311</v>
      </c>
      <c r="D770" s="1014"/>
      <c r="E770" s="994"/>
      <c r="F770" s="1016"/>
      <c r="G770" s="1018"/>
      <c r="H770" s="1018"/>
      <c r="I770" s="1024"/>
      <c r="J770" s="1027"/>
      <c r="K770" s="1027"/>
    </row>
    <row r="771" spans="1:11" s="993" customFormat="1" ht="24" customHeight="1">
      <c r="A771" s="1015"/>
      <c r="B771" s="1015"/>
      <c r="C771" s="1031" t="s">
        <v>2312</v>
      </c>
      <c r="D771" s="1014"/>
      <c r="E771" s="994"/>
      <c r="F771" s="1016"/>
      <c r="G771" s="1018"/>
      <c r="H771" s="1018"/>
      <c r="I771" s="1024"/>
      <c r="J771" s="1027"/>
      <c r="K771" s="1027"/>
    </row>
    <row r="772" spans="1:11" s="993" customFormat="1" ht="24" customHeight="1">
      <c r="A772" s="1015"/>
      <c r="B772" s="1015"/>
      <c r="C772" s="1031" t="s">
        <v>2313</v>
      </c>
      <c r="D772" s="1014"/>
      <c r="E772" s="994"/>
      <c r="F772" s="1016"/>
      <c r="G772" s="1018"/>
      <c r="H772" s="1018"/>
      <c r="I772" s="1024"/>
      <c r="J772" s="1027"/>
      <c r="K772" s="1027"/>
    </row>
    <row r="773" spans="1:11" s="993" customFormat="1" ht="24" customHeight="1">
      <c r="A773" s="1015"/>
      <c r="B773" s="1015"/>
      <c r="C773" s="1031" t="s">
        <v>2314</v>
      </c>
      <c r="D773" s="1014"/>
      <c r="E773" s="994"/>
      <c r="F773" s="1016"/>
      <c r="G773" s="1018"/>
      <c r="H773" s="1018"/>
      <c r="I773" s="1024"/>
      <c r="J773" s="1027"/>
      <c r="K773" s="1027"/>
    </row>
    <row r="774" spans="1:11" s="993" customFormat="1" ht="24" customHeight="1">
      <c r="A774" s="1015"/>
      <c r="B774" s="1015"/>
      <c r="C774" s="1031" t="s">
        <v>2315</v>
      </c>
      <c r="D774" s="1014"/>
      <c r="E774" s="994"/>
      <c r="F774" s="1016"/>
      <c r="G774" s="1018"/>
      <c r="H774" s="1018"/>
      <c r="I774" s="1024"/>
      <c r="J774" s="1027"/>
      <c r="K774" s="1027"/>
    </row>
    <row r="775" spans="1:11" s="993" customFormat="1" ht="24" customHeight="1">
      <c r="A775" s="1015"/>
      <c r="B775" s="1015"/>
      <c r="C775" s="1031" t="s">
        <v>2316</v>
      </c>
      <c r="D775" s="1014"/>
      <c r="E775" s="994"/>
      <c r="F775" s="1016"/>
      <c r="G775" s="1018"/>
      <c r="H775" s="1018"/>
      <c r="I775" s="1024"/>
      <c r="J775" s="1027"/>
      <c r="K775" s="1027"/>
    </row>
    <row r="776" spans="1:11" s="993" customFormat="1" ht="24" customHeight="1">
      <c r="A776" s="1015"/>
      <c r="B776" s="1015"/>
      <c r="C776" s="1031" t="s">
        <v>2317</v>
      </c>
      <c r="D776" s="1014"/>
      <c r="E776" s="994"/>
      <c r="F776" s="1016"/>
      <c r="G776" s="1018"/>
      <c r="H776" s="1018"/>
      <c r="I776" s="1024"/>
      <c r="J776" s="1027"/>
      <c r="K776" s="1027"/>
    </row>
    <row r="777" spans="1:11" s="993" customFormat="1" ht="24" customHeight="1">
      <c r="A777" s="1015"/>
      <c r="B777" s="1015"/>
      <c r="C777" s="1031" t="s">
        <v>2318</v>
      </c>
      <c r="D777" s="1014"/>
      <c r="E777" s="994"/>
      <c r="F777" s="1016"/>
      <c r="G777" s="1018"/>
      <c r="H777" s="1018"/>
      <c r="I777" s="1024"/>
      <c r="J777" s="1027"/>
      <c r="K777" s="1027"/>
    </row>
    <row r="778" spans="1:11" s="993" customFormat="1" ht="24" customHeight="1">
      <c r="A778" s="1015"/>
      <c r="B778" s="1015"/>
      <c r="C778" s="1031" t="s">
        <v>2319</v>
      </c>
      <c r="D778" s="1014"/>
      <c r="E778" s="994"/>
      <c r="F778" s="1016"/>
      <c r="G778" s="1018"/>
      <c r="H778" s="1018"/>
      <c r="I778" s="1024"/>
      <c r="J778" s="1027"/>
      <c r="K778" s="1027"/>
    </row>
    <row r="779" spans="1:11" s="993" customFormat="1" ht="24" customHeight="1">
      <c r="A779" s="1015"/>
      <c r="B779" s="1015"/>
      <c r="C779" s="1031" t="s">
        <v>2320</v>
      </c>
      <c r="D779" s="1014"/>
      <c r="E779" s="994"/>
      <c r="F779" s="1016"/>
      <c r="G779" s="1018"/>
      <c r="H779" s="1018"/>
      <c r="I779" s="1024"/>
      <c r="J779" s="1027"/>
      <c r="K779" s="1027"/>
    </row>
    <row r="780" spans="1:11" s="993" customFormat="1" ht="24" customHeight="1">
      <c r="A780" s="1015"/>
      <c r="B780" s="1015"/>
      <c r="C780" s="1031" t="s">
        <v>2321</v>
      </c>
      <c r="D780" s="1014"/>
      <c r="E780" s="994"/>
      <c r="F780" s="1016"/>
      <c r="G780" s="1018"/>
      <c r="H780" s="1018"/>
      <c r="I780" s="1024"/>
      <c r="J780" s="1027"/>
      <c r="K780" s="1027"/>
    </row>
    <row r="781" spans="1:11" s="993" customFormat="1" ht="24" customHeight="1">
      <c r="A781" s="1015"/>
      <c r="B781" s="1015"/>
      <c r="C781" s="1031" t="s">
        <v>2322</v>
      </c>
      <c r="D781" s="1014"/>
      <c r="E781" s="994"/>
      <c r="F781" s="1016"/>
      <c r="G781" s="1018"/>
      <c r="H781" s="1018"/>
      <c r="I781" s="1024"/>
      <c r="J781" s="1027"/>
      <c r="K781" s="1027"/>
    </row>
    <row r="782" spans="1:11" s="993" customFormat="1" ht="24" customHeight="1">
      <c r="A782" s="1015"/>
      <c r="B782" s="1015"/>
      <c r="C782" s="1031" t="s">
        <v>2323</v>
      </c>
      <c r="D782" s="1014"/>
      <c r="E782" s="994"/>
      <c r="F782" s="1016"/>
      <c r="G782" s="1018"/>
      <c r="H782" s="1018"/>
      <c r="I782" s="1024"/>
      <c r="J782" s="1027"/>
      <c r="K782" s="1027"/>
    </row>
    <row r="783" spans="1:11" s="993" customFormat="1" ht="24" customHeight="1">
      <c r="A783" s="1015"/>
      <c r="B783" s="1015"/>
      <c r="C783" s="1031" t="s">
        <v>2324</v>
      </c>
      <c r="D783" s="1014"/>
      <c r="E783" s="994"/>
      <c r="F783" s="1016"/>
      <c r="G783" s="1018"/>
      <c r="H783" s="1018"/>
      <c r="I783" s="1024"/>
      <c r="J783" s="1027"/>
      <c r="K783" s="1027"/>
    </row>
    <row r="784" spans="1:11" s="993" customFormat="1" ht="24" customHeight="1">
      <c r="A784" s="1015"/>
      <c r="B784" s="1015"/>
      <c r="C784" s="1031" t="s">
        <v>2325</v>
      </c>
      <c r="D784" s="1014"/>
      <c r="E784" s="994"/>
      <c r="F784" s="1016"/>
      <c r="G784" s="1018"/>
      <c r="H784" s="1018"/>
      <c r="I784" s="1024"/>
      <c r="J784" s="1027"/>
      <c r="K784" s="1027"/>
    </row>
    <row r="785" spans="1:11" s="993" customFormat="1" ht="24" customHeight="1">
      <c r="A785" s="1015"/>
      <c r="B785" s="1015"/>
      <c r="C785" s="1031" t="s">
        <v>2326</v>
      </c>
      <c r="D785" s="1014"/>
      <c r="E785" s="994"/>
      <c r="F785" s="1016"/>
      <c r="G785" s="1018"/>
      <c r="H785" s="1018"/>
      <c r="I785" s="1024"/>
      <c r="J785" s="1027"/>
      <c r="K785" s="1027"/>
    </row>
    <row r="786" spans="1:11" s="993" customFormat="1" ht="24" customHeight="1">
      <c r="A786" s="1015"/>
      <c r="B786" s="1015"/>
      <c r="C786" s="1031" t="s">
        <v>2327</v>
      </c>
      <c r="D786" s="1014"/>
      <c r="E786" s="994"/>
      <c r="F786" s="1016"/>
      <c r="G786" s="1018"/>
      <c r="H786" s="1018"/>
      <c r="I786" s="1024"/>
      <c r="J786" s="1027"/>
      <c r="K786" s="1027"/>
    </row>
    <row r="787" spans="1:11" s="993" customFormat="1" ht="24" customHeight="1">
      <c r="A787" s="1015"/>
      <c r="B787" s="1015"/>
      <c r="C787" s="1031" t="s">
        <v>2328</v>
      </c>
      <c r="D787" s="1014"/>
      <c r="E787" s="994"/>
      <c r="F787" s="1016"/>
      <c r="G787" s="1018"/>
      <c r="H787" s="1018"/>
      <c r="I787" s="1024"/>
      <c r="J787" s="1027"/>
      <c r="K787" s="1027"/>
    </row>
    <row r="788" spans="1:11" s="993" customFormat="1" ht="24" customHeight="1">
      <c r="A788" s="1015"/>
      <c r="B788" s="1015"/>
      <c r="C788" s="1031" t="s">
        <v>2329</v>
      </c>
      <c r="D788" s="1014"/>
      <c r="E788" s="994"/>
      <c r="F788" s="1016"/>
      <c r="G788" s="1018"/>
      <c r="H788" s="1018"/>
      <c r="I788" s="1024"/>
      <c r="J788" s="1027"/>
      <c r="K788" s="1027"/>
    </row>
    <row r="789" spans="1:11" s="993" customFormat="1" ht="24" customHeight="1">
      <c r="A789" s="1015"/>
      <c r="B789" s="1015"/>
      <c r="C789" s="1031" t="s">
        <v>2330</v>
      </c>
      <c r="D789" s="1014"/>
      <c r="E789" s="994"/>
      <c r="F789" s="1016"/>
      <c r="G789" s="1018"/>
      <c r="H789" s="1018"/>
      <c r="I789" s="1024"/>
      <c r="J789" s="1027"/>
      <c r="K789" s="1027"/>
    </row>
    <row r="790" spans="1:11" s="993" customFormat="1" ht="24" customHeight="1">
      <c r="A790" s="1015"/>
      <c r="B790" s="1015"/>
      <c r="C790" s="1031" t="s">
        <v>2331</v>
      </c>
      <c r="D790" s="1014"/>
      <c r="E790" s="994"/>
      <c r="F790" s="1016"/>
      <c r="G790" s="1018"/>
      <c r="H790" s="1018"/>
      <c r="I790" s="1024"/>
      <c r="J790" s="1027"/>
      <c r="K790" s="1027"/>
    </row>
    <row r="791" spans="1:11" s="993" customFormat="1" ht="24" customHeight="1">
      <c r="A791" s="1015"/>
      <c r="B791" s="1015"/>
      <c r="C791" s="1031" t="s">
        <v>2332</v>
      </c>
      <c r="D791" s="1014"/>
      <c r="E791" s="994"/>
      <c r="F791" s="1016"/>
      <c r="G791" s="1018"/>
      <c r="H791" s="1018"/>
      <c r="I791" s="1024"/>
      <c r="J791" s="1027"/>
      <c r="K791" s="1027"/>
    </row>
    <row r="792" spans="1:11" s="993" customFormat="1" ht="24" customHeight="1">
      <c r="A792" s="1015"/>
      <c r="B792" s="1015"/>
      <c r="C792" s="1031" t="s">
        <v>2333</v>
      </c>
      <c r="D792" s="1014"/>
      <c r="E792" s="994"/>
      <c r="F792" s="1016"/>
      <c r="G792" s="1018"/>
      <c r="H792" s="1018"/>
      <c r="I792" s="1024"/>
      <c r="J792" s="1027"/>
      <c r="K792" s="1027"/>
    </row>
    <row r="793" spans="1:11" s="993" customFormat="1" ht="24" customHeight="1">
      <c r="A793" s="1015"/>
      <c r="B793" s="1015"/>
      <c r="C793" s="1031" t="s">
        <v>2334</v>
      </c>
      <c r="D793" s="1014"/>
      <c r="E793" s="994"/>
      <c r="F793" s="1016"/>
      <c r="G793" s="1018"/>
      <c r="H793" s="1018"/>
      <c r="I793" s="1024"/>
      <c r="J793" s="1027"/>
      <c r="K793" s="1027"/>
    </row>
    <row r="794" spans="1:11" s="993" customFormat="1" ht="24" customHeight="1">
      <c r="A794" s="1015"/>
      <c r="B794" s="1015"/>
      <c r="C794" s="1031" t="s">
        <v>1000</v>
      </c>
      <c r="D794" s="1014"/>
      <c r="E794" s="994"/>
      <c r="F794" s="1016"/>
      <c r="G794" s="1018"/>
      <c r="H794" s="1018"/>
      <c r="I794" s="1024"/>
      <c r="J794" s="1027"/>
      <c r="K794" s="1027"/>
    </row>
    <row r="795" spans="1:11" s="993" customFormat="1" ht="24" customHeight="1">
      <c r="A795" s="1015"/>
      <c r="B795" s="1015"/>
      <c r="C795" s="1031" t="s">
        <v>2335</v>
      </c>
      <c r="D795" s="1014"/>
      <c r="E795" s="994"/>
      <c r="F795" s="1016"/>
      <c r="G795" s="1018"/>
      <c r="H795" s="1018"/>
      <c r="I795" s="1024"/>
      <c r="J795" s="1027"/>
      <c r="K795" s="1027"/>
    </row>
    <row r="796" spans="1:11" s="993" customFormat="1" ht="24" customHeight="1">
      <c r="A796" s="1015"/>
      <c r="B796" s="1015"/>
      <c r="C796" s="1031" t="s">
        <v>2336</v>
      </c>
      <c r="D796" s="1014"/>
      <c r="E796" s="994"/>
      <c r="F796" s="1016"/>
      <c r="G796" s="1018"/>
      <c r="H796" s="1018"/>
      <c r="I796" s="1024"/>
      <c r="J796" s="1027"/>
      <c r="K796" s="1027"/>
    </row>
    <row r="797" spans="1:11" s="993" customFormat="1" ht="24" customHeight="1">
      <c r="A797" s="1015"/>
      <c r="B797" s="1015"/>
      <c r="C797" s="1031" t="s">
        <v>2337</v>
      </c>
      <c r="D797" s="1014"/>
      <c r="E797" s="994"/>
      <c r="F797" s="1016"/>
      <c r="G797" s="1018"/>
      <c r="H797" s="1018"/>
      <c r="I797" s="1024"/>
      <c r="J797" s="1027"/>
      <c r="K797" s="1027"/>
    </row>
    <row r="798" spans="1:11" s="993" customFormat="1" ht="24" customHeight="1">
      <c r="A798" s="1015"/>
      <c r="B798" s="1015"/>
      <c r="C798" s="1031" t="s">
        <v>2338</v>
      </c>
      <c r="D798" s="1014"/>
      <c r="E798" s="994"/>
      <c r="F798" s="1016"/>
      <c r="G798" s="1018"/>
      <c r="H798" s="1018"/>
      <c r="I798" s="1024"/>
      <c r="J798" s="1027"/>
      <c r="K798" s="1027"/>
    </row>
    <row r="799" spans="1:11" s="993" customFormat="1" ht="24" customHeight="1">
      <c r="A799" s="1015"/>
      <c r="B799" s="1015"/>
      <c r="C799" s="1031" t="s">
        <v>2339</v>
      </c>
      <c r="D799" s="1014"/>
      <c r="E799" s="994"/>
      <c r="F799" s="1016"/>
      <c r="G799" s="1018"/>
      <c r="H799" s="1018"/>
      <c r="I799" s="1024"/>
      <c r="J799" s="1027"/>
      <c r="K799" s="1027"/>
    </row>
    <row r="800" spans="1:11" s="993" customFormat="1" ht="24" customHeight="1">
      <c r="A800" s="1015"/>
      <c r="B800" s="1015"/>
      <c r="C800" s="1031" t="s">
        <v>2340</v>
      </c>
      <c r="D800" s="1014"/>
      <c r="E800" s="994"/>
      <c r="F800" s="1016"/>
      <c r="G800" s="1018"/>
      <c r="H800" s="1018"/>
      <c r="I800" s="1024"/>
      <c r="J800" s="1027"/>
      <c r="K800" s="1027"/>
    </row>
    <row r="801" spans="1:11" s="993" customFormat="1" ht="24" customHeight="1">
      <c r="A801" s="1015"/>
      <c r="B801" s="1015"/>
      <c r="C801" s="1031" t="s">
        <v>2341</v>
      </c>
      <c r="D801" s="1014"/>
      <c r="E801" s="994"/>
      <c r="F801" s="1016"/>
      <c r="G801" s="1018"/>
      <c r="H801" s="1018"/>
      <c r="I801" s="1024"/>
      <c r="J801" s="1027"/>
      <c r="K801" s="1027"/>
    </row>
    <row r="802" spans="1:11" s="993" customFormat="1" ht="24" customHeight="1">
      <c r="A802" s="1015"/>
      <c r="B802" s="1015"/>
      <c r="C802" s="1031" t="s">
        <v>2342</v>
      </c>
      <c r="D802" s="1014"/>
      <c r="E802" s="994"/>
      <c r="F802" s="1016"/>
      <c r="G802" s="1018"/>
      <c r="H802" s="1018"/>
      <c r="I802" s="1024"/>
      <c r="J802" s="1027"/>
      <c r="K802" s="1027"/>
    </row>
    <row r="803" spans="1:11" s="993" customFormat="1" ht="24" customHeight="1">
      <c r="A803" s="1015"/>
      <c r="B803" s="1015"/>
      <c r="C803" s="1031" t="s">
        <v>2343</v>
      </c>
      <c r="D803" s="1014"/>
      <c r="E803" s="994"/>
      <c r="F803" s="1016"/>
      <c r="G803" s="1018"/>
      <c r="H803" s="1018"/>
      <c r="I803" s="1024"/>
      <c r="J803" s="1027"/>
      <c r="K803" s="1027"/>
    </row>
    <row r="804" spans="1:11" s="993" customFormat="1" ht="24" customHeight="1">
      <c r="A804" s="1015"/>
      <c r="B804" s="1015"/>
      <c r="C804" s="1031" t="s">
        <v>2344</v>
      </c>
      <c r="D804" s="1014"/>
      <c r="E804" s="994"/>
      <c r="F804" s="1016"/>
      <c r="G804" s="1018"/>
      <c r="H804" s="1018"/>
      <c r="I804" s="1024"/>
      <c r="J804" s="1027"/>
      <c r="K804" s="1027"/>
    </row>
    <row r="805" spans="1:11" s="993" customFormat="1" ht="24" customHeight="1">
      <c r="A805" s="1015"/>
      <c r="B805" s="1015"/>
      <c r="C805" s="1031" t="s">
        <v>2345</v>
      </c>
      <c r="D805" s="1014"/>
      <c r="E805" s="994"/>
      <c r="F805" s="1016"/>
      <c r="G805" s="1018"/>
      <c r="H805" s="1018"/>
      <c r="I805" s="1024"/>
      <c r="J805" s="1027"/>
      <c r="K805" s="1027"/>
    </row>
    <row r="806" spans="1:11" s="993" customFormat="1" ht="24" customHeight="1">
      <c r="A806" s="1015"/>
      <c r="B806" s="1015"/>
      <c r="C806" s="1031" t="s">
        <v>2346</v>
      </c>
      <c r="D806" s="1014"/>
      <c r="E806" s="994"/>
      <c r="F806" s="1016"/>
      <c r="G806" s="1018"/>
      <c r="H806" s="1018"/>
      <c r="I806" s="1024"/>
      <c r="J806" s="1027"/>
      <c r="K806" s="1027"/>
    </row>
    <row r="807" spans="1:11" s="993" customFormat="1" ht="24" customHeight="1">
      <c r="A807" s="1006"/>
      <c r="B807" s="1006"/>
      <c r="C807" s="1031" t="s">
        <v>2347</v>
      </c>
      <c r="D807" s="1010" t="s">
        <v>2099</v>
      </c>
      <c r="E807" s="994">
        <v>16</v>
      </c>
      <c r="F807" s="1007" t="s">
        <v>2114</v>
      </c>
      <c r="G807" s="1009">
        <v>50</v>
      </c>
      <c r="H807" s="1019" t="s">
        <v>2112</v>
      </c>
      <c r="I807" s="1011">
        <v>4</v>
      </c>
      <c r="J807" s="1023">
        <v>5</v>
      </c>
      <c r="K807" s="1023">
        <v>250</v>
      </c>
    </row>
    <row r="808" spans="1:11" s="993" customFormat="1" ht="24" customHeight="1">
      <c r="A808" s="1006"/>
      <c r="B808" s="1006"/>
      <c r="C808" s="1031" t="s">
        <v>2348</v>
      </c>
      <c r="D808" s="1010" t="s">
        <v>2099</v>
      </c>
      <c r="E808" s="994">
        <v>19</v>
      </c>
      <c r="F808" s="1007" t="s">
        <v>2117</v>
      </c>
      <c r="G808" s="1009">
        <v>1</v>
      </c>
      <c r="H808" s="1019" t="s">
        <v>2112</v>
      </c>
      <c r="I808" s="1011">
        <v>180</v>
      </c>
      <c r="J808" s="1023">
        <v>225</v>
      </c>
      <c r="K808" s="1023">
        <v>225</v>
      </c>
    </row>
    <row r="809" spans="1:11" s="993" customFormat="1" ht="24" customHeight="1">
      <c r="A809" s="1006"/>
      <c r="B809" s="1006"/>
      <c r="C809" s="1031" t="s">
        <v>2349</v>
      </c>
      <c r="D809" s="1010" t="s">
        <v>2099</v>
      </c>
      <c r="E809" s="994">
        <v>18</v>
      </c>
      <c r="F809" s="1007" t="s">
        <v>2116</v>
      </c>
      <c r="G809" s="1009">
        <v>1</v>
      </c>
      <c r="H809" s="1019" t="s">
        <v>2123</v>
      </c>
      <c r="I809" s="1011">
        <v>150</v>
      </c>
      <c r="J809" s="1023">
        <v>187.5</v>
      </c>
      <c r="K809" s="1023">
        <v>187.5</v>
      </c>
    </row>
    <row r="810" spans="1:11" s="993" customFormat="1" ht="24" customHeight="1">
      <c r="A810" s="1006"/>
      <c r="B810" s="1006"/>
      <c r="C810" s="1031" t="s">
        <v>2350</v>
      </c>
      <c r="D810" s="1010" t="s">
        <v>2099</v>
      </c>
      <c r="E810" s="994">
        <v>14</v>
      </c>
      <c r="F810" s="1007" t="s">
        <v>2115</v>
      </c>
      <c r="G810" s="1009">
        <v>5</v>
      </c>
      <c r="H810" s="1019" t="s">
        <v>2122</v>
      </c>
      <c r="I810" s="1011">
        <v>120</v>
      </c>
      <c r="J810" s="1023">
        <v>150</v>
      </c>
      <c r="K810" s="1023">
        <v>750</v>
      </c>
    </row>
    <row r="811" spans="1:11" s="993" customFormat="1" ht="24" customHeight="1">
      <c r="A811" s="1006"/>
      <c r="B811" s="1006"/>
      <c r="C811" s="1031" t="s">
        <v>2351</v>
      </c>
      <c r="D811" s="1010" t="s">
        <v>2099</v>
      </c>
      <c r="E811" s="994">
        <v>12</v>
      </c>
      <c r="F811" s="1007" t="s">
        <v>2124</v>
      </c>
      <c r="G811" s="1009">
        <v>50</v>
      </c>
      <c r="H811" s="1019" t="s">
        <v>2112</v>
      </c>
      <c r="I811" s="1011">
        <v>12</v>
      </c>
      <c r="J811" s="1023">
        <v>15</v>
      </c>
      <c r="K811" s="1023">
        <v>750</v>
      </c>
    </row>
    <row r="812" spans="1:11" s="993" customFormat="1" ht="24" customHeight="1">
      <c r="A812" s="1005"/>
      <c r="B812" s="1004"/>
      <c r="C812" s="1031" t="s">
        <v>1893</v>
      </c>
      <c r="D812" s="1012"/>
      <c r="E812" s="994"/>
      <c r="F812" s="1013" t="s">
        <v>2125</v>
      </c>
      <c r="G812" s="1020"/>
      <c r="H812" s="1021"/>
      <c r="I812" s="1008"/>
      <c r="J812" s="1008"/>
      <c r="K812" s="1028"/>
    </row>
    <row r="813" spans="1:11" s="993" customFormat="1" ht="24" customHeight="1">
      <c r="A813" s="1006"/>
      <c r="B813" s="1006"/>
      <c r="C813" s="1031" t="s">
        <v>2352</v>
      </c>
      <c r="D813" s="1010" t="s">
        <v>2100</v>
      </c>
      <c r="E813" s="994">
        <v>2</v>
      </c>
      <c r="F813" s="1007" t="s">
        <v>2102</v>
      </c>
      <c r="G813" s="1009">
        <v>4</v>
      </c>
      <c r="H813" s="1019" t="s">
        <v>2110</v>
      </c>
      <c r="I813" s="1011">
        <v>80</v>
      </c>
      <c r="J813" s="1023">
        <v>100</v>
      </c>
      <c r="K813" s="1023">
        <v>400</v>
      </c>
    </row>
    <row r="814" spans="1:11" s="993" customFormat="1" ht="24" customHeight="1">
      <c r="A814" s="1006"/>
      <c r="B814" s="1006"/>
      <c r="C814" s="1031" t="s">
        <v>2353</v>
      </c>
      <c r="D814" s="1010" t="s">
        <v>2100</v>
      </c>
      <c r="E814" s="994">
        <v>3</v>
      </c>
      <c r="F814" s="1007" t="s">
        <v>2103</v>
      </c>
      <c r="G814" s="1009">
        <v>4</v>
      </c>
      <c r="H814" s="1019" t="s">
        <v>2110</v>
      </c>
      <c r="I814" s="1011">
        <v>150</v>
      </c>
      <c r="J814" s="1023">
        <v>187.5</v>
      </c>
      <c r="K814" s="1023">
        <v>750</v>
      </c>
    </row>
    <row r="815" spans="1:11" s="993" customFormat="1" ht="24" customHeight="1">
      <c r="A815" s="1006"/>
      <c r="B815" s="1006"/>
      <c r="C815" s="1031" t="s">
        <v>2354</v>
      </c>
      <c r="D815" s="1010" t="s">
        <v>2099</v>
      </c>
      <c r="E815" s="994">
        <v>8</v>
      </c>
      <c r="F815" s="1007" t="s">
        <v>2106</v>
      </c>
      <c r="G815" s="1009">
        <v>8</v>
      </c>
      <c r="H815" s="1019" t="s">
        <v>2110</v>
      </c>
      <c r="I815" s="1011">
        <v>40</v>
      </c>
      <c r="J815" s="1023">
        <v>50</v>
      </c>
      <c r="K815" s="1023">
        <v>400</v>
      </c>
    </row>
    <row r="816" spans="1:11" s="993" customFormat="1" ht="24" customHeight="1">
      <c r="A816" s="1006"/>
      <c r="B816" s="1006"/>
      <c r="C816" s="1031" t="s">
        <v>2355</v>
      </c>
      <c r="D816" s="1010" t="s">
        <v>2099</v>
      </c>
      <c r="E816" s="994">
        <v>1</v>
      </c>
      <c r="F816" s="1007" t="s">
        <v>2101</v>
      </c>
      <c r="G816" s="1009">
        <v>8</v>
      </c>
      <c r="H816" s="1019" t="s">
        <v>2110</v>
      </c>
      <c r="I816" s="1011">
        <v>25</v>
      </c>
      <c r="J816" s="1023">
        <v>31.25</v>
      </c>
      <c r="K816" s="1023">
        <v>250</v>
      </c>
    </row>
    <row r="817" spans="1:11" s="993" customFormat="1" ht="24" customHeight="1">
      <c r="A817" s="1006"/>
      <c r="B817" s="1006"/>
      <c r="C817" s="1031" t="s">
        <v>2356</v>
      </c>
      <c r="D817" s="1010" t="s">
        <v>2099</v>
      </c>
      <c r="E817" s="994">
        <v>31</v>
      </c>
      <c r="F817" s="1007" t="s">
        <v>2109</v>
      </c>
      <c r="G817" s="1009">
        <v>100</v>
      </c>
      <c r="H817" s="1019" t="s">
        <v>2112</v>
      </c>
      <c r="I817" s="1011">
        <v>10.5</v>
      </c>
      <c r="J817" s="1023">
        <v>13.13</v>
      </c>
      <c r="K817" s="1023">
        <v>1313</v>
      </c>
    </row>
    <row r="818" spans="1:11" s="993" customFormat="1" ht="24" customHeight="1">
      <c r="A818" s="1006"/>
      <c r="B818" s="1006"/>
      <c r="C818" s="1031" t="s">
        <v>2357</v>
      </c>
      <c r="D818" s="1010" t="s">
        <v>2099</v>
      </c>
      <c r="E818" s="994">
        <v>8</v>
      </c>
      <c r="F818" s="1007" t="s">
        <v>2126</v>
      </c>
      <c r="G818" s="1009">
        <v>50</v>
      </c>
      <c r="H818" s="1019" t="s">
        <v>2112</v>
      </c>
      <c r="I818" s="1011">
        <v>40.25</v>
      </c>
      <c r="J818" s="1023">
        <v>50.31</v>
      </c>
      <c r="K818" s="1023">
        <v>2515.5</v>
      </c>
    </row>
    <row r="819" spans="1:11" s="993" customFormat="1" ht="24" customHeight="1">
      <c r="A819" s="1006"/>
      <c r="B819" s="1006"/>
      <c r="C819" s="1031" t="s">
        <v>2358</v>
      </c>
      <c r="D819" s="1010" t="s">
        <v>2099</v>
      </c>
      <c r="E819" s="994">
        <v>1</v>
      </c>
      <c r="F819" s="1007" t="s">
        <v>2107</v>
      </c>
      <c r="G819" s="1009">
        <v>2</v>
      </c>
      <c r="H819" s="1019" t="s">
        <v>2111</v>
      </c>
      <c r="I819" s="1011">
        <v>10</v>
      </c>
      <c r="J819" s="1023">
        <v>12.5</v>
      </c>
      <c r="K819" s="1023">
        <v>25</v>
      </c>
    </row>
    <row r="820" spans="1:11" s="993" customFormat="1" ht="24" customHeight="1">
      <c r="A820" s="1006"/>
      <c r="B820" s="1006"/>
      <c r="C820" s="1031" t="s">
        <v>2359</v>
      </c>
      <c r="D820" s="1010" t="s">
        <v>2099</v>
      </c>
      <c r="E820" s="994">
        <v>16</v>
      </c>
      <c r="F820" s="1007" t="s">
        <v>2114</v>
      </c>
      <c r="G820" s="1009">
        <v>100</v>
      </c>
      <c r="H820" s="1019" t="s">
        <v>2112</v>
      </c>
      <c r="I820" s="1011">
        <v>4</v>
      </c>
      <c r="J820" s="1023">
        <v>5</v>
      </c>
      <c r="K820" s="1023">
        <v>500</v>
      </c>
    </row>
    <row r="821" spans="1:11" s="993" customFormat="1" ht="24" customHeight="1">
      <c r="A821" s="1006"/>
      <c r="B821" s="1006"/>
      <c r="C821" s="1031" t="s">
        <v>2360</v>
      </c>
      <c r="D821" s="1010" t="s">
        <v>2099</v>
      </c>
      <c r="E821" s="994">
        <v>14</v>
      </c>
      <c r="F821" s="1007" t="s">
        <v>2115</v>
      </c>
      <c r="G821" s="1009">
        <v>5</v>
      </c>
      <c r="H821" s="1019" t="s">
        <v>2122</v>
      </c>
      <c r="I821" s="1011">
        <v>120</v>
      </c>
      <c r="J821" s="1023">
        <v>150</v>
      </c>
      <c r="K821" s="1023">
        <v>750</v>
      </c>
    </row>
    <row r="822" spans="1:11" s="993" customFormat="1" ht="24" customHeight="1">
      <c r="A822" s="1005"/>
      <c r="B822" s="1004"/>
      <c r="C822" s="1031" t="s">
        <v>1894</v>
      </c>
      <c r="D822" s="1012"/>
      <c r="E822" s="994"/>
      <c r="F822" s="1013" t="s">
        <v>2127</v>
      </c>
      <c r="G822" s="1020"/>
      <c r="H822" s="1021"/>
      <c r="I822" s="1008"/>
      <c r="J822" s="1008"/>
      <c r="K822" s="1028"/>
    </row>
    <row r="823" spans="1:11" s="993" customFormat="1" ht="24" customHeight="1">
      <c r="A823" s="1006"/>
      <c r="B823" s="1006"/>
      <c r="C823" s="1031" t="s">
        <v>2361</v>
      </c>
      <c r="D823" s="1010" t="s">
        <v>2100</v>
      </c>
      <c r="E823" s="994">
        <v>2</v>
      </c>
      <c r="F823" s="1007" t="s">
        <v>2102</v>
      </c>
      <c r="G823" s="1009">
        <v>20</v>
      </c>
      <c r="H823" s="1019" t="s">
        <v>2110</v>
      </c>
      <c r="I823" s="1011">
        <v>80</v>
      </c>
      <c r="J823" s="1023">
        <v>100</v>
      </c>
      <c r="K823" s="1023">
        <v>2000</v>
      </c>
    </row>
    <row r="824" spans="1:11" s="993" customFormat="1" ht="24" customHeight="1">
      <c r="A824" s="1006"/>
      <c r="B824" s="1006"/>
      <c r="C824" s="1031" t="s">
        <v>2362</v>
      </c>
      <c r="D824" s="1010" t="s">
        <v>2099</v>
      </c>
      <c r="E824" s="994">
        <v>8</v>
      </c>
      <c r="F824" s="1007" t="s">
        <v>2106</v>
      </c>
      <c r="G824" s="1009">
        <v>20</v>
      </c>
      <c r="H824" s="1019" t="s">
        <v>2110</v>
      </c>
      <c r="I824" s="1011">
        <v>40</v>
      </c>
      <c r="J824" s="1023">
        <v>50</v>
      </c>
      <c r="K824" s="1023">
        <v>1000</v>
      </c>
    </row>
    <row r="825" spans="1:11" s="993" customFormat="1" ht="24" customHeight="1">
      <c r="A825" s="1006"/>
      <c r="B825" s="1006"/>
      <c r="C825" s="1031" t="s">
        <v>2363</v>
      </c>
      <c r="D825" s="1010" t="s">
        <v>2099</v>
      </c>
      <c r="E825" s="994">
        <v>9</v>
      </c>
      <c r="F825" s="1007" t="s">
        <v>2120</v>
      </c>
      <c r="G825" s="1009">
        <v>460</v>
      </c>
      <c r="H825" s="1019" t="s">
        <v>2110</v>
      </c>
      <c r="I825" s="1011">
        <v>20</v>
      </c>
      <c r="J825" s="1023">
        <v>25</v>
      </c>
      <c r="K825" s="1023">
        <v>11500</v>
      </c>
    </row>
    <row r="826" spans="1:11" s="993" customFormat="1" ht="24" customHeight="1">
      <c r="A826" s="1006"/>
      <c r="B826" s="1006"/>
      <c r="C826" s="1031" t="s">
        <v>2364</v>
      </c>
      <c r="D826" s="1010" t="s">
        <v>2099</v>
      </c>
      <c r="E826" s="994">
        <v>6</v>
      </c>
      <c r="F826" s="1007" t="s">
        <v>2119</v>
      </c>
      <c r="G826" s="1009">
        <v>5</v>
      </c>
      <c r="H826" s="1019" t="s">
        <v>2110</v>
      </c>
      <c r="I826" s="1011">
        <v>50</v>
      </c>
      <c r="J826" s="1023">
        <v>62.5</v>
      </c>
      <c r="K826" s="1023">
        <v>312.5</v>
      </c>
    </row>
    <row r="827" spans="1:11" s="993" customFormat="1" ht="24" customHeight="1">
      <c r="A827" s="1006"/>
      <c r="B827" s="1006"/>
      <c r="C827" s="1031" t="s">
        <v>2365</v>
      </c>
      <c r="D827" s="1010" t="s">
        <v>2099</v>
      </c>
      <c r="E827" s="994">
        <v>14</v>
      </c>
      <c r="F827" s="1007" t="s">
        <v>2115</v>
      </c>
      <c r="G827" s="1009">
        <v>10</v>
      </c>
      <c r="H827" s="1019" t="s">
        <v>2122</v>
      </c>
      <c r="I827" s="1011">
        <v>120</v>
      </c>
      <c r="J827" s="1023">
        <v>150</v>
      </c>
      <c r="K827" s="1023">
        <v>1500</v>
      </c>
    </row>
    <row r="828" spans="1:11" s="993" customFormat="1" ht="24" customHeight="1">
      <c r="A828" s="1006"/>
      <c r="B828" s="1006"/>
      <c r="C828" s="1031" t="s">
        <v>2366</v>
      </c>
      <c r="D828" s="1010" t="s">
        <v>2099</v>
      </c>
      <c r="E828" s="994">
        <v>10</v>
      </c>
      <c r="F828" s="1007" t="s">
        <v>2121</v>
      </c>
      <c r="G828" s="1009">
        <v>600</v>
      </c>
      <c r="H828" s="1019" t="s">
        <v>2112</v>
      </c>
      <c r="I828" s="1011">
        <v>0.2</v>
      </c>
      <c r="J828" s="1023">
        <v>0.25</v>
      </c>
      <c r="K828" s="1023">
        <v>150</v>
      </c>
    </row>
    <row r="829" spans="1:11" s="993" customFormat="1" ht="24" customHeight="1">
      <c r="A829" s="1005"/>
      <c r="B829" s="1004"/>
      <c r="C829" s="1031" t="s">
        <v>1895</v>
      </c>
      <c r="D829" s="1012"/>
      <c r="E829" s="994"/>
      <c r="F829" s="1013" t="s">
        <v>2128</v>
      </c>
      <c r="G829" s="1020"/>
      <c r="H829" s="1021"/>
      <c r="I829" s="1008"/>
      <c r="J829" s="1008"/>
      <c r="K829" s="1028"/>
    </row>
    <row r="830" spans="1:11" s="993" customFormat="1" ht="24" customHeight="1">
      <c r="A830" s="1006"/>
      <c r="B830" s="1006"/>
      <c r="C830" s="1031" t="s">
        <v>2367</v>
      </c>
      <c r="D830" s="1010" t="s">
        <v>2100</v>
      </c>
      <c r="E830" s="994">
        <v>2</v>
      </c>
      <c r="F830" s="1007" t="s">
        <v>2102</v>
      </c>
      <c r="G830" s="1009">
        <v>2</v>
      </c>
      <c r="H830" s="1019" t="s">
        <v>2110</v>
      </c>
      <c r="I830" s="1011">
        <v>80</v>
      </c>
      <c r="J830" s="1023">
        <v>100</v>
      </c>
      <c r="K830" s="1023">
        <v>200</v>
      </c>
    </row>
    <row r="831" spans="1:11" s="993" customFormat="1" ht="24" customHeight="1">
      <c r="A831" s="1006"/>
      <c r="B831" s="1006"/>
      <c r="C831" s="1031" t="s">
        <v>2368</v>
      </c>
      <c r="D831" s="1010" t="s">
        <v>2099</v>
      </c>
      <c r="E831" s="994">
        <v>4</v>
      </c>
      <c r="F831" s="1007" t="s">
        <v>2104</v>
      </c>
      <c r="G831" s="1009">
        <v>2</v>
      </c>
      <c r="H831" s="1019" t="s">
        <v>2110</v>
      </c>
      <c r="I831" s="1011">
        <v>80</v>
      </c>
      <c r="J831" s="1023">
        <v>100</v>
      </c>
      <c r="K831" s="1023">
        <v>200</v>
      </c>
    </row>
    <row r="832" spans="1:11" s="993" customFormat="1" ht="24" customHeight="1">
      <c r="A832" s="1006"/>
      <c r="B832" s="1006"/>
      <c r="C832" s="1031" t="s">
        <v>2369</v>
      </c>
      <c r="D832" s="1010" t="s">
        <v>2099</v>
      </c>
      <c r="E832" s="994">
        <v>7</v>
      </c>
      <c r="F832" s="1007" t="s">
        <v>2118</v>
      </c>
      <c r="G832" s="1009">
        <v>2</v>
      </c>
      <c r="H832" s="1019" t="s">
        <v>2110</v>
      </c>
      <c r="I832" s="1011">
        <v>150</v>
      </c>
      <c r="J832" s="1023">
        <v>187.5</v>
      </c>
      <c r="K832" s="1023">
        <v>375</v>
      </c>
    </row>
    <row r="833" spans="1:11" s="993" customFormat="1" ht="24" customHeight="1">
      <c r="A833" s="1006"/>
      <c r="B833" s="1006"/>
      <c r="C833" s="1031" t="s">
        <v>2370</v>
      </c>
      <c r="D833" s="1010" t="s">
        <v>2099</v>
      </c>
      <c r="E833" s="994">
        <v>1</v>
      </c>
      <c r="F833" s="1007" t="s">
        <v>2107</v>
      </c>
      <c r="G833" s="1009">
        <v>1</v>
      </c>
      <c r="H833" s="1019" t="s">
        <v>2111</v>
      </c>
      <c r="I833" s="1011">
        <v>10</v>
      </c>
      <c r="J833" s="1023">
        <v>12.5</v>
      </c>
      <c r="K833" s="1023">
        <v>12.5</v>
      </c>
    </row>
    <row r="834" spans="1:11" s="993" customFormat="1" ht="24" customHeight="1">
      <c r="A834" s="1006"/>
      <c r="B834" s="1006"/>
      <c r="C834" s="1031" t="s">
        <v>2371</v>
      </c>
      <c r="D834" s="1010" t="s">
        <v>2099</v>
      </c>
      <c r="E834" s="994">
        <v>22</v>
      </c>
      <c r="F834" s="1007" t="s">
        <v>2108</v>
      </c>
      <c r="G834" s="1009">
        <v>1</v>
      </c>
      <c r="H834" s="1019" t="s">
        <v>2113</v>
      </c>
      <c r="I834" s="1011">
        <v>5.19</v>
      </c>
      <c r="J834" s="1023">
        <v>6.49</v>
      </c>
      <c r="K834" s="1023">
        <v>6.49</v>
      </c>
    </row>
    <row r="835" spans="1:11" s="993" customFormat="1" ht="24" customHeight="1">
      <c r="A835" s="1006"/>
      <c r="B835" s="1006"/>
      <c r="C835" s="1031" t="s">
        <v>2372</v>
      </c>
      <c r="D835" s="1010" t="s">
        <v>2099</v>
      </c>
      <c r="E835" s="994">
        <v>31</v>
      </c>
      <c r="F835" s="1007" t="s">
        <v>2109</v>
      </c>
      <c r="G835" s="1009">
        <v>50</v>
      </c>
      <c r="H835" s="1019" t="s">
        <v>2112</v>
      </c>
      <c r="I835" s="1011">
        <v>10.5</v>
      </c>
      <c r="J835" s="1023">
        <v>13.13</v>
      </c>
      <c r="K835" s="1023">
        <v>656.5</v>
      </c>
    </row>
    <row r="836" spans="1:11" s="993" customFormat="1" ht="24" customHeight="1">
      <c r="A836" s="1006"/>
      <c r="B836" s="1006"/>
      <c r="C836" s="1031" t="s">
        <v>2373</v>
      </c>
      <c r="D836" s="1010" t="s">
        <v>2099</v>
      </c>
      <c r="E836" s="994">
        <v>10</v>
      </c>
      <c r="F836" s="1007" t="s">
        <v>2121</v>
      </c>
      <c r="G836" s="1009">
        <v>50</v>
      </c>
      <c r="H836" s="1019" t="s">
        <v>2112</v>
      </c>
      <c r="I836" s="1011">
        <v>0.2</v>
      </c>
      <c r="J836" s="1023">
        <v>0.25</v>
      </c>
      <c r="K836" s="1023">
        <v>12.5</v>
      </c>
    </row>
    <row r="837" spans="1:11" s="993" customFormat="1" ht="24" customHeight="1">
      <c r="A837" s="1003"/>
      <c r="B837" s="1004"/>
      <c r="C837" s="1031" t="s">
        <v>1896</v>
      </c>
      <c r="D837" s="1012"/>
      <c r="E837" s="994"/>
      <c r="F837" s="1013" t="s">
        <v>2129</v>
      </c>
      <c r="G837" s="1020"/>
      <c r="H837" s="1021"/>
      <c r="I837" s="1008"/>
      <c r="J837" s="1008"/>
      <c r="K837" s="1028"/>
    </row>
    <row r="838" spans="1:11" s="993" customFormat="1" ht="24" customHeight="1">
      <c r="A838" s="1005"/>
      <c r="B838" s="1004"/>
      <c r="C838" s="1031" t="s">
        <v>2374</v>
      </c>
      <c r="D838" s="1012"/>
      <c r="E838" s="994"/>
      <c r="F838" s="1013" t="s">
        <v>2130</v>
      </c>
      <c r="G838" s="1020"/>
      <c r="H838" s="1021"/>
      <c r="I838" s="1008"/>
      <c r="J838" s="1008"/>
      <c r="K838" s="1028"/>
    </row>
    <row r="839" spans="1:11" s="993" customFormat="1" ht="24" customHeight="1">
      <c r="A839" s="1006"/>
      <c r="B839" s="1006"/>
      <c r="C839" s="1031" t="s">
        <v>2376</v>
      </c>
      <c r="D839" s="1010" t="s">
        <v>2100</v>
      </c>
      <c r="E839" s="994">
        <v>5</v>
      </c>
      <c r="F839" s="1007" t="s">
        <v>2105</v>
      </c>
      <c r="G839" s="1009">
        <v>5</v>
      </c>
      <c r="H839" s="1019" t="s">
        <v>2110</v>
      </c>
      <c r="I839" s="1011">
        <v>80</v>
      </c>
      <c r="J839" s="1023">
        <v>100</v>
      </c>
      <c r="K839" s="1023">
        <v>500</v>
      </c>
    </row>
    <row r="840" spans="1:11" s="993" customFormat="1" ht="24" customHeight="1">
      <c r="A840" s="1006"/>
      <c r="B840" s="1006"/>
      <c r="C840" s="1031" t="s">
        <v>2377</v>
      </c>
      <c r="D840" s="1010" t="s">
        <v>2099</v>
      </c>
      <c r="E840" s="994">
        <v>3</v>
      </c>
      <c r="F840" s="1007" t="s">
        <v>2131</v>
      </c>
      <c r="G840" s="1009">
        <v>15</v>
      </c>
      <c r="H840" s="1019" t="s">
        <v>2112</v>
      </c>
      <c r="I840" s="1011">
        <v>15</v>
      </c>
      <c r="J840" s="1023">
        <v>18.75</v>
      </c>
      <c r="K840" s="1023">
        <v>281.25</v>
      </c>
    </row>
    <row r="841" spans="1:11" s="993" customFormat="1" ht="24" customHeight="1">
      <c r="A841" s="1006"/>
      <c r="B841" s="1006"/>
      <c r="C841" s="1031" t="s">
        <v>2378</v>
      </c>
      <c r="D841" s="1010" t="s">
        <v>2099</v>
      </c>
      <c r="E841" s="994">
        <v>32</v>
      </c>
      <c r="F841" s="1007" t="s">
        <v>2132</v>
      </c>
      <c r="G841" s="1009">
        <v>1</v>
      </c>
      <c r="H841" s="1019" t="s">
        <v>2138</v>
      </c>
      <c r="I841" s="1011">
        <v>150</v>
      </c>
      <c r="J841" s="1023">
        <v>187.5</v>
      </c>
      <c r="K841" s="1023">
        <v>187.5</v>
      </c>
    </row>
    <row r="842" spans="1:11" s="993" customFormat="1" ht="24" customHeight="1">
      <c r="A842" s="1006"/>
      <c r="B842" s="1006"/>
      <c r="C842" s="1031" t="s">
        <v>2379</v>
      </c>
      <c r="D842" s="1010" t="s">
        <v>2099</v>
      </c>
      <c r="E842" s="994">
        <v>22</v>
      </c>
      <c r="F842" s="1007" t="s">
        <v>2133</v>
      </c>
      <c r="G842" s="1009">
        <v>15</v>
      </c>
      <c r="H842" s="1019" t="s">
        <v>2139</v>
      </c>
      <c r="I842" s="1011">
        <v>450</v>
      </c>
      <c r="J842" s="1023">
        <v>562.5</v>
      </c>
      <c r="K842" s="1023">
        <v>8437.5</v>
      </c>
    </row>
    <row r="843" spans="1:11" s="993" customFormat="1" ht="24" customHeight="1">
      <c r="A843" s="1005"/>
      <c r="B843" s="1004"/>
      <c r="C843" s="1031" t="s">
        <v>2375</v>
      </c>
      <c r="D843" s="1012"/>
      <c r="E843" s="994"/>
      <c r="F843" s="1013" t="s">
        <v>2134</v>
      </c>
      <c r="G843" s="1020"/>
      <c r="H843" s="1021"/>
      <c r="I843" s="1008"/>
      <c r="J843" s="1008"/>
      <c r="K843" s="1028"/>
    </row>
    <row r="844" spans="1:11" s="993" customFormat="1" ht="24" customHeight="1">
      <c r="A844" s="1006"/>
      <c r="B844" s="1006"/>
      <c r="C844" s="1031" t="s">
        <v>2381</v>
      </c>
      <c r="D844" s="1010" t="s">
        <v>2100</v>
      </c>
      <c r="E844" s="994">
        <v>5</v>
      </c>
      <c r="F844" s="1007" t="s">
        <v>2105</v>
      </c>
      <c r="G844" s="1009">
        <v>5</v>
      </c>
      <c r="H844" s="1019" t="s">
        <v>2110</v>
      </c>
      <c r="I844" s="1011">
        <v>80</v>
      </c>
      <c r="J844" s="1023">
        <v>100</v>
      </c>
      <c r="K844" s="1023">
        <v>500</v>
      </c>
    </row>
    <row r="845" spans="1:11" s="993" customFormat="1" ht="24" customHeight="1">
      <c r="A845" s="1006"/>
      <c r="B845" s="1006"/>
      <c r="C845" s="1031" t="s">
        <v>2382</v>
      </c>
      <c r="D845" s="1010" t="s">
        <v>2099</v>
      </c>
      <c r="E845" s="994">
        <v>3</v>
      </c>
      <c r="F845" s="1007" t="s">
        <v>2131</v>
      </c>
      <c r="G845" s="1009">
        <v>15</v>
      </c>
      <c r="H845" s="1019" t="s">
        <v>2112</v>
      </c>
      <c r="I845" s="1011">
        <v>15</v>
      </c>
      <c r="J845" s="1023">
        <v>18.75</v>
      </c>
      <c r="K845" s="1023">
        <v>281.25</v>
      </c>
    </row>
    <row r="846" spans="1:11" s="993" customFormat="1" ht="24" customHeight="1">
      <c r="A846" s="1006"/>
      <c r="B846" s="1006"/>
      <c r="C846" s="1031" t="s">
        <v>2383</v>
      </c>
      <c r="D846" s="1010" t="s">
        <v>2099</v>
      </c>
      <c r="E846" s="994">
        <v>32</v>
      </c>
      <c r="F846" s="1007" t="s">
        <v>2132</v>
      </c>
      <c r="G846" s="1009">
        <v>1</v>
      </c>
      <c r="H846" s="1019" t="s">
        <v>2138</v>
      </c>
      <c r="I846" s="1011">
        <v>150</v>
      </c>
      <c r="J846" s="1023">
        <v>187.5</v>
      </c>
      <c r="K846" s="1023">
        <v>187.5</v>
      </c>
    </row>
    <row r="847" spans="1:11" s="993" customFormat="1" ht="24" customHeight="1">
      <c r="A847" s="1006"/>
      <c r="B847" s="1006"/>
      <c r="C847" s="1031" t="s">
        <v>2384</v>
      </c>
      <c r="D847" s="1010" t="s">
        <v>2099</v>
      </c>
      <c r="E847" s="994">
        <v>23</v>
      </c>
      <c r="F847" s="1007" t="s">
        <v>2135</v>
      </c>
      <c r="G847" s="1009">
        <v>15</v>
      </c>
      <c r="H847" s="1019" t="s">
        <v>2139</v>
      </c>
      <c r="I847" s="1011">
        <v>500</v>
      </c>
      <c r="J847" s="1023">
        <v>625</v>
      </c>
      <c r="K847" s="1023">
        <v>9375</v>
      </c>
    </row>
    <row r="848" spans="1:11" s="993" customFormat="1" ht="24" customHeight="1">
      <c r="A848" s="1005"/>
      <c r="B848" s="1004"/>
      <c r="C848" s="1031" t="s">
        <v>2380</v>
      </c>
      <c r="D848" s="1012"/>
      <c r="E848" s="994"/>
      <c r="F848" s="1013" t="s">
        <v>2136</v>
      </c>
      <c r="G848" s="1020"/>
      <c r="H848" s="1021"/>
      <c r="I848" s="1008"/>
      <c r="J848" s="1008"/>
      <c r="K848" s="1028"/>
    </row>
    <row r="849" spans="1:262" s="993" customFormat="1" ht="24" customHeight="1">
      <c r="A849" s="1006"/>
      <c r="B849" s="1006"/>
      <c r="C849" s="1031" t="s">
        <v>2385</v>
      </c>
      <c r="D849" s="1010" t="s">
        <v>2100</v>
      </c>
      <c r="E849" s="994">
        <v>5</v>
      </c>
      <c r="F849" s="1007" t="s">
        <v>2105</v>
      </c>
      <c r="G849" s="1009">
        <v>5</v>
      </c>
      <c r="H849" s="1019" t="s">
        <v>2110</v>
      </c>
      <c r="I849" s="1011">
        <v>80</v>
      </c>
      <c r="J849" s="1023">
        <v>100</v>
      </c>
      <c r="K849" s="1023">
        <v>500</v>
      </c>
    </row>
    <row r="850" spans="1:262" s="993" customFormat="1" ht="24" customHeight="1">
      <c r="A850" s="1006"/>
      <c r="B850" s="1006"/>
      <c r="C850" s="1031" t="s">
        <v>2386</v>
      </c>
      <c r="D850" s="1010" t="s">
        <v>2099</v>
      </c>
      <c r="E850" s="994">
        <v>3</v>
      </c>
      <c r="F850" s="1007" t="s">
        <v>2131</v>
      </c>
      <c r="G850" s="1009">
        <v>15</v>
      </c>
      <c r="H850" s="1019" t="s">
        <v>2112</v>
      </c>
      <c r="I850" s="1011">
        <v>15</v>
      </c>
      <c r="J850" s="1023">
        <v>18.75</v>
      </c>
      <c r="K850" s="1023">
        <v>281.25</v>
      </c>
    </row>
    <row r="851" spans="1:262" s="993" customFormat="1" ht="24" customHeight="1">
      <c r="A851" s="1006"/>
      <c r="B851" s="1006"/>
      <c r="C851" s="1031" t="s">
        <v>2387</v>
      </c>
      <c r="D851" s="1010" t="s">
        <v>2099</v>
      </c>
      <c r="E851" s="994">
        <v>32</v>
      </c>
      <c r="F851" s="1007" t="s">
        <v>2132</v>
      </c>
      <c r="G851" s="1009">
        <v>1</v>
      </c>
      <c r="H851" s="1019" t="s">
        <v>2138</v>
      </c>
      <c r="I851" s="1011">
        <v>150</v>
      </c>
      <c r="J851" s="1023">
        <v>187.5</v>
      </c>
      <c r="K851" s="1023">
        <v>187.5</v>
      </c>
    </row>
    <row r="852" spans="1:262" s="993" customFormat="1" ht="24" customHeight="1">
      <c r="A852" s="1006"/>
      <c r="B852" s="1006"/>
      <c r="C852" s="1031" t="s">
        <v>2388</v>
      </c>
      <c r="D852" s="1010" t="s">
        <v>2099</v>
      </c>
      <c r="E852" s="994">
        <v>24</v>
      </c>
      <c r="F852" s="1007" t="s">
        <v>2137</v>
      </c>
      <c r="G852" s="1009">
        <v>15</v>
      </c>
      <c r="H852" s="1019" t="s">
        <v>2139</v>
      </c>
      <c r="I852" s="1011">
        <v>600</v>
      </c>
      <c r="J852" s="1023">
        <v>750</v>
      </c>
      <c r="K852" s="1023">
        <v>11250</v>
      </c>
    </row>
    <row r="853" spans="1:262" s="993" customFormat="1" ht="24" customHeight="1">
      <c r="C853" s="1032"/>
      <c r="D853" s="1000"/>
      <c r="E853" s="1000"/>
      <c r="F853" s="1000"/>
      <c r="G853" s="1000"/>
      <c r="H853" s="1000"/>
      <c r="I853" s="1000"/>
      <c r="J853" s="1000"/>
      <c r="K853" s="1002">
        <f>SUM(K596:K852)</f>
        <v>58960.24</v>
      </c>
    </row>
    <row r="854" spans="1:262">
      <c r="D854" s="1000"/>
      <c r="L854" s="88"/>
      <c r="M854" s="88"/>
      <c r="N854" s="88"/>
      <c r="O854" s="88"/>
      <c r="P854" s="88"/>
      <c r="Q854" s="88"/>
      <c r="R854" s="88"/>
      <c r="S854" s="88"/>
      <c r="T854" s="88"/>
      <c r="U854" s="88"/>
      <c r="V854" s="88"/>
      <c r="W854" s="88"/>
      <c r="X854" s="88"/>
      <c r="Y854" s="88"/>
      <c r="Z854" s="88"/>
      <c r="AA854" s="88"/>
      <c r="AB854" s="88"/>
      <c r="AC854" s="88"/>
      <c r="AD854" s="88"/>
      <c r="AE854" s="88"/>
      <c r="AF854" s="88"/>
      <c r="AG854" s="88"/>
      <c r="AH854" s="88"/>
      <c r="AI854" s="88"/>
      <c r="AJ854" s="88"/>
      <c r="AK854" s="88"/>
      <c r="AL854" s="88"/>
      <c r="AM854" s="88"/>
      <c r="AN854" s="88"/>
      <c r="AO854" s="88"/>
      <c r="AP854" s="88"/>
      <c r="AQ854" s="88"/>
      <c r="AR854" s="88"/>
      <c r="AS854" s="88"/>
      <c r="AT854" s="88"/>
      <c r="AU854" s="88"/>
      <c r="AV854" s="88"/>
      <c r="AW854" s="88"/>
      <c r="AX854" s="88"/>
      <c r="AY854" s="88"/>
      <c r="AZ854" s="88"/>
      <c r="BA854" s="88"/>
      <c r="BB854" s="88"/>
      <c r="BC854" s="88"/>
      <c r="BD854" s="88"/>
      <c r="BE854" s="88"/>
      <c r="BF854" s="88"/>
      <c r="BG854" s="88"/>
      <c r="BH854" s="88"/>
      <c r="BI854" s="88"/>
      <c r="BJ854" s="88"/>
      <c r="BK854" s="88"/>
      <c r="BL854" s="88"/>
      <c r="BM854" s="88"/>
      <c r="BN854" s="88"/>
      <c r="BO854" s="88"/>
      <c r="BP854" s="88"/>
      <c r="BQ854" s="88"/>
      <c r="BR854" s="88"/>
      <c r="BS854" s="88"/>
      <c r="BT854" s="88"/>
      <c r="BU854" s="88"/>
      <c r="BV854" s="88"/>
      <c r="BW854" s="88"/>
      <c r="BX854" s="88"/>
      <c r="BY854" s="88"/>
      <c r="BZ854" s="88"/>
      <c r="CA854" s="88"/>
      <c r="CB854" s="88"/>
      <c r="CC854" s="88"/>
      <c r="CD854" s="88"/>
      <c r="CE854" s="88"/>
      <c r="CF854" s="88"/>
      <c r="CG854" s="88"/>
      <c r="CH854" s="88"/>
      <c r="CI854" s="88"/>
      <c r="CJ854" s="88"/>
      <c r="CK854" s="88"/>
      <c r="CL854" s="88"/>
      <c r="CM854" s="88"/>
      <c r="CN854" s="88"/>
      <c r="CO854" s="88"/>
      <c r="CP854" s="88"/>
      <c r="CQ854" s="88"/>
      <c r="CR854" s="88"/>
      <c r="CS854" s="88"/>
      <c r="CT854" s="88"/>
      <c r="CU854" s="88"/>
      <c r="CV854" s="88"/>
      <c r="CW854" s="88"/>
      <c r="CX854" s="88"/>
      <c r="CY854" s="88"/>
      <c r="CZ854" s="88"/>
      <c r="DA854" s="88"/>
      <c r="DB854" s="88"/>
      <c r="DC854" s="88"/>
      <c r="DD854" s="88"/>
      <c r="DE854" s="88"/>
      <c r="DF854" s="88"/>
      <c r="DG854" s="88"/>
      <c r="DH854" s="88"/>
      <c r="DI854" s="88"/>
      <c r="DJ854" s="88"/>
      <c r="DK854" s="88"/>
      <c r="DL854" s="88"/>
      <c r="DM854" s="88"/>
      <c r="DN854" s="88"/>
      <c r="DO854" s="88"/>
      <c r="DP854" s="88"/>
      <c r="DQ854" s="88"/>
      <c r="DR854" s="88"/>
      <c r="DS854" s="88"/>
      <c r="DT854" s="88"/>
      <c r="DU854" s="88"/>
      <c r="DV854" s="88"/>
      <c r="DW854" s="88"/>
      <c r="DX854" s="88"/>
      <c r="DY854" s="88"/>
      <c r="DZ854" s="88"/>
      <c r="EA854" s="88"/>
      <c r="EB854" s="88"/>
      <c r="EC854" s="88"/>
      <c r="ED854" s="88"/>
      <c r="EE854" s="88"/>
      <c r="EF854" s="88"/>
      <c r="EG854" s="88"/>
      <c r="EH854" s="88"/>
      <c r="EI854" s="88"/>
      <c r="EJ854" s="88"/>
      <c r="EK854" s="88"/>
      <c r="EL854" s="88"/>
      <c r="EM854" s="88"/>
      <c r="EN854" s="88"/>
      <c r="EO854" s="88"/>
      <c r="EP854" s="88"/>
      <c r="EQ854" s="88"/>
      <c r="ER854" s="88"/>
      <c r="ES854" s="88"/>
      <c r="ET854" s="88"/>
      <c r="EU854" s="88"/>
      <c r="EV854" s="88"/>
      <c r="EW854" s="88"/>
      <c r="EX854" s="88"/>
      <c r="EY854" s="88"/>
      <c r="EZ854" s="88"/>
      <c r="FA854" s="88"/>
      <c r="FB854" s="88"/>
      <c r="FC854" s="88"/>
      <c r="FD854" s="88"/>
      <c r="FE854" s="88"/>
      <c r="FF854" s="88"/>
      <c r="FG854" s="88"/>
      <c r="FH854" s="88"/>
      <c r="FI854" s="88"/>
      <c r="FJ854" s="88"/>
      <c r="FK854" s="88"/>
      <c r="FL854" s="88"/>
      <c r="FM854" s="88"/>
      <c r="FN854" s="88"/>
      <c r="FO854" s="88"/>
      <c r="FP854" s="88"/>
      <c r="FQ854" s="88"/>
      <c r="FR854" s="88"/>
      <c r="FS854" s="88"/>
      <c r="FT854" s="88"/>
      <c r="FU854" s="88"/>
      <c r="FV854" s="88"/>
      <c r="FW854" s="88"/>
      <c r="FX854" s="88"/>
      <c r="FY854" s="88"/>
      <c r="FZ854" s="88"/>
      <c r="GA854" s="88"/>
      <c r="GB854" s="88"/>
      <c r="GC854" s="88"/>
      <c r="GD854" s="88"/>
      <c r="GE854" s="88"/>
      <c r="GF854" s="88"/>
      <c r="GG854" s="88"/>
      <c r="GH854" s="88"/>
      <c r="GI854" s="88"/>
      <c r="GJ854" s="88"/>
      <c r="GK854" s="88"/>
      <c r="GL854" s="88"/>
      <c r="GM854" s="88"/>
      <c r="GN854" s="88"/>
      <c r="GO854" s="88"/>
      <c r="GP854" s="88"/>
      <c r="GQ854" s="88"/>
      <c r="GR854" s="88"/>
      <c r="GS854" s="88"/>
      <c r="GT854" s="88"/>
      <c r="GU854" s="88"/>
      <c r="GV854" s="88"/>
      <c r="GW854" s="88"/>
      <c r="GX854" s="88"/>
      <c r="GY854" s="88"/>
      <c r="GZ854" s="88"/>
      <c r="HA854" s="88"/>
      <c r="HB854" s="88"/>
      <c r="HC854" s="88"/>
      <c r="HD854" s="88"/>
      <c r="HE854" s="88"/>
      <c r="HF854" s="88"/>
      <c r="HG854" s="88"/>
      <c r="HH854" s="88"/>
      <c r="HI854" s="88"/>
      <c r="HJ854" s="88"/>
      <c r="HK854" s="88"/>
      <c r="HL854" s="88"/>
      <c r="HM854" s="88"/>
      <c r="HN854" s="88"/>
      <c r="HO854" s="88"/>
      <c r="HP854" s="88"/>
      <c r="HQ854" s="88"/>
      <c r="HR854" s="88"/>
      <c r="HS854" s="88"/>
      <c r="HT854" s="88"/>
      <c r="HU854" s="88"/>
      <c r="HV854" s="88"/>
      <c r="HW854" s="88"/>
      <c r="HX854" s="88"/>
      <c r="HY854" s="88"/>
      <c r="HZ854" s="88"/>
      <c r="IA854" s="88"/>
      <c r="IB854" s="88"/>
      <c r="IC854" s="88"/>
      <c r="ID854" s="88"/>
      <c r="IE854" s="88"/>
      <c r="IF854" s="88"/>
      <c r="IG854" s="88"/>
      <c r="IH854" s="88"/>
      <c r="II854" s="88"/>
      <c r="IJ854" s="88"/>
      <c r="IK854" s="88"/>
      <c r="IL854" s="88"/>
      <c r="IM854" s="88"/>
      <c r="IN854" s="88"/>
      <c r="IO854" s="88"/>
      <c r="IP854" s="88"/>
      <c r="IQ854" s="88"/>
      <c r="IR854" s="88"/>
      <c r="IS854" s="88"/>
      <c r="IT854" s="88"/>
      <c r="IU854" s="88"/>
      <c r="IV854" s="88"/>
      <c r="IW854" s="88"/>
      <c r="IX854" s="88"/>
      <c r="IY854" s="88"/>
      <c r="IZ854" s="88"/>
      <c r="JA854" s="88"/>
      <c r="JB854" s="88"/>
    </row>
    <row r="855" spans="1:262">
      <c r="C855" s="113">
        <v>4</v>
      </c>
      <c r="D855" s="1000"/>
      <c r="L855" s="88"/>
      <c r="M855" s="88"/>
      <c r="N855" s="88"/>
      <c r="O855" s="88"/>
      <c r="P855" s="88"/>
      <c r="Q855" s="88"/>
      <c r="R855" s="88"/>
      <c r="S855" s="88"/>
      <c r="T855" s="88"/>
      <c r="U855" s="88"/>
      <c r="V855" s="88"/>
      <c r="W855" s="88"/>
      <c r="X855" s="88"/>
      <c r="Y855" s="88"/>
      <c r="Z855" s="88"/>
      <c r="AA855" s="88"/>
      <c r="AB855" s="88"/>
      <c r="AC855" s="88"/>
      <c r="AD855" s="88"/>
      <c r="AE855" s="88"/>
      <c r="AF855" s="88"/>
      <c r="AG855" s="88"/>
      <c r="AH855" s="88"/>
      <c r="AI855" s="88"/>
      <c r="AJ855" s="88"/>
      <c r="AK855" s="88"/>
      <c r="AL855" s="88"/>
      <c r="AM855" s="88"/>
      <c r="AN855" s="88"/>
      <c r="AO855" s="88"/>
      <c r="AP855" s="88"/>
      <c r="AQ855" s="88"/>
      <c r="AR855" s="88"/>
      <c r="AS855" s="88"/>
      <c r="AT855" s="88"/>
      <c r="AU855" s="88"/>
      <c r="AV855" s="88"/>
      <c r="AW855" s="88"/>
      <c r="AX855" s="88"/>
      <c r="AY855" s="88"/>
      <c r="AZ855" s="88"/>
      <c r="BA855" s="88"/>
      <c r="BB855" s="88"/>
      <c r="BC855" s="88"/>
      <c r="BD855" s="88"/>
      <c r="BE855" s="88"/>
      <c r="BF855" s="88"/>
      <c r="BG855" s="88"/>
      <c r="BH855" s="88"/>
      <c r="BI855" s="88"/>
      <c r="BJ855" s="88"/>
      <c r="BK855" s="88"/>
      <c r="BL855" s="88"/>
      <c r="BM855" s="88"/>
      <c r="BN855" s="88"/>
      <c r="BO855" s="88"/>
      <c r="BP855" s="88"/>
      <c r="BQ855" s="88"/>
      <c r="BR855" s="88"/>
      <c r="BS855" s="88"/>
      <c r="BT855" s="88"/>
      <c r="BU855" s="88"/>
      <c r="BV855" s="88"/>
      <c r="BW855" s="88"/>
      <c r="BX855" s="88"/>
      <c r="BY855" s="88"/>
      <c r="BZ855" s="88"/>
      <c r="CA855" s="88"/>
      <c r="CB855" s="88"/>
      <c r="CC855" s="88"/>
      <c r="CD855" s="88"/>
      <c r="CE855" s="88"/>
      <c r="CF855" s="88"/>
      <c r="CG855" s="88"/>
      <c r="CH855" s="88"/>
      <c r="CI855" s="88"/>
      <c r="CJ855" s="88"/>
      <c r="CK855" s="88"/>
      <c r="CL855" s="88"/>
      <c r="CM855" s="88"/>
      <c r="CN855" s="88"/>
      <c r="CO855" s="88"/>
      <c r="CP855" s="88"/>
      <c r="CQ855" s="88"/>
      <c r="CR855" s="88"/>
      <c r="CS855" s="88"/>
      <c r="CT855" s="88"/>
      <c r="CU855" s="88"/>
      <c r="CV855" s="88"/>
      <c r="CW855" s="88"/>
      <c r="CX855" s="88"/>
      <c r="CY855" s="88"/>
      <c r="CZ855" s="88"/>
      <c r="DA855" s="88"/>
      <c r="DB855" s="88"/>
      <c r="DC855" s="88"/>
      <c r="DD855" s="88"/>
      <c r="DE855" s="88"/>
      <c r="DF855" s="88"/>
      <c r="DG855" s="88"/>
      <c r="DH855" s="88"/>
      <c r="DI855" s="88"/>
      <c r="DJ855" s="88"/>
      <c r="DK855" s="88"/>
      <c r="DL855" s="88"/>
      <c r="DM855" s="88"/>
      <c r="DN855" s="88"/>
      <c r="DO855" s="88"/>
      <c r="DP855" s="88"/>
      <c r="DQ855" s="88"/>
      <c r="DR855" s="88"/>
      <c r="DS855" s="88"/>
      <c r="DT855" s="88"/>
      <c r="DU855" s="88"/>
      <c r="DV855" s="88"/>
      <c r="DW855" s="88"/>
      <c r="DX855" s="88"/>
      <c r="DY855" s="88"/>
      <c r="DZ855" s="88"/>
      <c r="EA855" s="88"/>
      <c r="EB855" s="88"/>
      <c r="EC855" s="88"/>
      <c r="ED855" s="88"/>
      <c r="EE855" s="88"/>
      <c r="EF855" s="88"/>
      <c r="EG855" s="88"/>
      <c r="EH855" s="88"/>
      <c r="EI855" s="88"/>
      <c r="EJ855" s="88"/>
      <c r="EK855" s="88"/>
      <c r="EL855" s="88"/>
      <c r="EM855" s="88"/>
      <c r="EN855" s="88"/>
      <c r="EO855" s="88"/>
      <c r="EP855" s="88"/>
      <c r="EQ855" s="88"/>
      <c r="ER855" s="88"/>
      <c r="ES855" s="88"/>
      <c r="ET855" s="88"/>
      <c r="EU855" s="88"/>
      <c r="EV855" s="88"/>
      <c r="EW855" s="88"/>
      <c r="EX855" s="88"/>
      <c r="EY855" s="88"/>
      <c r="EZ855" s="88"/>
      <c r="FA855" s="88"/>
      <c r="FB855" s="88"/>
      <c r="FC855" s="88"/>
      <c r="FD855" s="88"/>
      <c r="FE855" s="88"/>
      <c r="FF855" s="88"/>
      <c r="FG855" s="88"/>
      <c r="FH855" s="88"/>
      <c r="FI855" s="88"/>
      <c r="FJ855" s="88"/>
      <c r="FK855" s="88"/>
      <c r="FL855" s="88"/>
      <c r="FM855" s="88"/>
      <c r="FN855" s="88"/>
      <c r="FO855" s="88"/>
      <c r="FP855" s="88"/>
      <c r="FQ855" s="88"/>
      <c r="FR855" s="88"/>
      <c r="FS855" s="88"/>
      <c r="FT855" s="88"/>
      <c r="FU855" s="88"/>
      <c r="FV855" s="88"/>
      <c r="FW855" s="88"/>
      <c r="FX855" s="88"/>
      <c r="FY855" s="88"/>
      <c r="FZ855" s="88"/>
      <c r="GA855" s="88"/>
      <c r="GB855" s="88"/>
      <c r="GC855" s="88"/>
      <c r="GD855" s="88"/>
      <c r="GE855" s="88"/>
      <c r="GF855" s="88"/>
      <c r="GG855" s="88"/>
      <c r="GH855" s="88"/>
      <c r="GI855" s="88"/>
      <c r="GJ855" s="88"/>
      <c r="GK855" s="88"/>
      <c r="GL855" s="88"/>
      <c r="GM855" s="88"/>
      <c r="GN855" s="88"/>
      <c r="GO855" s="88"/>
      <c r="GP855" s="88"/>
      <c r="GQ855" s="88"/>
      <c r="GR855" s="88"/>
      <c r="GS855" s="88"/>
      <c r="GT855" s="88"/>
      <c r="GU855" s="88"/>
      <c r="GV855" s="88"/>
      <c r="GW855" s="88"/>
      <c r="GX855" s="88"/>
      <c r="GY855" s="88"/>
      <c r="GZ855" s="88"/>
      <c r="HA855" s="88"/>
      <c r="HB855" s="88"/>
      <c r="HC855" s="88"/>
      <c r="HD855" s="88"/>
      <c r="HE855" s="88"/>
      <c r="HF855" s="88"/>
      <c r="HG855" s="88"/>
      <c r="HH855" s="88"/>
      <c r="HI855" s="88"/>
      <c r="HJ855" s="88"/>
      <c r="HK855" s="88"/>
      <c r="HL855" s="88"/>
      <c r="HM855" s="88"/>
      <c r="HN855" s="88"/>
      <c r="HO855" s="88"/>
      <c r="HP855" s="88"/>
      <c r="HQ855" s="88"/>
      <c r="HR855" s="88"/>
      <c r="HS855" s="88"/>
      <c r="HT855" s="88"/>
      <c r="HU855" s="88"/>
      <c r="HV855" s="88"/>
      <c r="HW855" s="88"/>
      <c r="HX855" s="88"/>
      <c r="HY855" s="88"/>
      <c r="HZ855" s="88"/>
      <c r="IA855" s="88"/>
      <c r="IB855" s="88"/>
      <c r="IC855" s="88"/>
      <c r="ID855" s="88"/>
      <c r="IE855" s="88"/>
      <c r="IF855" s="88"/>
      <c r="IG855" s="88"/>
      <c r="IH855" s="88"/>
      <c r="II855" s="88"/>
      <c r="IJ855" s="88"/>
      <c r="IK855" s="88"/>
      <c r="IL855" s="88"/>
      <c r="IM855" s="88"/>
      <c r="IN855" s="88"/>
      <c r="IO855" s="88"/>
      <c r="IP855" s="88"/>
      <c r="IQ855" s="88"/>
      <c r="IR855" s="88"/>
      <c r="IS855" s="88"/>
      <c r="IT855" s="88"/>
      <c r="IU855" s="88"/>
      <c r="IV855" s="88"/>
      <c r="IW855" s="88"/>
      <c r="IX855" s="88"/>
      <c r="IY855" s="88"/>
      <c r="IZ855" s="88"/>
      <c r="JA855" s="88"/>
      <c r="JB855" s="88"/>
    </row>
    <row r="856" spans="1:262">
      <c r="C856" s="113" t="s">
        <v>29</v>
      </c>
      <c r="L856" s="88"/>
      <c r="M856" s="88"/>
      <c r="N856" s="88"/>
      <c r="O856" s="88"/>
      <c r="P856" s="88"/>
      <c r="Q856" s="88"/>
      <c r="R856" s="88"/>
      <c r="S856" s="88"/>
      <c r="T856" s="88"/>
      <c r="U856" s="88"/>
      <c r="V856" s="88"/>
      <c r="W856" s="88"/>
      <c r="X856" s="88"/>
      <c r="Y856" s="88"/>
      <c r="Z856" s="88"/>
      <c r="AA856" s="88"/>
      <c r="AB856" s="88"/>
      <c r="AC856" s="88"/>
      <c r="AD856" s="88"/>
      <c r="AE856" s="88"/>
      <c r="AF856" s="88"/>
      <c r="AG856" s="88"/>
      <c r="AH856" s="88"/>
      <c r="AI856" s="88"/>
      <c r="AJ856" s="88"/>
      <c r="AK856" s="88"/>
      <c r="AL856" s="88"/>
      <c r="AM856" s="88"/>
      <c r="AN856" s="88"/>
      <c r="AO856" s="88"/>
      <c r="AP856" s="88"/>
      <c r="AQ856" s="88"/>
      <c r="AR856" s="88"/>
      <c r="AS856" s="88"/>
      <c r="AT856" s="88"/>
      <c r="AU856" s="88"/>
      <c r="AV856" s="88"/>
      <c r="AW856" s="88"/>
      <c r="AX856" s="88"/>
      <c r="AY856" s="88"/>
      <c r="AZ856" s="88"/>
      <c r="BA856" s="88"/>
      <c r="BB856" s="88"/>
      <c r="BC856" s="88"/>
      <c r="BD856" s="88"/>
      <c r="BE856" s="88"/>
      <c r="BF856" s="88"/>
      <c r="BG856" s="88"/>
      <c r="BH856" s="88"/>
      <c r="BI856" s="88"/>
      <c r="BJ856" s="88"/>
      <c r="BK856" s="88"/>
      <c r="BL856" s="88"/>
      <c r="BM856" s="88"/>
      <c r="BN856" s="88"/>
      <c r="BO856" s="88"/>
      <c r="BP856" s="88"/>
      <c r="BQ856" s="88"/>
      <c r="BR856" s="88"/>
      <c r="BS856" s="88"/>
      <c r="BT856" s="88"/>
      <c r="BU856" s="88"/>
      <c r="BV856" s="88"/>
      <c r="BW856" s="88"/>
      <c r="BX856" s="88"/>
      <c r="BY856" s="88"/>
      <c r="BZ856" s="88"/>
      <c r="CA856" s="88"/>
      <c r="CB856" s="88"/>
      <c r="CC856" s="88"/>
      <c r="CD856" s="88"/>
      <c r="CE856" s="88"/>
      <c r="CF856" s="88"/>
      <c r="CG856" s="88"/>
      <c r="CH856" s="88"/>
      <c r="CI856" s="88"/>
      <c r="CJ856" s="88"/>
      <c r="CK856" s="88"/>
      <c r="CL856" s="88"/>
      <c r="CM856" s="88"/>
      <c r="CN856" s="88"/>
      <c r="CO856" s="88"/>
      <c r="CP856" s="88"/>
      <c r="CQ856" s="88"/>
      <c r="CR856" s="88"/>
      <c r="CS856" s="88"/>
      <c r="CT856" s="88"/>
      <c r="CU856" s="88"/>
      <c r="CV856" s="88"/>
      <c r="CW856" s="88"/>
      <c r="CX856" s="88"/>
      <c r="CY856" s="88"/>
      <c r="CZ856" s="88"/>
      <c r="DA856" s="88"/>
      <c r="DB856" s="88"/>
      <c r="DC856" s="88"/>
      <c r="DD856" s="88"/>
      <c r="DE856" s="88"/>
      <c r="DF856" s="88"/>
      <c r="DG856" s="88"/>
      <c r="DH856" s="88"/>
      <c r="DI856" s="88"/>
      <c r="DJ856" s="88"/>
      <c r="DK856" s="88"/>
      <c r="DL856" s="88"/>
      <c r="DM856" s="88"/>
      <c r="DN856" s="88"/>
      <c r="DO856" s="88"/>
      <c r="DP856" s="88"/>
      <c r="DQ856" s="88"/>
      <c r="DR856" s="88"/>
      <c r="DS856" s="88"/>
      <c r="DT856" s="88"/>
      <c r="DU856" s="88"/>
      <c r="DV856" s="88"/>
      <c r="DW856" s="88"/>
      <c r="DX856" s="88"/>
      <c r="DY856" s="88"/>
      <c r="DZ856" s="88"/>
      <c r="EA856" s="88"/>
      <c r="EB856" s="88"/>
      <c r="EC856" s="88"/>
      <c r="ED856" s="88"/>
      <c r="EE856" s="88"/>
      <c r="EF856" s="88"/>
      <c r="EG856" s="88"/>
      <c r="EH856" s="88"/>
      <c r="EI856" s="88"/>
      <c r="EJ856" s="88"/>
      <c r="EK856" s="88"/>
      <c r="EL856" s="88"/>
      <c r="EM856" s="88"/>
      <c r="EN856" s="88"/>
      <c r="EO856" s="88"/>
      <c r="EP856" s="88"/>
      <c r="EQ856" s="88"/>
      <c r="ER856" s="88"/>
      <c r="ES856" s="88"/>
      <c r="ET856" s="88"/>
      <c r="EU856" s="88"/>
      <c r="EV856" s="88"/>
      <c r="EW856" s="88"/>
      <c r="EX856" s="88"/>
      <c r="EY856" s="88"/>
      <c r="EZ856" s="88"/>
      <c r="FA856" s="88"/>
      <c r="FB856" s="88"/>
      <c r="FC856" s="88"/>
      <c r="FD856" s="88"/>
      <c r="FE856" s="88"/>
      <c r="FF856" s="88"/>
      <c r="FG856" s="88"/>
      <c r="FH856" s="88"/>
      <c r="FI856" s="88"/>
      <c r="FJ856" s="88"/>
      <c r="FK856" s="88"/>
      <c r="FL856" s="88"/>
      <c r="FM856" s="88"/>
      <c r="FN856" s="88"/>
      <c r="FO856" s="88"/>
      <c r="FP856" s="88"/>
      <c r="FQ856" s="88"/>
      <c r="FR856" s="88"/>
      <c r="FS856" s="88"/>
      <c r="FT856" s="88"/>
      <c r="FU856" s="88"/>
      <c r="FV856" s="88"/>
      <c r="FW856" s="88"/>
      <c r="FX856" s="88"/>
      <c r="FY856" s="88"/>
      <c r="FZ856" s="88"/>
      <c r="GA856" s="88"/>
      <c r="GB856" s="88"/>
      <c r="GC856" s="88"/>
      <c r="GD856" s="88"/>
      <c r="GE856" s="88"/>
      <c r="GF856" s="88"/>
      <c r="GG856" s="88"/>
      <c r="GH856" s="88"/>
      <c r="GI856" s="88"/>
      <c r="GJ856" s="88"/>
      <c r="GK856" s="88"/>
      <c r="GL856" s="88"/>
      <c r="GM856" s="88"/>
      <c r="GN856" s="88"/>
      <c r="GO856" s="88"/>
      <c r="GP856" s="88"/>
      <c r="GQ856" s="88"/>
      <c r="GR856" s="88"/>
      <c r="GS856" s="88"/>
      <c r="GT856" s="88"/>
      <c r="GU856" s="88"/>
      <c r="GV856" s="88"/>
      <c r="GW856" s="88"/>
      <c r="GX856" s="88"/>
      <c r="GY856" s="88"/>
      <c r="GZ856" s="88"/>
      <c r="HA856" s="88"/>
      <c r="HB856" s="88"/>
      <c r="HC856" s="88"/>
      <c r="HD856" s="88"/>
      <c r="HE856" s="88"/>
      <c r="HF856" s="88"/>
      <c r="HG856" s="88"/>
      <c r="HH856" s="88"/>
      <c r="HI856" s="88"/>
      <c r="HJ856" s="88"/>
      <c r="HK856" s="88"/>
      <c r="HL856" s="88"/>
      <c r="HM856" s="88"/>
      <c r="HN856" s="88"/>
      <c r="HO856" s="88"/>
      <c r="HP856" s="88"/>
      <c r="HQ856" s="88"/>
      <c r="HR856" s="88"/>
      <c r="HS856" s="88"/>
      <c r="HT856" s="88"/>
      <c r="HU856" s="88"/>
      <c r="HV856" s="88"/>
      <c r="HW856" s="88"/>
      <c r="HX856" s="88"/>
      <c r="HY856" s="88"/>
      <c r="HZ856" s="88"/>
      <c r="IA856" s="88"/>
      <c r="IB856" s="88"/>
      <c r="IC856" s="88"/>
      <c r="ID856" s="88"/>
      <c r="IE856" s="88"/>
      <c r="IF856" s="88"/>
      <c r="IG856" s="88"/>
      <c r="IH856" s="88"/>
      <c r="II856" s="88"/>
      <c r="IJ856" s="88"/>
      <c r="IK856" s="88"/>
      <c r="IL856" s="88"/>
      <c r="IM856" s="88"/>
      <c r="IN856" s="88"/>
      <c r="IO856" s="88"/>
      <c r="IP856" s="88"/>
      <c r="IQ856" s="88"/>
      <c r="IR856" s="88"/>
      <c r="IS856" s="88"/>
      <c r="IT856" s="88"/>
      <c r="IU856" s="88"/>
      <c r="IV856" s="88"/>
      <c r="IW856" s="88"/>
      <c r="IX856" s="88"/>
      <c r="IY856" s="88"/>
      <c r="IZ856" s="88"/>
      <c r="JA856" s="88"/>
      <c r="JB856" s="88"/>
    </row>
    <row r="857" spans="1:262">
      <c r="C857" s="113" t="s">
        <v>30</v>
      </c>
      <c r="L857" s="88"/>
      <c r="M857" s="88"/>
      <c r="N857" s="88"/>
      <c r="O857" s="88"/>
      <c r="P857" s="88"/>
      <c r="Q857" s="88"/>
      <c r="R857" s="88"/>
      <c r="S857" s="88"/>
      <c r="T857" s="88"/>
      <c r="U857" s="88"/>
      <c r="V857" s="88"/>
      <c r="W857" s="88"/>
      <c r="X857" s="88"/>
      <c r="Y857" s="88"/>
      <c r="Z857" s="88"/>
      <c r="AA857" s="88"/>
      <c r="AB857" s="88"/>
      <c r="AC857" s="88"/>
      <c r="AD857" s="88"/>
      <c r="AE857" s="88"/>
      <c r="AF857" s="88"/>
      <c r="AG857" s="88"/>
      <c r="AH857" s="88"/>
      <c r="AI857" s="88"/>
      <c r="AJ857" s="88"/>
      <c r="AK857" s="88"/>
      <c r="AL857" s="88"/>
      <c r="AM857" s="88"/>
      <c r="AN857" s="88"/>
      <c r="AO857" s="88"/>
      <c r="AP857" s="88"/>
      <c r="AQ857" s="88"/>
      <c r="AR857" s="88"/>
      <c r="AS857" s="88"/>
      <c r="AT857" s="88"/>
      <c r="AU857" s="88"/>
      <c r="AV857" s="88"/>
      <c r="AW857" s="88"/>
      <c r="AX857" s="88"/>
      <c r="AY857" s="88"/>
      <c r="AZ857" s="88"/>
      <c r="BA857" s="88"/>
      <c r="BB857" s="88"/>
      <c r="BC857" s="88"/>
      <c r="BD857" s="88"/>
      <c r="BE857" s="88"/>
      <c r="BF857" s="88"/>
      <c r="BG857" s="88"/>
      <c r="BH857" s="88"/>
      <c r="BI857" s="88"/>
      <c r="BJ857" s="88"/>
      <c r="BK857" s="88"/>
      <c r="BL857" s="88"/>
      <c r="BM857" s="88"/>
      <c r="BN857" s="88"/>
      <c r="BO857" s="88"/>
      <c r="BP857" s="88"/>
      <c r="BQ857" s="88"/>
      <c r="BR857" s="88"/>
      <c r="BS857" s="88"/>
      <c r="BT857" s="88"/>
      <c r="BU857" s="88"/>
      <c r="BV857" s="88"/>
      <c r="BW857" s="88"/>
      <c r="BX857" s="88"/>
      <c r="BY857" s="88"/>
      <c r="BZ857" s="88"/>
      <c r="CA857" s="88"/>
      <c r="CB857" s="88"/>
      <c r="CC857" s="88"/>
      <c r="CD857" s="88"/>
      <c r="CE857" s="88"/>
      <c r="CF857" s="88"/>
      <c r="CG857" s="88"/>
      <c r="CH857" s="88"/>
      <c r="CI857" s="88"/>
      <c r="CJ857" s="88"/>
      <c r="CK857" s="88"/>
      <c r="CL857" s="88"/>
      <c r="CM857" s="88"/>
      <c r="CN857" s="88"/>
      <c r="CO857" s="88"/>
      <c r="CP857" s="88"/>
      <c r="CQ857" s="88"/>
      <c r="CR857" s="88"/>
      <c r="CS857" s="88"/>
      <c r="CT857" s="88"/>
      <c r="CU857" s="88"/>
      <c r="CV857" s="88"/>
      <c r="CW857" s="88"/>
      <c r="CX857" s="88"/>
      <c r="CY857" s="88"/>
      <c r="CZ857" s="88"/>
      <c r="DA857" s="88"/>
      <c r="DB857" s="88"/>
      <c r="DC857" s="88"/>
      <c r="DD857" s="88"/>
      <c r="DE857" s="88"/>
      <c r="DF857" s="88"/>
      <c r="DG857" s="88"/>
      <c r="DH857" s="88"/>
      <c r="DI857" s="88"/>
      <c r="DJ857" s="88"/>
      <c r="DK857" s="88"/>
      <c r="DL857" s="88"/>
      <c r="DM857" s="88"/>
      <c r="DN857" s="88"/>
      <c r="DO857" s="88"/>
      <c r="DP857" s="88"/>
      <c r="DQ857" s="88"/>
      <c r="DR857" s="88"/>
      <c r="DS857" s="88"/>
      <c r="DT857" s="88"/>
      <c r="DU857" s="88"/>
      <c r="DV857" s="88"/>
      <c r="DW857" s="88"/>
      <c r="DX857" s="88"/>
      <c r="DY857" s="88"/>
      <c r="DZ857" s="88"/>
      <c r="EA857" s="88"/>
      <c r="EB857" s="88"/>
      <c r="EC857" s="88"/>
      <c r="ED857" s="88"/>
      <c r="EE857" s="88"/>
      <c r="EF857" s="88"/>
      <c r="EG857" s="88"/>
      <c r="EH857" s="88"/>
      <c r="EI857" s="88"/>
      <c r="EJ857" s="88"/>
      <c r="EK857" s="88"/>
      <c r="EL857" s="88"/>
      <c r="EM857" s="88"/>
      <c r="EN857" s="88"/>
      <c r="EO857" s="88"/>
      <c r="EP857" s="88"/>
      <c r="EQ857" s="88"/>
      <c r="ER857" s="88"/>
      <c r="ES857" s="88"/>
      <c r="ET857" s="88"/>
      <c r="EU857" s="88"/>
      <c r="EV857" s="88"/>
      <c r="EW857" s="88"/>
      <c r="EX857" s="88"/>
      <c r="EY857" s="88"/>
      <c r="EZ857" s="88"/>
      <c r="FA857" s="88"/>
      <c r="FB857" s="88"/>
      <c r="FC857" s="88"/>
      <c r="FD857" s="88"/>
      <c r="FE857" s="88"/>
      <c r="FF857" s="88"/>
      <c r="FG857" s="88"/>
      <c r="FH857" s="88"/>
      <c r="FI857" s="88"/>
      <c r="FJ857" s="88"/>
      <c r="FK857" s="88"/>
      <c r="FL857" s="88"/>
      <c r="FM857" s="88"/>
      <c r="FN857" s="88"/>
      <c r="FO857" s="88"/>
      <c r="FP857" s="88"/>
      <c r="FQ857" s="88"/>
      <c r="FR857" s="88"/>
      <c r="FS857" s="88"/>
      <c r="FT857" s="88"/>
      <c r="FU857" s="88"/>
      <c r="FV857" s="88"/>
      <c r="FW857" s="88"/>
      <c r="FX857" s="88"/>
      <c r="FY857" s="88"/>
      <c r="FZ857" s="88"/>
      <c r="GA857" s="88"/>
      <c r="GB857" s="88"/>
      <c r="GC857" s="88"/>
      <c r="GD857" s="88"/>
      <c r="GE857" s="88"/>
      <c r="GF857" s="88"/>
      <c r="GG857" s="88"/>
      <c r="GH857" s="88"/>
      <c r="GI857" s="88"/>
      <c r="GJ857" s="88"/>
      <c r="GK857" s="88"/>
      <c r="GL857" s="88"/>
      <c r="GM857" s="88"/>
      <c r="GN857" s="88"/>
      <c r="GO857" s="88"/>
      <c r="GP857" s="88"/>
      <c r="GQ857" s="88"/>
      <c r="GR857" s="88"/>
      <c r="GS857" s="88"/>
      <c r="GT857" s="88"/>
      <c r="GU857" s="88"/>
      <c r="GV857" s="88"/>
      <c r="GW857" s="88"/>
      <c r="GX857" s="88"/>
      <c r="GY857" s="88"/>
      <c r="GZ857" s="88"/>
      <c r="HA857" s="88"/>
      <c r="HB857" s="88"/>
      <c r="HC857" s="88"/>
      <c r="HD857" s="88"/>
      <c r="HE857" s="88"/>
      <c r="HF857" s="88"/>
      <c r="HG857" s="88"/>
      <c r="HH857" s="88"/>
      <c r="HI857" s="88"/>
      <c r="HJ857" s="88"/>
      <c r="HK857" s="88"/>
      <c r="HL857" s="88"/>
      <c r="HM857" s="88"/>
      <c r="HN857" s="88"/>
      <c r="HO857" s="88"/>
      <c r="HP857" s="88"/>
      <c r="HQ857" s="88"/>
      <c r="HR857" s="88"/>
      <c r="HS857" s="88"/>
      <c r="HT857" s="88"/>
      <c r="HU857" s="88"/>
      <c r="HV857" s="88"/>
      <c r="HW857" s="88"/>
      <c r="HX857" s="88"/>
      <c r="HY857" s="88"/>
      <c r="HZ857" s="88"/>
      <c r="IA857" s="88"/>
      <c r="IB857" s="88"/>
      <c r="IC857" s="88"/>
      <c r="ID857" s="88"/>
      <c r="IE857" s="88"/>
      <c r="IF857" s="88"/>
      <c r="IG857" s="88"/>
      <c r="IH857" s="88"/>
      <c r="II857" s="88"/>
      <c r="IJ857" s="88"/>
      <c r="IK857" s="88"/>
      <c r="IL857" s="88"/>
      <c r="IM857" s="88"/>
      <c r="IN857" s="88"/>
      <c r="IO857" s="88"/>
      <c r="IP857" s="88"/>
      <c r="IQ857" s="88"/>
      <c r="IR857" s="88"/>
      <c r="IS857" s="88"/>
      <c r="IT857" s="88"/>
      <c r="IU857" s="88"/>
      <c r="IV857" s="88"/>
      <c r="IW857" s="88"/>
      <c r="IX857" s="88"/>
      <c r="IY857" s="88"/>
      <c r="IZ857" s="88"/>
      <c r="JA857" s="88"/>
      <c r="JB857" s="88"/>
    </row>
    <row r="858" spans="1:262">
      <c r="C858" s="113" t="s">
        <v>31</v>
      </c>
      <c r="L858" s="88"/>
      <c r="M858" s="88"/>
      <c r="N858" s="88"/>
      <c r="O858" s="88"/>
      <c r="P858" s="88"/>
      <c r="Q858" s="88"/>
      <c r="R858" s="88"/>
      <c r="S858" s="88"/>
      <c r="T858" s="88"/>
      <c r="U858" s="88"/>
      <c r="V858" s="88"/>
      <c r="W858" s="88"/>
      <c r="X858" s="88"/>
      <c r="Y858" s="88"/>
      <c r="Z858" s="88"/>
      <c r="AA858" s="88"/>
      <c r="AB858" s="88"/>
      <c r="AC858" s="88"/>
      <c r="AD858" s="88"/>
      <c r="AE858" s="88"/>
      <c r="AF858" s="88"/>
      <c r="AG858" s="88"/>
      <c r="AH858" s="88"/>
      <c r="AI858" s="88"/>
      <c r="AJ858" s="88"/>
      <c r="AK858" s="88"/>
      <c r="AL858" s="88"/>
      <c r="AM858" s="88"/>
      <c r="AN858" s="88"/>
      <c r="AO858" s="88"/>
      <c r="AP858" s="88"/>
      <c r="AQ858" s="88"/>
      <c r="AR858" s="88"/>
      <c r="AS858" s="88"/>
      <c r="AT858" s="88"/>
      <c r="AU858" s="88"/>
      <c r="AV858" s="88"/>
      <c r="AW858" s="88"/>
      <c r="AX858" s="88"/>
      <c r="AY858" s="88"/>
      <c r="AZ858" s="88"/>
      <c r="BA858" s="88"/>
      <c r="BB858" s="88"/>
      <c r="BC858" s="88"/>
      <c r="BD858" s="88"/>
      <c r="BE858" s="88"/>
      <c r="BF858" s="88"/>
      <c r="BG858" s="88"/>
      <c r="BH858" s="88"/>
      <c r="BI858" s="88"/>
      <c r="BJ858" s="88"/>
      <c r="BK858" s="88"/>
      <c r="BL858" s="88"/>
      <c r="BM858" s="88"/>
      <c r="BN858" s="88"/>
      <c r="BO858" s="88"/>
      <c r="BP858" s="88"/>
      <c r="BQ858" s="88"/>
      <c r="BR858" s="88"/>
      <c r="BS858" s="88"/>
      <c r="BT858" s="88"/>
      <c r="BU858" s="88"/>
      <c r="BV858" s="88"/>
      <c r="BW858" s="88"/>
      <c r="BX858" s="88"/>
      <c r="BY858" s="88"/>
      <c r="BZ858" s="88"/>
      <c r="CA858" s="88"/>
      <c r="CB858" s="88"/>
      <c r="CC858" s="88"/>
      <c r="CD858" s="88"/>
      <c r="CE858" s="88"/>
      <c r="CF858" s="88"/>
      <c r="CG858" s="88"/>
      <c r="CH858" s="88"/>
      <c r="CI858" s="88"/>
      <c r="CJ858" s="88"/>
      <c r="CK858" s="88"/>
      <c r="CL858" s="88"/>
      <c r="CM858" s="88"/>
      <c r="CN858" s="88"/>
      <c r="CO858" s="88"/>
      <c r="CP858" s="88"/>
      <c r="CQ858" s="88"/>
      <c r="CR858" s="88"/>
      <c r="CS858" s="88"/>
      <c r="CT858" s="88"/>
      <c r="CU858" s="88"/>
      <c r="CV858" s="88"/>
      <c r="CW858" s="88"/>
      <c r="CX858" s="88"/>
      <c r="CY858" s="88"/>
      <c r="CZ858" s="88"/>
      <c r="DA858" s="88"/>
      <c r="DB858" s="88"/>
      <c r="DC858" s="88"/>
      <c r="DD858" s="88"/>
      <c r="DE858" s="88"/>
      <c r="DF858" s="88"/>
      <c r="DG858" s="88"/>
      <c r="DH858" s="88"/>
      <c r="DI858" s="88"/>
      <c r="DJ858" s="88"/>
      <c r="DK858" s="88"/>
      <c r="DL858" s="88"/>
      <c r="DM858" s="88"/>
      <c r="DN858" s="88"/>
      <c r="DO858" s="88"/>
      <c r="DP858" s="88"/>
      <c r="DQ858" s="88"/>
      <c r="DR858" s="88"/>
      <c r="DS858" s="88"/>
      <c r="DT858" s="88"/>
      <c r="DU858" s="88"/>
      <c r="DV858" s="88"/>
      <c r="DW858" s="88"/>
      <c r="DX858" s="88"/>
      <c r="DY858" s="88"/>
      <c r="DZ858" s="88"/>
      <c r="EA858" s="88"/>
      <c r="EB858" s="88"/>
      <c r="EC858" s="88"/>
      <c r="ED858" s="88"/>
      <c r="EE858" s="88"/>
      <c r="EF858" s="88"/>
      <c r="EG858" s="88"/>
      <c r="EH858" s="88"/>
      <c r="EI858" s="88"/>
      <c r="EJ858" s="88"/>
      <c r="EK858" s="88"/>
      <c r="EL858" s="88"/>
      <c r="EM858" s="88"/>
      <c r="EN858" s="88"/>
      <c r="EO858" s="88"/>
      <c r="EP858" s="88"/>
      <c r="EQ858" s="88"/>
      <c r="ER858" s="88"/>
      <c r="ES858" s="88"/>
      <c r="ET858" s="88"/>
      <c r="EU858" s="88"/>
      <c r="EV858" s="88"/>
      <c r="EW858" s="88"/>
      <c r="EX858" s="88"/>
      <c r="EY858" s="88"/>
      <c r="EZ858" s="88"/>
      <c r="FA858" s="88"/>
      <c r="FB858" s="88"/>
      <c r="FC858" s="88"/>
      <c r="FD858" s="88"/>
      <c r="FE858" s="88"/>
      <c r="FF858" s="88"/>
      <c r="FG858" s="88"/>
      <c r="FH858" s="88"/>
      <c r="FI858" s="88"/>
      <c r="FJ858" s="88"/>
      <c r="FK858" s="88"/>
      <c r="FL858" s="88"/>
      <c r="FM858" s="88"/>
      <c r="FN858" s="88"/>
      <c r="FO858" s="88"/>
      <c r="FP858" s="88"/>
      <c r="FQ858" s="88"/>
      <c r="FR858" s="88"/>
      <c r="FS858" s="88"/>
      <c r="FT858" s="88"/>
      <c r="FU858" s="88"/>
      <c r="FV858" s="88"/>
      <c r="FW858" s="88"/>
      <c r="FX858" s="88"/>
      <c r="FY858" s="88"/>
      <c r="FZ858" s="88"/>
      <c r="GA858" s="88"/>
      <c r="GB858" s="88"/>
      <c r="GC858" s="88"/>
      <c r="GD858" s="88"/>
      <c r="GE858" s="88"/>
      <c r="GF858" s="88"/>
      <c r="GG858" s="88"/>
      <c r="GH858" s="88"/>
      <c r="GI858" s="88"/>
      <c r="GJ858" s="88"/>
      <c r="GK858" s="88"/>
      <c r="GL858" s="88"/>
      <c r="GM858" s="88"/>
      <c r="GN858" s="88"/>
      <c r="GO858" s="88"/>
      <c r="GP858" s="88"/>
      <c r="GQ858" s="88"/>
      <c r="GR858" s="88"/>
      <c r="GS858" s="88"/>
      <c r="GT858" s="88"/>
      <c r="GU858" s="88"/>
      <c r="GV858" s="88"/>
      <c r="GW858" s="88"/>
      <c r="GX858" s="88"/>
      <c r="GY858" s="88"/>
      <c r="GZ858" s="88"/>
      <c r="HA858" s="88"/>
      <c r="HB858" s="88"/>
      <c r="HC858" s="88"/>
      <c r="HD858" s="88"/>
      <c r="HE858" s="88"/>
      <c r="HF858" s="88"/>
      <c r="HG858" s="88"/>
      <c r="HH858" s="88"/>
      <c r="HI858" s="88"/>
      <c r="HJ858" s="88"/>
      <c r="HK858" s="88"/>
      <c r="HL858" s="88"/>
      <c r="HM858" s="88"/>
      <c r="HN858" s="88"/>
      <c r="HO858" s="88"/>
      <c r="HP858" s="88"/>
      <c r="HQ858" s="88"/>
      <c r="HR858" s="88"/>
      <c r="HS858" s="88"/>
      <c r="HT858" s="88"/>
      <c r="HU858" s="88"/>
      <c r="HV858" s="88"/>
      <c r="HW858" s="88"/>
      <c r="HX858" s="88"/>
      <c r="HY858" s="88"/>
      <c r="HZ858" s="88"/>
      <c r="IA858" s="88"/>
      <c r="IB858" s="88"/>
      <c r="IC858" s="88"/>
      <c r="ID858" s="88"/>
      <c r="IE858" s="88"/>
      <c r="IF858" s="88"/>
      <c r="IG858" s="88"/>
      <c r="IH858" s="88"/>
      <c r="II858" s="88"/>
      <c r="IJ858" s="88"/>
      <c r="IK858" s="88"/>
      <c r="IL858" s="88"/>
      <c r="IM858" s="88"/>
      <c r="IN858" s="88"/>
      <c r="IO858" s="88"/>
      <c r="IP858" s="88"/>
      <c r="IQ858" s="88"/>
      <c r="IR858" s="88"/>
      <c r="IS858" s="88"/>
      <c r="IT858" s="88"/>
      <c r="IU858" s="88"/>
      <c r="IV858" s="88"/>
      <c r="IW858" s="88"/>
      <c r="IX858" s="88"/>
      <c r="IY858" s="88"/>
      <c r="IZ858" s="88"/>
      <c r="JA858" s="88"/>
      <c r="JB858" s="88"/>
    </row>
    <row r="860" spans="1:262">
      <c r="C860" s="113">
        <v>5</v>
      </c>
      <c r="D860" s="1000"/>
      <c r="L860" s="88"/>
      <c r="M860" s="88"/>
      <c r="N860" s="88"/>
      <c r="O860" s="88"/>
      <c r="P860" s="88"/>
      <c r="Q860" s="88"/>
      <c r="R860" s="88"/>
      <c r="S860" s="88"/>
      <c r="T860" s="88"/>
      <c r="U860" s="88"/>
      <c r="V860" s="88"/>
      <c r="W860" s="88"/>
      <c r="X860" s="88"/>
      <c r="Y860" s="88"/>
      <c r="Z860" s="88"/>
      <c r="AA860" s="88"/>
      <c r="AB860" s="88"/>
      <c r="AC860" s="88"/>
      <c r="AD860" s="88"/>
      <c r="AE860" s="88"/>
      <c r="AF860" s="88"/>
      <c r="AG860" s="88"/>
      <c r="AH860" s="88"/>
      <c r="AI860" s="88"/>
      <c r="AJ860" s="88"/>
      <c r="AK860" s="88"/>
      <c r="AL860" s="88"/>
      <c r="AM860" s="88"/>
      <c r="AN860" s="88"/>
      <c r="AO860" s="88"/>
      <c r="AP860" s="88"/>
      <c r="AQ860" s="88"/>
      <c r="AR860" s="88"/>
      <c r="AS860" s="88"/>
      <c r="AT860" s="88"/>
      <c r="AU860" s="88"/>
      <c r="AV860" s="88"/>
      <c r="AW860" s="88"/>
      <c r="AX860" s="88"/>
      <c r="AY860" s="88"/>
      <c r="AZ860" s="88"/>
      <c r="BA860" s="88"/>
      <c r="BB860" s="88"/>
      <c r="BC860" s="88"/>
      <c r="BD860" s="88"/>
      <c r="BE860" s="88"/>
      <c r="BF860" s="88"/>
      <c r="BG860" s="88"/>
      <c r="BH860" s="88"/>
      <c r="BI860" s="88"/>
      <c r="BJ860" s="88"/>
      <c r="BK860" s="88"/>
      <c r="BL860" s="88"/>
      <c r="BM860" s="88"/>
      <c r="BN860" s="88"/>
      <c r="BO860" s="88"/>
      <c r="BP860" s="88"/>
      <c r="BQ860" s="88"/>
      <c r="BR860" s="88"/>
      <c r="BS860" s="88"/>
      <c r="BT860" s="88"/>
      <c r="BU860" s="88"/>
      <c r="BV860" s="88"/>
      <c r="BW860" s="88"/>
      <c r="BX860" s="88"/>
      <c r="BY860" s="88"/>
      <c r="BZ860" s="88"/>
      <c r="CA860" s="88"/>
      <c r="CB860" s="88"/>
      <c r="CC860" s="88"/>
      <c r="CD860" s="88"/>
      <c r="CE860" s="88"/>
      <c r="CF860" s="88"/>
      <c r="CG860" s="88"/>
      <c r="CH860" s="88"/>
      <c r="CI860" s="88"/>
      <c r="CJ860" s="88"/>
      <c r="CK860" s="88"/>
      <c r="CL860" s="88"/>
      <c r="CM860" s="88"/>
      <c r="CN860" s="88"/>
      <c r="CO860" s="88"/>
      <c r="CP860" s="88"/>
      <c r="CQ860" s="88"/>
      <c r="CR860" s="88"/>
      <c r="CS860" s="88"/>
      <c r="CT860" s="88"/>
      <c r="CU860" s="88"/>
      <c r="CV860" s="88"/>
      <c r="CW860" s="88"/>
      <c r="CX860" s="88"/>
      <c r="CY860" s="88"/>
      <c r="CZ860" s="88"/>
      <c r="DA860" s="88"/>
      <c r="DB860" s="88"/>
      <c r="DC860" s="88"/>
      <c r="DD860" s="88"/>
      <c r="DE860" s="88"/>
      <c r="DF860" s="88"/>
      <c r="DG860" s="88"/>
      <c r="DH860" s="88"/>
      <c r="DI860" s="88"/>
      <c r="DJ860" s="88"/>
      <c r="DK860" s="88"/>
      <c r="DL860" s="88"/>
      <c r="DM860" s="88"/>
      <c r="DN860" s="88"/>
      <c r="DO860" s="88"/>
      <c r="DP860" s="88"/>
      <c r="DQ860" s="88"/>
      <c r="DR860" s="88"/>
      <c r="DS860" s="88"/>
      <c r="DT860" s="88"/>
      <c r="DU860" s="88"/>
      <c r="DV860" s="88"/>
      <c r="DW860" s="88"/>
      <c r="DX860" s="88"/>
      <c r="DY860" s="88"/>
      <c r="DZ860" s="88"/>
      <c r="EA860" s="88"/>
      <c r="EB860" s="88"/>
      <c r="EC860" s="88"/>
      <c r="ED860" s="88"/>
      <c r="EE860" s="88"/>
      <c r="EF860" s="88"/>
      <c r="EG860" s="88"/>
      <c r="EH860" s="88"/>
      <c r="EI860" s="88"/>
      <c r="EJ860" s="88"/>
      <c r="EK860" s="88"/>
      <c r="EL860" s="88"/>
      <c r="EM860" s="88"/>
      <c r="EN860" s="88"/>
      <c r="EO860" s="88"/>
      <c r="EP860" s="88"/>
      <c r="EQ860" s="88"/>
      <c r="ER860" s="88"/>
      <c r="ES860" s="88"/>
      <c r="ET860" s="88"/>
      <c r="EU860" s="88"/>
      <c r="EV860" s="88"/>
      <c r="EW860" s="88"/>
      <c r="EX860" s="88"/>
      <c r="EY860" s="88"/>
      <c r="EZ860" s="88"/>
      <c r="FA860" s="88"/>
      <c r="FB860" s="88"/>
      <c r="FC860" s="88"/>
      <c r="FD860" s="88"/>
      <c r="FE860" s="88"/>
      <c r="FF860" s="88"/>
      <c r="FG860" s="88"/>
      <c r="FH860" s="88"/>
      <c r="FI860" s="88"/>
      <c r="FJ860" s="88"/>
      <c r="FK860" s="88"/>
      <c r="FL860" s="88"/>
      <c r="FM860" s="88"/>
      <c r="FN860" s="88"/>
      <c r="FO860" s="88"/>
      <c r="FP860" s="88"/>
      <c r="FQ860" s="88"/>
      <c r="FR860" s="88"/>
      <c r="FS860" s="88"/>
      <c r="FT860" s="88"/>
      <c r="FU860" s="88"/>
      <c r="FV860" s="88"/>
      <c r="FW860" s="88"/>
      <c r="FX860" s="88"/>
      <c r="FY860" s="88"/>
      <c r="FZ860" s="88"/>
      <c r="GA860" s="88"/>
      <c r="GB860" s="88"/>
      <c r="GC860" s="88"/>
      <c r="GD860" s="88"/>
      <c r="GE860" s="88"/>
      <c r="GF860" s="88"/>
      <c r="GG860" s="88"/>
      <c r="GH860" s="88"/>
      <c r="GI860" s="88"/>
      <c r="GJ860" s="88"/>
      <c r="GK860" s="88"/>
      <c r="GL860" s="88"/>
      <c r="GM860" s="88"/>
      <c r="GN860" s="88"/>
      <c r="GO860" s="88"/>
      <c r="GP860" s="88"/>
      <c r="GQ860" s="88"/>
      <c r="GR860" s="88"/>
      <c r="GS860" s="88"/>
      <c r="GT860" s="88"/>
      <c r="GU860" s="88"/>
      <c r="GV860" s="88"/>
      <c r="GW860" s="88"/>
      <c r="GX860" s="88"/>
      <c r="GY860" s="88"/>
      <c r="GZ860" s="88"/>
      <c r="HA860" s="88"/>
      <c r="HB860" s="88"/>
      <c r="HC860" s="88"/>
      <c r="HD860" s="88"/>
      <c r="HE860" s="88"/>
      <c r="HF860" s="88"/>
      <c r="HG860" s="88"/>
      <c r="HH860" s="88"/>
      <c r="HI860" s="88"/>
      <c r="HJ860" s="88"/>
      <c r="HK860" s="88"/>
      <c r="HL860" s="88"/>
      <c r="HM860" s="88"/>
      <c r="HN860" s="88"/>
      <c r="HO860" s="88"/>
      <c r="HP860" s="88"/>
      <c r="HQ860" s="88"/>
      <c r="HR860" s="88"/>
      <c r="HS860" s="88"/>
      <c r="HT860" s="88"/>
      <c r="HU860" s="88"/>
      <c r="HV860" s="88"/>
      <c r="HW860" s="88"/>
      <c r="HX860" s="88"/>
      <c r="HY860" s="88"/>
      <c r="HZ860" s="88"/>
      <c r="IA860" s="88"/>
      <c r="IB860" s="88"/>
      <c r="IC860" s="88"/>
      <c r="ID860" s="88"/>
      <c r="IE860" s="88"/>
      <c r="IF860" s="88"/>
      <c r="IG860" s="88"/>
      <c r="IH860" s="88"/>
      <c r="II860" s="88"/>
      <c r="IJ860" s="88"/>
      <c r="IK860" s="88"/>
      <c r="IL860" s="88"/>
      <c r="IM860" s="88"/>
      <c r="IN860" s="88"/>
      <c r="IO860" s="88"/>
      <c r="IP860" s="88"/>
      <c r="IQ860" s="88"/>
      <c r="IR860" s="88"/>
      <c r="IS860" s="88"/>
      <c r="IT860" s="88"/>
      <c r="IU860" s="88"/>
      <c r="IV860" s="88"/>
      <c r="IW860" s="88"/>
      <c r="IX860" s="88"/>
      <c r="IY860" s="88"/>
      <c r="IZ860" s="88"/>
      <c r="JA860" s="88"/>
      <c r="JB860" s="88"/>
    </row>
    <row r="861" spans="1:262">
      <c r="C861" s="113" t="s">
        <v>13</v>
      </c>
      <c r="L861" s="88"/>
      <c r="M861" s="88"/>
      <c r="N861" s="88"/>
      <c r="O861" s="88"/>
      <c r="P861" s="88"/>
      <c r="Q861" s="88"/>
      <c r="R861" s="88"/>
      <c r="S861" s="88"/>
      <c r="T861" s="88"/>
      <c r="U861" s="88"/>
      <c r="V861" s="88"/>
      <c r="W861" s="88"/>
      <c r="X861" s="88"/>
      <c r="Y861" s="88"/>
      <c r="Z861" s="88"/>
      <c r="AA861" s="88"/>
      <c r="AB861" s="88"/>
      <c r="AC861" s="88"/>
      <c r="AD861" s="88"/>
      <c r="AE861" s="88"/>
      <c r="AF861" s="88"/>
      <c r="AG861" s="88"/>
      <c r="AH861" s="88"/>
      <c r="AI861" s="88"/>
      <c r="AJ861" s="88"/>
      <c r="AK861" s="88"/>
      <c r="AL861" s="88"/>
      <c r="AM861" s="88"/>
      <c r="AN861" s="88"/>
      <c r="AO861" s="88"/>
      <c r="AP861" s="88"/>
      <c r="AQ861" s="88"/>
      <c r="AR861" s="88"/>
      <c r="AS861" s="88"/>
      <c r="AT861" s="88"/>
      <c r="AU861" s="88"/>
      <c r="AV861" s="88"/>
      <c r="AW861" s="88"/>
      <c r="AX861" s="88"/>
      <c r="AY861" s="88"/>
      <c r="AZ861" s="88"/>
      <c r="BA861" s="88"/>
      <c r="BB861" s="88"/>
      <c r="BC861" s="88"/>
      <c r="BD861" s="88"/>
      <c r="BE861" s="88"/>
      <c r="BF861" s="88"/>
      <c r="BG861" s="88"/>
      <c r="BH861" s="88"/>
      <c r="BI861" s="88"/>
      <c r="BJ861" s="88"/>
      <c r="BK861" s="88"/>
      <c r="BL861" s="88"/>
      <c r="BM861" s="88"/>
      <c r="BN861" s="88"/>
      <c r="BO861" s="88"/>
      <c r="BP861" s="88"/>
      <c r="BQ861" s="88"/>
      <c r="BR861" s="88"/>
      <c r="BS861" s="88"/>
      <c r="BT861" s="88"/>
      <c r="BU861" s="88"/>
      <c r="BV861" s="88"/>
      <c r="BW861" s="88"/>
      <c r="BX861" s="88"/>
      <c r="BY861" s="88"/>
      <c r="BZ861" s="88"/>
      <c r="CA861" s="88"/>
      <c r="CB861" s="88"/>
      <c r="CC861" s="88"/>
      <c r="CD861" s="88"/>
      <c r="CE861" s="88"/>
      <c r="CF861" s="88"/>
      <c r="CG861" s="88"/>
      <c r="CH861" s="88"/>
      <c r="CI861" s="88"/>
      <c r="CJ861" s="88"/>
      <c r="CK861" s="88"/>
      <c r="CL861" s="88"/>
      <c r="CM861" s="88"/>
      <c r="CN861" s="88"/>
      <c r="CO861" s="88"/>
      <c r="CP861" s="88"/>
      <c r="CQ861" s="88"/>
      <c r="CR861" s="88"/>
      <c r="CS861" s="88"/>
      <c r="CT861" s="88"/>
      <c r="CU861" s="88"/>
      <c r="CV861" s="88"/>
      <c r="CW861" s="88"/>
      <c r="CX861" s="88"/>
      <c r="CY861" s="88"/>
      <c r="CZ861" s="88"/>
      <c r="DA861" s="88"/>
      <c r="DB861" s="88"/>
      <c r="DC861" s="88"/>
      <c r="DD861" s="88"/>
      <c r="DE861" s="88"/>
      <c r="DF861" s="88"/>
      <c r="DG861" s="88"/>
      <c r="DH861" s="88"/>
      <c r="DI861" s="88"/>
      <c r="DJ861" s="88"/>
      <c r="DK861" s="88"/>
      <c r="DL861" s="88"/>
      <c r="DM861" s="88"/>
      <c r="DN861" s="88"/>
      <c r="DO861" s="88"/>
      <c r="DP861" s="88"/>
      <c r="DQ861" s="88"/>
      <c r="DR861" s="88"/>
      <c r="DS861" s="88"/>
      <c r="DT861" s="88"/>
      <c r="DU861" s="88"/>
      <c r="DV861" s="88"/>
      <c r="DW861" s="88"/>
      <c r="DX861" s="88"/>
      <c r="DY861" s="88"/>
      <c r="DZ861" s="88"/>
      <c r="EA861" s="88"/>
      <c r="EB861" s="88"/>
      <c r="EC861" s="88"/>
      <c r="ED861" s="88"/>
      <c r="EE861" s="88"/>
      <c r="EF861" s="88"/>
      <c r="EG861" s="88"/>
      <c r="EH861" s="88"/>
      <c r="EI861" s="88"/>
      <c r="EJ861" s="88"/>
      <c r="EK861" s="88"/>
      <c r="EL861" s="88"/>
      <c r="EM861" s="88"/>
      <c r="EN861" s="88"/>
      <c r="EO861" s="88"/>
      <c r="EP861" s="88"/>
      <c r="EQ861" s="88"/>
      <c r="ER861" s="88"/>
      <c r="ES861" s="88"/>
      <c r="ET861" s="88"/>
      <c r="EU861" s="88"/>
      <c r="EV861" s="88"/>
      <c r="EW861" s="88"/>
      <c r="EX861" s="88"/>
      <c r="EY861" s="88"/>
      <c r="EZ861" s="88"/>
      <c r="FA861" s="88"/>
      <c r="FB861" s="88"/>
      <c r="FC861" s="88"/>
      <c r="FD861" s="88"/>
      <c r="FE861" s="88"/>
      <c r="FF861" s="88"/>
      <c r="FG861" s="88"/>
      <c r="FH861" s="88"/>
      <c r="FI861" s="88"/>
      <c r="FJ861" s="88"/>
      <c r="FK861" s="88"/>
      <c r="FL861" s="88"/>
      <c r="FM861" s="88"/>
      <c r="FN861" s="88"/>
      <c r="FO861" s="88"/>
      <c r="FP861" s="88"/>
      <c r="FQ861" s="88"/>
      <c r="FR861" s="88"/>
      <c r="FS861" s="88"/>
      <c r="FT861" s="88"/>
      <c r="FU861" s="88"/>
      <c r="FV861" s="88"/>
      <c r="FW861" s="88"/>
      <c r="FX861" s="88"/>
      <c r="FY861" s="88"/>
      <c r="FZ861" s="88"/>
      <c r="GA861" s="88"/>
      <c r="GB861" s="88"/>
      <c r="GC861" s="88"/>
      <c r="GD861" s="88"/>
      <c r="GE861" s="88"/>
      <c r="GF861" s="88"/>
      <c r="GG861" s="88"/>
      <c r="GH861" s="88"/>
      <c r="GI861" s="88"/>
      <c r="GJ861" s="88"/>
      <c r="GK861" s="88"/>
      <c r="GL861" s="88"/>
      <c r="GM861" s="88"/>
      <c r="GN861" s="88"/>
      <c r="GO861" s="88"/>
      <c r="GP861" s="88"/>
      <c r="GQ861" s="88"/>
      <c r="GR861" s="88"/>
      <c r="GS861" s="88"/>
      <c r="GT861" s="88"/>
      <c r="GU861" s="88"/>
      <c r="GV861" s="88"/>
      <c r="GW861" s="88"/>
      <c r="GX861" s="88"/>
      <c r="GY861" s="88"/>
      <c r="GZ861" s="88"/>
      <c r="HA861" s="88"/>
      <c r="HB861" s="88"/>
      <c r="HC861" s="88"/>
      <c r="HD861" s="88"/>
      <c r="HE861" s="88"/>
      <c r="HF861" s="88"/>
      <c r="HG861" s="88"/>
      <c r="HH861" s="88"/>
      <c r="HI861" s="88"/>
      <c r="HJ861" s="88"/>
      <c r="HK861" s="88"/>
      <c r="HL861" s="88"/>
      <c r="HM861" s="88"/>
      <c r="HN861" s="88"/>
      <c r="HO861" s="88"/>
      <c r="HP861" s="88"/>
      <c r="HQ861" s="88"/>
      <c r="HR861" s="88"/>
      <c r="HS861" s="88"/>
      <c r="HT861" s="88"/>
      <c r="HU861" s="88"/>
      <c r="HV861" s="88"/>
      <c r="HW861" s="88"/>
      <c r="HX861" s="88"/>
      <c r="HY861" s="88"/>
      <c r="HZ861" s="88"/>
      <c r="IA861" s="88"/>
      <c r="IB861" s="88"/>
      <c r="IC861" s="88"/>
      <c r="ID861" s="88"/>
      <c r="IE861" s="88"/>
      <c r="IF861" s="88"/>
      <c r="IG861" s="88"/>
      <c r="IH861" s="88"/>
      <c r="II861" s="88"/>
      <c r="IJ861" s="88"/>
      <c r="IK861" s="88"/>
      <c r="IL861" s="88"/>
      <c r="IM861" s="88"/>
      <c r="IN861" s="88"/>
      <c r="IO861" s="88"/>
      <c r="IP861" s="88"/>
      <c r="IQ861" s="88"/>
      <c r="IR861" s="88"/>
      <c r="IS861" s="88"/>
      <c r="IT861" s="88"/>
      <c r="IU861" s="88"/>
      <c r="IV861" s="88"/>
      <c r="IW861" s="88"/>
      <c r="IX861" s="88"/>
      <c r="IY861" s="88"/>
      <c r="IZ861" s="88"/>
      <c r="JA861" s="88"/>
      <c r="JB861" s="88"/>
    </row>
    <row r="862" spans="1:262">
      <c r="C862" s="113" t="s">
        <v>142</v>
      </c>
      <c r="L862" s="88"/>
      <c r="M862" s="88"/>
      <c r="N862" s="88"/>
      <c r="O862" s="88"/>
      <c r="P862" s="88"/>
      <c r="Q862" s="88"/>
      <c r="R862" s="88"/>
      <c r="S862" s="88"/>
      <c r="T862" s="88"/>
      <c r="U862" s="88"/>
      <c r="V862" s="88"/>
      <c r="W862" s="88"/>
      <c r="X862" s="88"/>
      <c r="Y862" s="88"/>
      <c r="Z862" s="88"/>
      <c r="AA862" s="88"/>
      <c r="AB862" s="88"/>
      <c r="AC862" s="88"/>
      <c r="AD862" s="88"/>
      <c r="AE862" s="88"/>
      <c r="AF862" s="88"/>
      <c r="AG862" s="88"/>
      <c r="AH862" s="88"/>
      <c r="AI862" s="88"/>
      <c r="AJ862" s="88"/>
      <c r="AK862" s="88"/>
      <c r="AL862" s="88"/>
      <c r="AM862" s="88"/>
      <c r="AN862" s="88"/>
      <c r="AO862" s="88"/>
      <c r="AP862" s="88"/>
      <c r="AQ862" s="88"/>
      <c r="AR862" s="88"/>
      <c r="AS862" s="88"/>
      <c r="AT862" s="88"/>
      <c r="AU862" s="88"/>
      <c r="AV862" s="88"/>
      <c r="AW862" s="88"/>
      <c r="AX862" s="88"/>
      <c r="AY862" s="88"/>
      <c r="AZ862" s="88"/>
      <c r="BA862" s="88"/>
      <c r="BB862" s="88"/>
      <c r="BC862" s="88"/>
      <c r="BD862" s="88"/>
      <c r="BE862" s="88"/>
      <c r="BF862" s="88"/>
      <c r="BG862" s="88"/>
      <c r="BH862" s="88"/>
      <c r="BI862" s="88"/>
      <c r="BJ862" s="88"/>
      <c r="BK862" s="88"/>
      <c r="BL862" s="88"/>
      <c r="BM862" s="88"/>
      <c r="BN862" s="88"/>
      <c r="BO862" s="88"/>
      <c r="BP862" s="88"/>
      <c r="BQ862" s="88"/>
      <c r="BR862" s="88"/>
      <c r="BS862" s="88"/>
      <c r="BT862" s="88"/>
      <c r="BU862" s="88"/>
      <c r="BV862" s="88"/>
      <c r="BW862" s="88"/>
      <c r="BX862" s="88"/>
      <c r="BY862" s="88"/>
      <c r="BZ862" s="88"/>
      <c r="CA862" s="88"/>
      <c r="CB862" s="88"/>
      <c r="CC862" s="88"/>
      <c r="CD862" s="88"/>
      <c r="CE862" s="88"/>
      <c r="CF862" s="88"/>
      <c r="CG862" s="88"/>
      <c r="CH862" s="88"/>
      <c r="CI862" s="88"/>
      <c r="CJ862" s="88"/>
      <c r="CK862" s="88"/>
      <c r="CL862" s="88"/>
      <c r="CM862" s="88"/>
      <c r="CN862" s="88"/>
      <c r="CO862" s="88"/>
      <c r="CP862" s="88"/>
      <c r="CQ862" s="88"/>
      <c r="CR862" s="88"/>
      <c r="CS862" s="88"/>
      <c r="CT862" s="88"/>
      <c r="CU862" s="88"/>
      <c r="CV862" s="88"/>
      <c r="CW862" s="88"/>
      <c r="CX862" s="88"/>
      <c r="CY862" s="88"/>
      <c r="CZ862" s="88"/>
      <c r="DA862" s="88"/>
      <c r="DB862" s="88"/>
      <c r="DC862" s="88"/>
      <c r="DD862" s="88"/>
      <c r="DE862" s="88"/>
      <c r="DF862" s="88"/>
      <c r="DG862" s="88"/>
      <c r="DH862" s="88"/>
      <c r="DI862" s="88"/>
      <c r="DJ862" s="88"/>
      <c r="DK862" s="88"/>
      <c r="DL862" s="88"/>
      <c r="DM862" s="88"/>
      <c r="DN862" s="88"/>
      <c r="DO862" s="88"/>
      <c r="DP862" s="88"/>
      <c r="DQ862" s="88"/>
      <c r="DR862" s="88"/>
      <c r="DS862" s="88"/>
      <c r="DT862" s="88"/>
      <c r="DU862" s="88"/>
      <c r="DV862" s="88"/>
      <c r="DW862" s="88"/>
      <c r="DX862" s="88"/>
      <c r="DY862" s="88"/>
      <c r="DZ862" s="88"/>
      <c r="EA862" s="88"/>
      <c r="EB862" s="88"/>
      <c r="EC862" s="88"/>
      <c r="ED862" s="88"/>
      <c r="EE862" s="88"/>
      <c r="EF862" s="88"/>
      <c r="EG862" s="88"/>
      <c r="EH862" s="88"/>
      <c r="EI862" s="88"/>
      <c r="EJ862" s="88"/>
      <c r="EK862" s="88"/>
      <c r="EL862" s="88"/>
      <c r="EM862" s="88"/>
      <c r="EN862" s="88"/>
      <c r="EO862" s="88"/>
      <c r="EP862" s="88"/>
      <c r="EQ862" s="88"/>
      <c r="ER862" s="88"/>
      <c r="ES862" s="88"/>
      <c r="ET862" s="88"/>
      <c r="EU862" s="88"/>
      <c r="EV862" s="88"/>
      <c r="EW862" s="88"/>
      <c r="EX862" s="88"/>
      <c r="EY862" s="88"/>
      <c r="EZ862" s="88"/>
      <c r="FA862" s="88"/>
      <c r="FB862" s="88"/>
      <c r="FC862" s="88"/>
      <c r="FD862" s="88"/>
      <c r="FE862" s="88"/>
      <c r="FF862" s="88"/>
      <c r="FG862" s="88"/>
      <c r="FH862" s="88"/>
      <c r="FI862" s="88"/>
      <c r="FJ862" s="88"/>
      <c r="FK862" s="88"/>
      <c r="FL862" s="88"/>
      <c r="FM862" s="88"/>
      <c r="FN862" s="88"/>
      <c r="FO862" s="88"/>
      <c r="FP862" s="88"/>
      <c r="FQ862" s="88"/>
      <c r="FR862" s="88"/>
      <c r="FS862" s="88"/>
      <c r="FT862" s="88"/>
      <c r="FU862" s="88"/>
      <c r="FV862" s="88"/>
      <c r="FW862" s="88"/>
      <c r="FX862" s="88"/>
      <c r="FY862" s="88"/>
      <c r="FZ862" s="88"/>
      <c r="GA862" s="88"/>
      <c r="GB862" s="88"/>
      <c r="GC862" s="88"/>
      <c r="GD862" s="88"/>
      <c r="GE862" s="88"/>
      <c r="GF862" s="88"/>
      <c r="GG862" s="88"/>
      <c r="GH862" s="88"/>
      <c r="GI862" s="88"/>
      <c r="GJ862" s="88"/>
      <c r="GK862" s="88"/>
      <c r="GL862" s="88"/>
      <c r="GM862" s="88"/>
      <c r="GN862" s="88"/>
      <c r="GO862" s="88"/>
      <c r="GP862" s="88"/>
      <c r="GQ862" s="88"/>
      <c r="GR862" s="88"/>
      <c r="GS862" s="88"/>
      <c r="GT862" s="88"/>
      <c r="GU862" s="88"/>
      <c r="GV862" s="88"/>
      <c r="GW862" s="88"/>
      <c r="GX862" s="88"/>
      <c r="GY862" s="88"/>
      <c r="GZ862" s="88"/>
      <c r="HA862" s="88"/>
      <c r="HB862" s="88"/>
      <c r="HC862" s="88"/>
      <c r="HD862" s="88"/>
      <c r="HE862" s="88"/>
      <c r="HF862" s="88"/>
      <c r="HG862" s="88"/>
      <c r="HH862" s="88"/>
      <c r="HI862" s="88"/>
      <c r="HJ862" s="88"/>
      <c r="HK862" s="88"/>
      <c r="HL862" s="88"/>
      <c r="HM862" s="88"/>
      <c r="HN862" s="88"/>
      <c r="HO862" s="88"/>
      <c r="HP862" s="88"/>
      <c r="HQ862" s="88"/>
      <c r="HR862" s="88"/>
      <c r="HS862" s="88"/>
      <c r="HT862" s="88"/>
      <c r="HU862" s="88"/>
      <c r="HV862" s="88"/>
      <c r="HW862" s="88"/>
      <c r="HX862" s="88"/>
      <c r="HY862" s="88"/>
      <c r="HZ862" s="88"/>
      <c r="IA862" s="88"/>
      <c r="IB862" s="88"/>
      <c r="IC862" s="88"/>
      <c r="ID862" s="88"/>
      <c r="IE862" s="88"/>
      <c r="IF862" s="88"/>
      <c r="IG862" s="88"/>
      <c r="IH862" s="88"/>
      <c r="II862" s="88"/>
      <c r="IJ862" s="88"/>
      <c r="IK862" s="88"/>
      <c r="IL862" s="88"/>
      <c r="IM862" s="88"/>
      <c r="IN862" s="88"/>
      <c r="IO862" s="88"/>
      <c r="IP862" s="88"/>
      <c r="IQ862" s="88"/>
      <c r="IR862" s="88"/>
      <c r="IS862" s="88"/>
      <c r="IT862" s="88"/>
      <c r="IU862" s="88"/>
      <c r="IV862" s="88"/>
      <c r="IW862" s="88"/>
      <c r="IX862" s="88"/>
      <c r="IY862" s="88"/>
      <c r="IZ862" s="88"/>
      <c r="JA862" s="88"/>
      <c r="JB862" s="88"/>
    </row>
    <row r="863" spans="1:262">
      <c r="C863" s="113" t="s">
        <v>143</v>
      </c>
      <c r="L863" s="88"/>
      <c r="M863" s="88"/>
      <c r="N863" s="88"/>
      <c r="O863" s="88"/>
      <c r="P863" s="88"/>
      <c r="Q863" s="88"/>
      <c r="R863" s="88"/>
      <c r="S863" s="88"/>
      <c r="T863" s="88"/>
      <c r="U863" s="88"/>
      <c r="V863" s="88"/>
      <c r="W863" s="88"/>
      <c r="X863" s="88"/>
      <c r="Y863" s="88"/>
      <c r="Z863" s="88"/>
      <c r="AA863" s="88"/>
      <c r="AB863" s="88"/>
      <c r="AC863" s="88"/>
      <c r="AD863" s="88"/>
      <c r="AE863" s="88"/>
      <c r="AF863" s="88"/>
      <c r="AG863" s="88"/>
      <c r="AH863" s="88"/>
      <c r="AI863" s="88"/>
      <c r="AJ863" s="88"/>
      <c r="AK863" s="88"/>
      <c r="AL863" s="88"/>
      <c r="AM863" s="88"/>
      <c r="AN863" s="88"/>
      <c r="AO863" s="88"/>
      <c r="AP863" s="88"/>
      <c r="AQ863" s="88"/>
      <c r="AR863" s="88"/>
      <c r="AS863" s="88"/>
      <c r="AT863" s="88"/>
      <c r="AU863" s="88"/>
      <c r="AV863" s="88"/>
      <c r="AW863" s="88"/>
      <c r="AX863" s="88"/>
      <c r="AY863" s="88"/>
      <c r="AZ863" s="88"/>
      <c r="BA863" s="88"/>
      <c r="BB863" s="88"/>
      <c r="BC863" s="88"/>
      <c r="BD863" s="88"/>
      <c r="BE863" s="88"/>
      <c r="BF863" s="88"/>
      <c r="BG863" s="88"/>
      <c r="BH863" s="88"/>
      <c r="BI863" s="88"/>
      <c r="BJ863" s="88"/>
      <c r="BK863" s="88"/>
      <c r="BL863" s="88"/>
      <c r="BM863" s="88"/>
      <c r="BN863" s="88"/>
      <c r="BO863" s="88"/>
      <c r="BP863" s="88"/>
      <c r="BQ863" s="88"/>
      <c r="BR863" s="88"/>
      <c r="BS863" s="88"/>
      <c r="BT863" s="88"/>
      <c r="BU863" s="88"/>
      <c r="BV863" s="88"/>
      <c r="BW863" s="88"/>
      <c r="BX863" s="88"/>
      <c r="BY863" s="88"/>
      <c r="BZ863" s="88"/>
      <c r="CA863" s="88"/>
      <c r="CB863" s="88"/>
      <c r="CC863" s="88"/>
      <c r="CD863" s="88"/>
      <c r="CE863" s="88"/>
      <c r="CF863" s="88"/>
      <c r="CG863" s="88"/>
      <c r="CH863" s="88"/>
      <c r="CI863" s="88"/>
      <c r="CJ863" s="88"/>
      <c r="CK863" s="88"/>
      <c r="CL863" s="88"/>
      <c r="CM863" s="88"/>
      <c r="CN863" s="88"/>
      <c r="CO863" s="88"/>
      <c r="CP863" s="88"/>
      <c r="CQ863" s="88"/>
      <c r="CR863" s="88"/>
      <c r="CS863" s="88"/>
      <c r="CT863" s="88"/>
      <c r="CU863" s="88"/>
      <c r="CV863" s="88"/>
      <c r="CW863" s="88"/>
      <c r="CX863" s="88"/>
      <c r="CY863" s="88"/>
      <c r="CZ863" s="88"/>
      <c r="DA863" s="88"/>
      <c r="DB863" s="88"/>
      <c r="DC863" s="88"/>
      <c r="DD863" s="88"/>
      <c r="DE863" s="88"/>
      <c r="DF863" s="88"/>
      <c r="DG863" s="88"/>
      <c r="DH863" s="88"/>
      <c r="DI863" s="88"/>
      <c r="DJ863" s="88"/>
      <c r="DK863" s="88"/>
      <c r="DL863" s="88"/>
      <c r="DM863" s="88"/>
      <c r="DN863" s="88"/>
      <c r="DO863" s="88"/>
      <c r="DP863" s="88"/>
      <c r="DQ863" s="88"/>
      <c r="DR863" s="88"/>
      <c r="DS863" s="88"/>
      <c r="DT863" s="88"/>
      <c r="DU863" s="88"/>
      <c r="DV863" s="88"/>
      <c r="DW863" s="88"/>
      <c r="DX863" s="88"/>
      <c r="DY863" s="88"/>
      <c r="DZ863" s="88"/>
      <c r="EA863" s="88"/>
      <c r="EB863" s="88"/>
      <c r="EC863" s="88"/>
      <c r="ED863" s="88"/>
      <c r="EE863" s="88"/>
      <c r="EF863" s="88"/>
      <c r="EG863" s="88"/>
      <c r="EH863" s="88"/>
      <c r="EI863" s="88"/>
      <c r="EJ863" s="88"/>
      <c r="EK863" s="88"/>
      <c r="EL863" s="88"/>
      <c r="EM863" s="88"/>
      <c r="EN863" s="88"/>
      <c r="EO863" s="88"/>
      <c r="EP863" s="88"/>
      <c r="EQ863" s="88"/>
      <c r="ER863" s="88"/>
      <c r="ES863" s="88"/>
      <c r="ET863" s="88"/>
      <c r="EU863" s="88"/>
      <c r="EV863" s="88"/>
      <c r="EW863" s="88"/>
      <c r="EX863" s="88"/>
      <c r="EY863" s="88"/>
      <c r="EZ863" s="88"/>
      <c r="FA863" s="88"/>
      <c r="FB863" s="88"/>
      <c r="FC863" s="88"/>
      <c r="FD863" s="88"/>
      <c r="FE863" s="88"/>
      <c r="FF863" s="88"/>
      <c r="FG863" s="88"/>
      <c r="FH863" s="88"/>
      <c r="FI863" s="88"/>
      <c r="FJ863" s="88"/>
      <c r="FK863" s="88"/>
      <c r="FL863" s="88"/>
      <c r="FM863" s="88"/>
      <c r="FN863" s="88"/>
      <c r="FO863" s="88"/>
      <c r="FP863" s="88"/>
      <c r="FQ863" s="88"/>
      <c r="FR863" s="88"/>
      <c r="FS863" s="88"/>
      <c r="FT863" s="88"/>
      <c r="FU863" s="88"/>
      <c r="FV863" s="88"/>
      <c r="FW863" s="88"/>
      <c r="FX863" s="88"/>
      <c r="FY863" s="88"/>
      <c r="FZ863" s="88"/>
      <c r="GA863" s="88"/>
      <c r="GB863" s="88"/>
      <c r="GC863" s="88"/>
      <c r="GD863" s="88"/>
      <c r="GE863" s="88"/>
      <c r="GF863" s="88"/>
      <c r="GG863" s="88"/>
      <c r="GH863" s="88"/>
      <c r="GI863" s="88"/>
      <c r="GJ863" s="88"/>
      <c r="GK863" s="88"/>
      <c r="GL863" s="88"/>
      <c r="GM863" s="88"/>
      <c r="GN863" s="88"/>
      <c r="GO863" s="88"/>
      <c r="GP863" s="88"/>
      <c r="GQ863" s="88"/>
      <c r="GR863" s="88"/>
      <c r="GS863" s="88"/>
      <c r="GT863" s="88"/>
      <c r="GU863" s="88"/>
      <c r="GV863" s="88"/>
      <c r="GW863" s="88"/>
      <c r="GX863" s="88"/>
      <c r="GY863" s="88"/>
      <c r="GZ863" s="88"/>
      <c r="HA863" s="88"/>
      <c r="HB863" s="88"/>
      <c r="HC863" s="88"/>
      <c r="HD863" s="88"/>
      <c r="HE863" s="88"/>
      <c r="HF863" s="88"/>
      <c r="HG863" s="88"/>
      <c r="HH863" s="88"/>
      <c r="HI863" s="88"/>
      <c r="HJ863" s="88"/>
      <c r="HK863" s="88"/>
      <c r="HL863" s="88"/>
      <c r="HM863" s="88"/>
      <c r="HN863" s="88"/>
      <c r="HO863" s="88"/>
      <c r="HP863" s="88"/>
      <c r="HQ863" s="88"/>
      <c r="HR863" s="88"/>
      <c r="HS863" s="88"/>
      <c r="HT863" s="88"/>
      <c r="HU863" s="88"/>
      <c r="HV863" s="88"/>
      <c r="HW863" s="88"/>
      <c r="HX863" s="88"/>
      <c r="HY863" s="88"/>
      <c r="HZ863" s="88"/>
      <c r="IA863" s="88"/>
      <c r="IB863" s="88"/>
      <c r="IC863" s="88"/>
      <c r="ID863" s="88"/>
      <c r="IE863" s="88"/>
      <c r="IF863" s="88"/>
      <c r="IG863" s="88"/>
      <c r="IH863" s="88"/>
      <c r="II863" s="88"/>
      <c r="IJ863" s="88"/>
      <c r="IK863" s="88"/>
      <c r="IL863" s="88"/>
      <c r="IM863" s="88"/>
      <c r="IN863" s="88"/>
      <c r="IO863" s="88"/>
      <c r="IP863" s="88"/>
      <c r="IQ863" s="88"/>
      <c r="IR863" s="88"/>
      <c r="IS863" s="88"/>
      <c r="IT863" s="88"/>
      <c r="IU863" s="88"/>
      <c r="IV863" s="88"/>
      <c r="IW863" s="88"/>
      <c r="IX863" s="88"/>
      <c r="IY863" s="88"/>
      <c r="IZ863" s="88"/>
      <c r="JA863" s="88"/>
      <c r="JB863" s="88"/>
    </row>
    <row r="864" spans="1:262">
      <c r="C864" s="113" t="s">
        <v>410</v>
      </c>
      <c r="L864" s="88"/>
      <c r="M864" s="88"/>
      <c r="N864" s="88"/>
      <c r="O864" s="88"/>
      <c r="P864" s="88"/>
      <c r="Q864" s="88"/>
      <c r="R864" s="88"/>
      <c r="S864" s="88"/>
      <c r="T864" s="88"/>
      <c r="U864" s="88"/>
      <c r="V864" s="88"/>
      <c r="W864" s="88"/>
      <c r="X864" s="88"/>
      <c r="Y864" s="88"/>
      <c r="Z864" s="88"/>
      <c r="AA864" s="88"/>
      <c r="AB864" s="88"/>
      <c r="AC864" s="88"/>
      <c r="AD864" s="88"/>
      <c r="AE864" s="88"/>
      <c r="AF864" s="88"/>
      <c r="AG864" s="88"/>
      <c r="AH864" s="88"/>
      <c r="AI864" s="88"/>
      <c r="AJ864" s="88"/>
      <c r="AK864" s="88"/>
      <c r="AL864" s="88"/>
      <c r="AM864" s="88"/>
      <c r="AN864" s="88"/>
      <c r="AO864" s="88"/>
      <c r="AP864" s="88"/>
      <c r="AQ864" s="88"/>
      <c r="AR864" s="88"/>
      <c r="AS864" s="88"/>
      <c r="AT864" s="88"/>
      <c r="AU864" s="88"/>
      <c r="AV864" s="88"/>
      <c r="AW864" s="88"/>
      <c r="AX864" s="88"/>
      <c r="AY864" s="88"/>
      <c r="AZ864" s="88"/>
      <c r="BA864" s="88"/>
      <c r="BB864" s="88"/>
      <c r="BC864" s="88"/>
      <c r="BD864" s="88"/>
      <c r="BE864" s="88"/>
      <c r="BF864" s="88"/>
      <c r="BG864" s="88"/>
      <c r="BH864" s="88"/>
      <c r="BI864" s="88"/>
      <c r="BJ864" s="88"/>
      <c r="BK864" s="88"/>
      <c r="BL864" s="88"/>
      <c r="BM864" s="88"/>
      <c r="BN864" s="88"/>
      <c r="BO864" s="88"/>
      <c r="BP864" s="88"/>
      <c r="BQ864" s="88"/>
      <c r="BR864" s="88"/>
      <c r="BS864" s="88"/>
      <c r="BT864" s="88"/>
      <c r="BU864" s="88"/>
      <c r="BV864" s="88"/>
      <c r="BW864" s="88"/>
      <c r="BX864" s="88"/>
      <c r="BY864" s="88"/>
      <c r="BZ864" s="88"/>
      <c r="CA864" s="88"/>
      <c r="CB864" s="88"/>
      <c r="CC864" s="88"/>
      <c r="CD864" s="88"/>
      <c r="CE864" s="88"/>
      <c r="CF864" s="88"/>
      <c r="CG864" s="88"/>
      <c r="CH864" s="88"/>
      <c r="CI864" s="88"/>
      <c r="CJ864" s="88"/>
      <c r="CK864" s="88"/>
      <c r="CL864" s="88"/>
      <c r="CM864" s="88"/>
      <c r="CN864" s="88"/>
      <c r="CO864" s="88"/>
      <c r="CP864" s="88"/>
      <c r="CQ864" s="88"/>
      <c r="CR864" s="88"/>
      <c r="CS864" s="88"/>
      <c r="CT864" s="88"/>
      <c r="CU864" s="88"/>
      <c r="CV864" s="88"/>
      <c r="CW864" s="88"/>
      <c r="CX864" s="88"/>
      <c r="CY864" s="88"/>
      <c r="CZ864" s="88"/>
      <c r="DA864" s="88"/>
      <c r="DB864" s="88"/>
      <c r="DC864" s="88"/>
      <c r="DD864" s="88"/>
      <c r="DE864" s="88"/>
      <c r="DF864" s="88"/>
      <c r="DG864" s="88"/>
      <c r="DH864" s="88"/>
      <c r="DI864" s="88"/>
      <c r="DJ864" s="88"/>
      <c r="DK864" s="88"/>
      <c r="DL864" s="88"/>
      <c r="DM864" s="88"/>
      <c r="DN864" s="88"/>
      <c r="DO864" s="88"/>
      <c r="DP864" s="88"/>
      <c r="DQ864" s="88"/>
      <c r="DR864" s="88"/>
      <c r="DS864" s="88"/>
      <c r="DT864" s="88"/>
      <c r="DU864" s="88"/>
      <c r="DV864" s="88"/>
      <c r="DW864" s="88"/>
      <c r="DX864" s="88"/>
      <c r="DY864" s="88"/>
      <c r="DZ864" s="88"/>
      <c r="EA864" s="88"/>
      <c r="EB864" s="88"/>
      <c r="EC864" s="88"/>
      <c r="ED864" s="88"/>
      <c r="EE864" s="88"/>
      <c r="EF864" s="88"/>
      <c r="EG864" s="88"/>
      <c r="EH864" s="88"/>
      <c r="EI864" s="88"/>
      <c r="EJ864" s="88"/>
      <c r="EK864" s="88"/>
      <c r="EL864" s="88"/>
      <c r="EM864" s="88"/>
      <c r="EN864" s="88"/>
      <c r="EO864" s="88"/>
      <c r="EP864" s="88"/>
      <c r="EQ864" s="88"/>
      <c r="ER864" s="88"/>
      <c r="ES864" s="88"/>
      <c r="ET864" s="88"/>
      <c r="EU864" s="88"/>
      <c r="EV864" s="88"/>
      <c r="EW864" s="88"/>
      <c r="EX864" s="88"/>
      <c r="EY864" s="88"/>
      <c r="EZ864" s="88"/>
      <c r="FA864" s="88"/>
      <c r="FB864" s="88"/>
      <c r="FC864" s="88"/>
      <c r="FD864" s="88"/>
      <c r="FE864" s="88"/>
      <c r="FF864" s="88"/>
      <c r="FG864" s="88"/>
      <c r="FH864" s="88"/>
      <c r="FI864" s="88"/>
      <c r="FJ864" s="88"/>
      <c r="FK864" s="88"/>
      <c r="FL864" s="88"/>
      <c r="FM864" s="88"/>
      <c r="FN864" s="88"/>
      <c r="FO864" s="88"/>
      <c r="FP864" s="88"/>
      <c r="FQ864" s="88"/>
      <c r="FR864" s="88"/>
      <c r="FS864" s="88"/>
      <c r="FT864" s="88"/>
      <c r="FU864" s="88"/>
      <c r="FV864" s="88"/>
      <c r="FW864" s="88"/>
      <c r="FX864" s="88"/>
      <c r="FY864" s="88"/>
      <c r="FZ864" s="88"/>
      <c r="GA864" s="88"/>
      <c r="GB864" s="88"/>
      <c r="GC864" s="88"/>
      <c r="GD864" s="88"/>
      <c r="GE864" s="88"/>
      <c r="GF864" s="88"/>
      <c r="GG864" s="88"/>
      <c r="GH864" s="88"/>
      <c r="GI864" s="88"/>
      <c r="GJ864" s="88"/>
      <c r="GK864" s="88"/>
      <c r="GL864" s="88"/>
      <c r="GM864" s="88"/>
      <c r="GN864" s="88"/>
      <c r="GO864" s="88"/>
      <c r="GP864" s="88"/>
      <c r="GQ864" s="88"/>
      <c r="GR864" s="88"/>
      <c r="GS864" s="88"/>
      <c r="GT864" s="88"/>
      <c r="GU864" s="88"/>
      <c r="GV864" s="88"/>
      <c r="GW864" s="88"/>
      <c r="GX864" s="88"/>
      <c r="GY864" s="88"/>
      <c r="GZ864" s="88"/>
      <c r="HA864" s="88"/>
      <c r="HB864" s="88"/>
      <c r="HC864" s="88"/>
      <c r="HD864" s="88"/>
      <c r="HE864" s="88"/>
      <c r="HF864" s="88"/>
      <c r="HG864" s="88"/>
      <c r="HH864" s="88"/>
      <c r="HI864" s="88"/>
      <c r="HJ864" s="88"/>
      <c r="HK864" s="88"/>
      <c r="HL864" s="88"/>
      <c r="HM864" s="88"/>
      <c r="HN864" s="88"/>
      <c r="HO864" s="88"/>
      <c r="HP864" s="88"/>
      <c r="HQ864" s="88"/>
      <c r="HR864" s="88"/>
      <c r="HS864" s="88"/>
      <c r="HT864" s="88"/>
      <c r="HU864" s="88"/>
      <c r="HV864" s="88"/>
      <c r="HW864" s="88"/>
      <c r="HX864" s="88"/>
      <c r="HY864" s="88"/>
      <c r="HZ864" s="88"/>
      <c r="IA864" s="88"/>
      <c r="IB864" s="88"/>
      <c r="IC864" s="88"/>
      <c r="ID864" s="88"/>
      <c r="IE864" s="88"/>
      <c r="IF864" s="88"/>
      <c r="IG864" s="88"/>
      <c r="IH864" s="88"/>
      <c r="II864" s="88"/>
      <c r="IJ864" s="88"/>
      <c r="IK864" s="88"/>
      <c r="IL864" s="88"/>
      <c r="IM864" s="88"/>
      <c r="IN864" s="88"/>
      <c r="IO864" s="88"/>
      <c r="IP864" s="88"/>
      <c r="IQ864" s="88"/>
      <c r="IR864" s="88"/>
      <c r="IS864" s="88"/>
      <c r="IT864" s="88"/>
      <c r="IU864" s="88"/>
      <c r="IV864" s="88"/>
      <c r="IW864" s="88"/>
      <c r="IX864" s="88"/>
      <c r="IY864" s="88"/>
      <c r="IZ864" s="88"/>
      <c r="JA864" s="88"/>
      <c r="JB864" s="88"/>
    </row>
    <row r="865" spans="3:4" s="88" customFormat="1">
      <c r="C865" s="113" t="s">
        <v>593</v>
      </c>
      <c r="D865" s="108"/>
    </row>
    <row r="866" spans="3:4" s="88" customFormat="1">
      <c r="C866" s="113" t="s">
        <v>594</v>
      </c>
      <c r="D866" s="108"/>
    </row>
    <row r="867" spans="3:4" s="88" customFormat="1">
      <c r="C867" s="113" t="s">
        <v>595</v>
      </c>
      <c r="D867" s="108"/>
    </row>
    <row r="869" spans="3:4" s="88" customFormat="1">
      <c r="C869" s="113">
        <v>6</v>
      </c>
      <c r="D869" s="1000"/>
    </row>
    <row r="870" spans="3:4" s="88" customFormat="1">
      <c r="C870" s="113" t="s">
        <v>178</v>
      </c>
      <c r="D870" s="108"/>
    </row>
    <row r="871" spans="3:4" s="88" customFormat="1">
      <c r="C871" s="113" t="s">
        <v>2389</v>
      </c>
      <c r="D871" s="108"/>
    </row>
    <row r="872" spans="3:4" s="88" customFormat="1">
      <c r="C872" s="113" t="s">
        <v>2390</v>
      </c>
      <c r="D872" s="108"/>
    </row>
    <row r="873" spans="3:4" s="88" customFormat="1">
      <c r="C873" s="113" t="s">
        <v>2391</v>
      </c>
      <c r="D873" s="108"/>
    </row>
    <row r="874" spans="3:4" s="88" customFormat="1">
      <c r="C874" s="113" t="s">
        <v>2392</v>
      </c>
      <c r="D874" s="108"/>
    </row>
    <row r="875" spans="3:4" s="88" customFormat="1">
      <c r="C875" s="113" t="s">
        <v>2393</v>
      </c>
      <c r="D875" s="108"/>
    </row>
    <row r="876" spans="3:4" s="88" customFormat="1">
      <c r="C876" s="113" t="s">
        <v>2394</v>
      </c>
      <c r="D876" s="108"/>
    </row>
    <row r="877" spans="3:4" s="88" customFormat="1">
      <c r="C877" s="113" t="s">
        <v>2395</v>
      </c>
      <c r="D877" s="108"/>
    </row>
    <row r="878" spans="3:4" s="88" customFormat="1">
      <c r="C878" s="113" t="s">
        <v>2396</v>
      </c>
      <c r="D878" s="108"/>
    </row>
    <row r="879" spans="3:4" s="88" customFormat="1">
      <c r="C879" s="113" t="s">
        <v>2397</v>
      </c>
      <c r="D879" s="108"/>
    </row>
    <row r="880" spans="3:4" s="88" customFormat="1">
      <c r="C880" s="113" t="s">
        <v>2398</v>
      </c>
      <c r="D880" s="108"/>
    </row>
    <row r="881" spans="3:3" s="88" customFormat="1">
      <c r="C881" s="113" t="s">
        <v>179</v>
      </c>
    </row>
    <row r="882" spans="3:3" s="88" customFormat="1">
      <c r="C882" s="113" t="s">
        <v>2399</v>
      </c>
    </row>
    <row r="883" spans="3:3" s="88" customFormat="1">
      <c r="C883" s="113" t="s">
        <v>2400</v>
      </c>
    </row>
    <row r="884" spans="3:3" s="88" customFormat="1">
      <c r="C884" s="113" t="s">
        <v>2401</v>
      </c>
    </row>
    <row r="885" spans="3:3" s="88" customFormat="1">
      <c r="C885" s="113" t="s">
        <v>2402</v>
      </c>
    </row>
    <row r="886" spans="3:3" s="88" customFormat="1">
      <c r="C886" s="113" t="s">
        <v>2403</v>
      </c>
    </row>
    <row r="887" spans="3:3" s="88" customFormat="1">
      <c r="C887" s="113" t="s">
        <v>2404</v>
      </c>
    </row>
    <row r="888" spans="3:3" s="88" customFormat="1">
      <c r="C888" s="113" t="s">
        <v>2405</v>
      </c>
    </row>
    <row r="889" spans="3:3" s="88" customFormat="1">
      <c r="C889" s="113" t="s">
        <v>2406</v>
      </c>
    </row>
    <row r="890" spans="3:3" s="88" customFormat="1">
      <c r="C890" s="113" t="s">
        <v>2407</v>
      </c>
    </row>
    <row r="891" spans="3:3" s="88" customFormat="1">
      <c r="C891" s="113" t="s">
        <v>2408</v>
      </c>
    </row>
    <row r="892" spans="3:3" s="88" customFormat="1">
      <c r="C892" s="113" t="s">
        <v>501</v>
      </c>
    </row>
    <row r="893" spans="3:3" s="88" customFormat="1">
      <c r="C893" s="113" t="s">
        <v>2409</v>
      </c>
    </row>
    <row r="894" spans="3:3" s="88" customFormat="1">
      <c r="C894" s="113" t="s">
        <v>2410</v>
      </c>
    </row>
    <row r="895" spans="3:3" s="88" customFormat="1">
      <c r="C895" s="113" t="s">
        <v>2411</v>
      </c>
    </row>
    <row r="896" spans="3:3" s="88" customFormat="1">
      <c r="C896" s="113" t="s">
        <v>2412</v>
      </c>
    </row>
    <row r="897" spans="3:3" s="88" customFormat="1">
      <c r="C897" s="113" t="s">
        <v>2413</v>
      </c>
    </row>
    <row r="898" spans="3:3" s="88" customFormat="1">
      <c r="C898" s="113" t="s">
        <v>2414</v>
      </c>
    </row>
    <row r="899" spans="3:3" s="88" customFormat="1">
      <c r="C899" s="113" t="s">
        <v>2415</v>
      </c>
    </row>
    <row r="900" spans="3:3" s="88" customFormat="1">
      <c r="C900" s="113" t="s">
        <v>2416</v>
      </c>
    </row>
    <row r="901" spans="3:3" s="88" customFormat="1">
      <c r="C901" s="113" t="s">
        <v>2417</v>
      </c>
    </row>
    <row r="902" spans="3:3" s="88" customFormat="1">
      <c r="C902" s="113" t="s">
        <v>2418</v>
      </c>
    </row>
    <row r="903" spans="3:3" s="88" customFormat="1">
      <c r="C903" s="113" t="s">
        <v>502</v>
      </c>
    </row>
    <row r="904" spans="3:3" s="88" customFormat="1">
      <c r="C904" s="113" t="s">
        <v>2419</v>
      </c>
    </row>
    <row r="905" spans="3:3" s="88" customFormat="1">
      <c r="C905" s="113" t="s">
        <v>2420</v>
      </c>
    </row>
    <row r="906" spans="3:3" s="88" customFormat="1">
      <c r="C906" s="113" t="s">
        <v>2421</v>
      </c>
    </row>
    <row r="907" spans="3:3" s="88" customFormat="1">
      <c r="C907" s="113" t="s">
        <v>2422</v>
      </c>
    </row>
    <row r="908" spans="3:3" s="88" customFormat="1">
      <c r="C908" s="113" t="s">
        <v>2423</v>
      </c>
    </row>
    <row r="909" spans="3:3" s="88" customFormat="1">
      <c r="C909" s="113" t="s">
        <v>2424</v>
      </c>
    </row>
    <row r="910" spans="3:3" s="88" customFormat="1">
      <c r="C910" s="113" t="s">
        <v>2425</v>
      </c>
    </row>
    <row r="911" spans="3:3" s="88" customFormat="1">
      <c r="C911" s="113" t="s">
        <v>2426</v>
      </c>
    </row>
    <row r="912" spans="3:3" s="88" customFormat="1">
      <c r="C912" s="113" t="s">
        <v>2427</v>
      </c>
    </row>
    <row r="913" spans="3:3" s="88" customFormat="1">
      <c r="C913" s="113" t="s">
        <v>2428</v>
      </c>
    </row>
    <row r="914" spans="3:3" s="88" customFormat="1">
      <c r="C914" s="113" t="s">
        <v>503</v>
      </c>
    </row>
    <row r="915" spans="3:3" s="88" customFormat="1">
      <c r="C915" s="113" t="s">
        <v>2429</v>
      </c>
    </row>
    <row r="916" spans="3:3" s="88" customFormat="1">
      <c r="C916" s="113" t="s">
        <v>504</v>
      </c>
    </row>
    <row r="917" spans="3:3" s="88" customFormat="1">
      <c r="C917" s="113" t="s">
        <v>2430</v>
      </c>
    </row>
    <row r="918" spans="3:3" s="88" customFormat="1">
      <c r="C918" s="113" t="s">
        <v>647</v>
      </c>
    </row>
    <row r="919" spans="3:3" s="88" customFormat="1">
      <c r="C919" s="113" t="s">
        <v>2431</v>
      </c>
    </row>
    <row r="920" spans="3:3" s="88" customFormat="1">
      <c r="C920" s="113" t="s">
        <v>2604</v>
      </c>
    </row>
    <row r="921" spans="3:3" s="88" customFormat="1">
      <c r="C921" s="113" t="s">
        <v>648</v>
      </c>
    </row>
    <row r="922" spans="3:3" s="88" customFormat="1">
      <c r="C922" s="113" t="s">
        <v>2432</v>
      </c>
    </row>
    <row r="923" spans="3:3" s="88" customFormat="1">
      <c r="C923" s="113" t="s">
        <v>2605</v>
      </c>
    </row>
    <row r="924" spans="3:3" s="88" customFormat="1">
      <c r="C924" s="113" t="s">
        <v>1897</v>
      </c>
    </row>
    <row r="925" spans="3:3" s="88" customFormat="1">
      <c r="C925" s="113" t="s">
        <v>2433</v>
      </c>
    </row>
    <row r="926" spans="3:3" s="88" customFormat="1">
      <c r="C926" s="113" t="s">
        <v>2434</v>
      </c>
    </row>
    <row r="927" spans="3:3" s="88" customFormat="1">
      <c r="C927" s="113" t="s">
        <v>2435</v>
      </c>
    </row>
    <row r="928" spans="3:3" s="88" customFormat="1">
      <c r="C928" s="113" t="s">
        <v>2436</v>
      </c>
    </row>
    <row r="929" spans="3:4" s="88" customFormat="1">
      <c r="C929" s="113" t="s">
        <v>2606</v>
      </c>
      <c r="D929" s="108"/>
    </row>
    <row r="930" spans="3:4" s="88" customFormat="1">
      <c r="C930" s="113" t="s">
        <v>2607</v>
      </c>
      <c r="D930" s="108"/>
    </row>
    <row r="931" spans="3:4" s="88" customFormat="1">
      <c r="C931" s="113" t="s">
        <v>2608</v>
      </c>
      <c r="D931" s="108"/>
    </row>
    <row r="932" spans="3:4" s="88" customFormat="1">
      <c r="C932" s="113" t="s">
        <v>2609</v>
      </c>
      <c r="D932" s="108"/>
    </row>
    <row r="934" spans="3:4" s="88" customFormat="1">
      <c r="C934" s="113">
        <v>7</v>
      </c>
      <c r="D934" s="1000"/>
    </row>
    <row r="935" spans="3:4" s="88" customFormat="1">
      <c r="C935" s="113" t="s">
        <v>180</v>
      </c>
      <c r="D935" s="108"/>
    </row>
    <row r="936" spans="3:4" s="88" customFormat="1">
      <c r="C936" s="113" t="s">
        <v>412</v>
      </c>
      <c r="D936" s="108"/>
    </row>
    <row r="937" spans="3:4" s="88" customFormat="1">
      <c r="C937" s="113" t="s">
        <v>413</v>
      </c>
      <c r="D937" s="108"/>
    </row>
    <row r="938" spans="3:4" s="88" customFormat="1">
      <c r="C938" s="113" t="s">
        <v>414</v>
      </c>
      <c r="D938" s="108"/>
    </row>
    <row r="939" spans="3:4" s="88" customFormat="1">
      <c r="C939" s="113" t="s">
        <v>493</v>
      </c>
      <c r="D939" s="108"/>
    </row>
    <row r="940" spans="3:4" s="88" customFormat="1">
      <c r="C940" s="113" t="s">
        <v>550</v>
      </c>
      <c r="D940" s="108"/>
    </row>
    <row r="941" spans="3:4" s="88" customFormat="1">
      <c r="C941" s="113" t="s">
        <v>615</v>
      </c>
      <c r="D941" s="108"/>
    </row>
    <row r="942" spans="3:4" s="88" customFormat="1">
      <c r="C942" s="113" t="s">
        <v>2437</v>
      </c>
      <c r="D942" s="108"/>
    </row>
    <row r="944" spans="3:4" s="88" customFormat="1">
      <c r="C944" s="999">
        <v>8</v>
      </c>
      <c r="D944" s="1000"/>
    </row>
    <row r="945" spans="3:3" s="88" customFormat="1">
      <c r="C945" s="113" t="s">
        <v>415</v>
      </c>
    </row>
    <row r="946" spans="3:3" s="88" customFormat="1">
      <c r="C946" s="113" t="s">
        <v>571</v>
      </c>
    </row>
    <row r="947" spans="3:3" s="88" customFormat="1">
      <c r="C947" s="113" t="s">
        <v>572</v>
      </c>
    </row>
    <row r="948" spans="3:3" s="88" customFormat="1">
      <c r="C948" s="113" t="s">
        <v>1076</v>
      </c>
    </row>
    <row r="949" spans="3:3" s="88" customFormat="1">
      <c r="C949" s="113" t="s">
        <v>2438</v>
      </c>
    </row>
    <row r="950" spans="3:3" s="88" customFormat="1">
      <c r="C950" s="113" t="s">
        <v>2439</v>
      </c>
    </row>
    <row r="951" spans="3:3" s="88" customFormat="1">
      <c r="C951" s="113" t="s">
        <v>2440</v>
      </c>
    </row>
    <row r="952" spans="3:3" s="88" customFormat="1">
      <c r="C952" s="113" t="s">
        <v>2441</v>
      </c>
    </row>
    <row r="953" spans="3:3" s="88" customFormat="1">
      <c r="C953" s="113" t="s">
        <v>2442</v>
      </c>
    </row>
    <row r="954" spans="3:3" s="88" customFormat="1">
      <c r="C954" s="113" t="s">
        <v>2443</v>
      </c>
    </row>
    <row r="955" spans="3:3" s="88" customFormat="1">
      <c r="C955" s="113" t="s">
        <v>2444</v>
      </c>
    </row>
    <row r="956" spans="3:3" s="88" customFormat="1">
      <c r="C956" s="113" t="s">
        <v>2445</v>
      </c>
    </row>
    <row r="957" spans="3:3" s="88" customFormat="1">
      <c r="C957" s="113" t="s">
        <v>2446</v>
      </c>
    </row>
    <row r="958" spans="3:3" s="88" customFormat="1">
      <c r="C958" s="113" t="s">
        <v>2447</v>
      </c>
    </row>
    <row r="959" spans="3:3" s="88" customFormat="1">
      <c r="C959" s="113" t="s">
        <v>2448</v>
      </c>
    </row>
    <row r="960" spans="3:3" s="88" customFormat="1">
      <c r="C960" s="113" t="s">
        <v>2449</v>
      </c>
    </row>
    <row r="961" spans="3:3" s="88" customFormat="1">
      <c r="C961" s="113" t="s">
        <v>2450</v>
      </c>
    </row>
    <row r="962" spans="3:3" s="88" customFormat="1">
      <c r="C962" s="113" t="s">
        <v>2451</v>
      </c>
    </row>
    <row r="963" spans="3:3" s="88" customFormat="1">
      <c r="C963" s="113" t="s">
        <v>2452</v>
      </c>
    </row>
    <row r="964" spans="3:3" s="88" customFormat="1">
      <c r="C964" s="113" t="s">
        <v>2453</v>
      </c>
    </row>
    <row r="965" spans="3:3" s="88" customFormat="1">
      <c r="C965" s="113" t="s">
        <v>2454</v>
      </c>
    </row>
    <row r="966" spans="3:3" s="88" customFormat="1">
      <c r="C966" s="113" t="s">
        <v>2455</v>
      </c>
    </row>
    <row r="967" spans="3:3" s="88" customFormat="1">
      <c r="C967" s="113" t="s">
        <v>2456</v>
      </c>
    </row>
    <row r="968" spans="3:3" s="88" customFormat="1">
      <c r="C968" s="113" t="s">
        <v>2457</v>
      </c>
    </row>
    <row r="969" spans="3:3" s="88" customFormat="1">
      <c r="C969" s="113" t="s">
        <v>2458</v>
      </c>
    </row>
    <row r="970" spans="3:3" s="88" customFormat="1">
      <c r="C970" s="113" t="s">
        <v>2459</v>
      </c>
    </row>
    <row r="971" spans="3:3" s="88" customFormat="1">
      <c r="C971" s="113" t="s">
        <v>2460</v>
      </c>
    </row>
    <row r="972" spans="3:3" s="88" customFormat="1">
      <c r="C972" s="113" t="s">
        <v>2461</v>
      </c>
    </row>
    <row r="973" spans="3:3" s="88" customFormat="1">
      <c r="C973" s="113" t="s">
        <v>2462</v>
      </c>
    </row>
    <row r="974" spans="3:3" s="88" customFormat="1">
      <c r="C974" s="113" t="s">
        <v>2463</v>
      </c>
    </row>
    <row r="975" spans="3:3" s="88" customFormat="1">
      <c r="C975" s="113" t="s">
        <v>2464</v>
      </c>
    </row>
    <row r="976" spans="3:3" s="88" customFormat="1">
      <c r="C976" s="113" t="s">
        <v>2465</v>
      </c>
    </row>
    <row r="977" spans="3:3" s="88" customFormat="1">
      <c r="C977" s="113" t="s">
        <v>2466</v>
      </c>
    </row>
    <row r="978" spans="3:3" s="88" customFormat="1">
      <c r="C978" s="113" t="s">
        <v>2467</v>
      </c>
    </row>
    <row r="979" spans="3:3" s="88" customFormat="1">
      <c r="C979" s="113" t="s">
        <v>2468</v>
      </c>
    </row>
    <row r="980" spans="3:3" s="88" customFormat="1">
      <c r="C980" s="113" t="s">
        <v>2469</v>
      </c>
    </row>
    <row r="981" spans="3:3" s="88" customFormat="1">
      <c r="C981" s="113" t="s">
        <v>2470</v>
      </c>
    </row>
    <row r="982" spans="3:3" s="88" customFormat="1">
      <c r="C982" s="113" t="s">
        <v>2471</v>
      </c>
    </row>
    <row r="983" spans="3:3" s="88" customFormat="1">
      <c r="C983" s="113" t="s">
        <v>2472</v>
      </c>
    </row>
    <row r="984" spans="3:3" s="88" customFormat="1">
      <c r="C984" s="113" t="s">
        <v>2473</v>
      </c>
    </row>
    <row r="985" spans="3:3" s="88" customFormat="1">
      <c r="C985" s="113" t="s">
        <v>2474</v>
      </c>
    </row>
    <row r="986" spans="3:3" s="88" customFormat="1">
      <c r="C986" s="113" t="s">
        <v>573</v>
      </c>
    </row>
    <row r="987" spans="3:3" s="88" customFormat="1">
      <c r="C987" s="113" t="s">
        <v>574</v>
      </c>
    </row>
    <row r="988" spans="3:3" s="88" customFormat="1">
      <c r="C988" s="113" t="s">
        <v>575</v>
      </c>
    </row>
    <row r="989" spans="3:3" s="88" customFormat="1">
      <c r="C989" s="113" t="s">
        <v>2096</v>
      </c>
    </row>
    <row r="990" spans="3:3" s="88" customFormat="1">
      <c r="C990" s="113" t="s">
        <v>2475</v>
      </c>
    </row>
    <row r="991" spans="3:3" s="88" customFormat="1">
      <c r="C991" s="113" t="s">
        <v>2476</v>
      </c>
    </row>
    <row r="992" spans="3:3" s="88" customFormat="1">
      <c r="C992" s="113" t="s">
        <v>2477</v>
      </c>
    </row>
    <row r="993" spans="3:3" s="88" customFormat="1">
      <c r="C993" s="113" t="s">
        <v>2478</v>
      </c>
    </row>
    <row r="994" spans="3:3" s="88" customFormat="1">
      <c r="C994" s="113" t="s">
        <v>2479</v>
      </c>
    </row>
    <row r="995" spans="3:3" s="88" customFormat="1">
      <c r="C995" s="113" t="s">
        <v>2480</v>
      </c>
    </row>
    <row r="996" spans="3:3" s="88" customFormat="1">
      <c r="C996" s="113" t="s">
        <v>2481</v>
      </c>
    </row>
    <row r="997" spans="3:3" s="88" customFormat="1">
      <c r="C997" s="113" t="s">
        <v>2482</v>
      </c>
    </row>
    <row r="998" spans="3:3" s="88" customFormat="1">
      <c r="C998" s="113" t="s">
        <v>2483</v>
      </c>
    </row>
    <row r="999" spans="3:3" s="88" customFormat="1">
      <c r="C999" s="113" t="s">
        <v>2484</v>
      </c>
    </row>
    <row r="1000" spans="3:3" s="88" customFormat="1">
      <c r="C1000" s="113" t="s">
        <v>2485</v>
      </c>
    </row>
    <row r="1001" spans="3:3" s="88" customFormat="1">
      <c r="C1001" s="113" t="s">
        <v>2486</v>
      </c>
    </row>
    <row r="1002" spans="3:3" s="88" customFormat="1">
      <c r="C1002" s="113" t="s">
        <v>2487</v>
      </c>
    </row>
    <row r="1003" spans="3:3" s="88" customFormat="1">
      <c r="C1003" s="113" t="s">
        <v>2488</v>
      </c>
    </row>
    <row r="1004" spans="3:3" s="88" customFormat="1">
      <c r="C1004" s="113" t="s">
        <v>2489</v>
      </c>
    </row>
    <row r="1005" spans="3:3" s="88" customFormat="1">
      <c r="C1005" s="113" t="s">
        <v>2490</v>
      </c>
    </row>
    <row r="1006" spans="3:3" s="88" customFormat="1">
      <c r="C1006" s="113" t="s">
        <v>2491</v>
      </c>
    </row>
    <row r="1007" spans="3:3" s="88" customFormat="1">
      <c r="C1007" s="113" t="s">
        <v>2492</v>
      </c>
    </row>
    <row r="1008" spans="3:3" s="88" customFormat="1">
      <c r="C1008" s="113" t="s">
        <v>2493</v>
      </c>
    </row>
    <row r="1009" spans="3:3" s="88" customFormat="1">
      <c r="C1009" s="113" t="s">
        <v>2494</v>
      </c>
    </row>
    <row r="1010" spans="3:3" s="88" customFormat="1">
      <c r="C1010" s="113" t="s">
        <v>2495</v>
      </c>
    </row>
    <row r="1011" spans="3:3" s="88" customFormat="1">
      <c r="C1011" s="113" t="s">
        <v>2496</v>
      </c>
    </row>
    <row r="1012" spans="3:3" s="88" customFormat="1">
      <c r="C1012" s="113" t="s">
        <v>2497</v>
      </c>
    </row>
    <row r="1013" spans="3:3" s="88" customFormat="1">
      <c r="C1013" s="113" t="s">
        <v>2498</v>
      </c>
    </row>
    <row r="1014" spans="3:3" s="88" customFormat="1">
      <c r="C1014" s="113" t="s">
        <v>2499</v>
      </c>
    </row>
    <row r="1015" spans="3:3" s="88" customFormat="1">
      <c r="C1015" s="113" t="s">
        <v>2500</v>
      </c>
    </row>
    <row r="1016" spans="3:3" s="88" customFormat="1">
      <c r="C1016" s="113" t="s">
        <v>2501</v>
      </c>
    </row>
    <row r="1017" spans="3:3" s="88" customFormat="1">
      <c r="C1017" s="113" t="s">
        <v>2502</v>
      </c>
    </row>
    <row r="1018" spans="3:3" s="88" customFormat="1">
      <c r="C1018" s="113" t="s">
        <v>2503</v>
      </c>
    </row>
    <row r="1019" spans="3:3" s="88" customFormat="1">
      <c r="C1019" s="113" t="s">
        <v>2504</v>
      </c>
    </row>
    <row r="1020" spans="3:3" s="88" customFormat="1">
      <c r="C1020" s="113" t="s">
        <v>2505</v>
      </c>
    </row>
    <row r="1021" spans="3:3" s="88" customFormat="1">
      <c r="C1021" s="113" t="s">
        <v>2506</v>
      </c>
    </row>
    <row r="1022" spans="3:3" s="88" customFormat="1">
      <c r="C1022" s="113" t="s">
        <v>2507</v>
      </c>
    </row>
    <row r="1023" spans="3:3" s="88" customFormat="1">
      <c r="C1023" s="113" t="s">
        <v>2508</v>
      </c>
    </row>
    <row r="1024" spans="3:3" s="88" customFormat="1">
      <c r="C1024" s="113" t="s">
        <v>2509</v>
      </c>
    </row>
    <row r="1025" spans="3:3" s="88" customFormat="1">
      <c r="C1025" s="113" t="s">
        <v>2510</v>
      </c>
    </row>
    <row r="1026" spans="3:3" s="88" customFormat="1">
      <c r="C1026" s="113" t="s">
        <v>2511</v>
      </c>
    </row>
    <row r="1027" spans="3:3" s="88" customFormat="1">
      <c r="C1027" s="113" t="s">
        <v>2512</v>
      </c>
    </row>
    <row r="1028" spans="3:3" s="88" customFormat="1">
      <c r="C1028" s="113" t="s">
        <v>2513</v>
      </c>
    </row>
    <row r="1029" spans="3:3" s="88" customFormat="1">
      <c r="C1029" s="113" t="s">
        <v>2514</v>
      </c>
    </row>
    <row r="1030" spans="3:3" s="88" customFormat="1">
      <c r="C1030" s="113" t="s">
        <v>2515</v>
      </c>
    </row>
    <row r="1031" spans="3:3" s="88" customFormat="1">
      <c r="C1031" s="113" t="s">
        <v>2516</v>
      </c>
    </row>
    <row r="1032" spans="3:3" s="88" customFormat="1">
      <c r="C1032" s="113" t="s">
        <v>2517</v>
      </c>
    </row>
    <row r="1033" spans="3:3" s="88" customFormat="1">
      <c r="C1033" s="113" t="s">
        <v>2518</v>
      </c>
    </row>
    <row r="1034" spans="3:3" s="88" customFormat="1">
      <c r="C1034" s="113" t="s">
        <v>2519</v>
      </c>
    </row>
    <row r="1035" spans="3:3" s="88" customFormat="1">
      <c r="C1035" s="113" t="s">
        <v>2520</v>
      </c>
    </row>
    <row r="1036" spans="3:3" s="88" customFormat="1">
      <c r="C1036" s="113" t="s">
        <v>2521</v>
      </c>
    </row>
    <row r="1037" spans="3:3" s="88" customFormat="1">
      <c r="C1037" s="113" t="s">
        <v>2522</v>
      </c>
    </row>
    <row r="1038" spans="3:3" s="88" customFormat="1">
      <c r="C1038" s="113" t="s">
        <v>2523</v>
      </c>
    </row>
    <row r="1039" spans="3:3" s="88" customFormat="1">
      <c r="C1039" s="113" t="s">
        <v>2524</v>
      </c>
    </row>
    <row r="1040" spans="3:3" s="88" customFormat="1">
      <c r="C1040" s="113" t="s">
        <v>2525</v>
      </c>
    </row>
    <row r="1041" spans="3:3" s="88" customFormat="1">
      <c r="C1041" s="113" t="s">
        <v>2526</v>
      </c>
    </row>
    <row r="1042" spans="3:3" s="88" customFormat="1">
      <c r="C1042" s="113" t="s">
        <v>2527</v>
      </c>
    </row>
    <row r="1043" spans="3:3" s="88" customFormat="1">
      <c r="C1043" s="113" t="s">
        <v>2528</v>
      </c>
    </row>
    <row r="1044" spans="3:3" s="88" customFormat="1">
      <c r="C1044" s="113" t="s">
        <v>2529</v>
      </c>
    </row>
    <row r="1045" spans="3:3" s="88" customFormat="1">
      <c r="C1045" s="113" t="s">
        <v>2530</v>
      </c>
    </row>
    <row r="1046" spans="3:3" s="88" customFormat="1">
      <c r="C1046" s="113" t="s">
        <v>2531</v>
      </c>
    </row>
    <row r="1047" spans="3:3" s="88" customFormat="1">
      <c r="C1047" s="113" t="s">
        <v>2532</v>
      </c>
    </row>
    <row r="1048" spans="3:3" s="88" customFormat="1">
      <c r="C1048" s="113" t="s">
        <v>2533</v>
      </c>
    </row>
    <row r="1049" spans="3:3" s="88" customFormat="1">
      <c r="C1049" s="113" t="s">
        <v>2534</v>
      </c>
    </row>
    <row r="1050" spans="3:3" s="88" customFormat="1">
      <c r="C1050" s="113" t="s">
        <v>2535</v>
      </c>
    </row>
    <row r="1051" spans="3:3" s="88" customFormat="1">
      <c r="C1051" s="113" t="s">
        <v>2536</v>
      </c>
    </row>
    <row r="1052" spans="3:3" s="88" customFormat="1">
      <c r="C1052" s="113" t="s">
        <v>2537</v>
      </c>
    </row>
    <row r="1053" spans="3:3" s="88" customFormat="1">
      <c r="C1053" s="113" t="s">
        <v>2538</v>
      </c>
    </row>
    <row r="1054" spans="3:3" s="88" customFormat="1">
      <c r="C1054" s="113" t="s">
        <v>2539</v>
      </c>
    </row>
    <row r="1055" spans="3:3" s="88" customFormat="1">
      <c r="C1055" s="113" t="s">
        <v>2540</v>
      </c>
    </row>
    <row r="1056" spans="3:3" s="88" customFormat="1">
      <c r="C1056" s="113" t="s">
        <v>2541</v>
      </c>
    </row>
    <row r="1057" spans="3:3" s="88" customFormat="1">
      <c r="C1057" s="113" t="s">
        <v>2542</v>
      </c>
    </row>
    <row r="1058" spans="3:3" s="88" customFormat="1">
      <c r="C1058" s="113" t="s">
        <v>2543</v>
      </c>
    </row>
    <row r="1059" spans="3:3" s="88" customFormat="1">
      <c r="C1059" s="113" t="s">
        <v>2544</v>
      </c>
    </row>
    <row r="1060" spans="3:3" s="88" customFormat="1">
      <c r="C1060" s="113" t="s">
        <v>2545</v>
      </c>
    </row>
    <row r="1061" spans="3:3" s="88" customFormat="1">
      <c r="C1061" s="113" t="s">
        <v>2546</v>
      </c>
    </row>
    <row r="1062" spans="3:3" s="88" customFormat="1">
      <c r="C1062" s="113" t="s">
        <v>2547</v>
      </c>
    </row>
    <row r="1063" spans="3:3" s="88" customFormat="1">
      <c r="C1063" s="113" t="s">
        <v>2548</v>
      </c>
    </row>
    <row r="1064" spans="3:3" s="88" customFormat="1">
      <c r="C1064" s="113" t="s">
        <v>2549</v>
      </c>
    </row>
    <row r="1065" spans="3:3" s="88" customFormat="1">
      <c r="C1065" s="113" t="s">
        <v>2550</v>
      </c>
    </row>
    <row r="1066" spans="3:3" s="88" customFormat="1">
      <c r="C1066" s="113" t="s">
        <v>2551</v>
      </c>
    </row>
    <row r="1067" spans="3:3" s="88" customFormat="1">
      <c r="C1067" s="113" t="s">
        <v>2552</v>
      </c>
    </row>
    <row r="1068" spans="3:3" s="88" customFormat="1">
      <c r="C1068" s="113" t="s">
        <v>2553</v>
      </c>
    </row>
    <row r="1069" spans="3:3" s="88" customFormat="1">
      <c r="C1069" s="113" t="s">
        <v>2554</v>
      </c>
    </row>
    <row r="1070" spans="3:3" s="88" customFormat="1">
      <c r="C1070" s="113" t="s">
        <v>2555</v>
      </c>
    </row>
    <row r="1071" spans="3:3" s="88" customFormat="1">
      <c r="C1071" s="113" t="s">
        <v>2556</v>
      </c>
    </row>
    <row r="1072" spans="3:3" s="88" customFormat="1">
      <c r="C1072" s="113" t="s">
        <v>2557</v>
      </c>
    </row>
    <row r="1073" spans="3:3" s="88" customFormat="1">
      <c r="C1073" s="113" t="s">
        <v>2558</v>
      </c>
    </row>
    <row r="1074" spans="3:3" s="88" customFormat="1">
      <c r="C1074" s="113" t="s">
        <v>2559</v>
      </c>
    </row>
    <row r="1075" spans="3:3" s="88" customFormat="1">
      <c r="C1075" s="113" t="s">
        <v>2560</v>
      </c>
    </row>
    <row r="1076" spans="3:3" s="88" customFormat="1">
      <c r="C1076" s="113" t="s">
        <v>2561</v>
      </c>
    </row>
    <row r="1077" spans="3:3" s="88" customFormat="1">
      <c r="C1077" s="113" t="s">
        <v>2562</v>
      </c>
    </row>
    <row r="1078" spans="3:3" s="88" customFormat="1">
      <c r="C1078" s="113" t="s">
        <v>2563</v>
      </c>
    </row>
    <row r="1079" spans="3:3" s="88" customFormat="1">
      <c r="C1079" s="113" t="s">
        <v>2564</v>
      </c>
    </row>
    <row r="1080" spans="3:3" s="88" customFormat="1">
      <c r="C1080" s="113" t="s">
        <v>2565</v>
      </c>
    </row>
    <row r="1081" spans="3:3" s="88" customFormat="1">
      <c r="C1081" s="113" t="s">
        <v>2566</v>
      </c>
    </row>
    <row r="1082" spans="3:3" s="88" customFormat="1">
      <c r="C1082" s="113" t="s">
        <v>2567</v>
      </c>
    </row>
    <row r="1083" spans="3:3" s="88" customFormat="1">
      <c r="C1083" s="113" t="s">
        <v>2568</v>
      </c>
    </row>
    <row r="1084" spans="3:3" s="88" customFormat="1">
      <c r="C1084" s="113" t="s">
        <v>2569</v>
      </c>
    </row>
    <row r="1085" spans="3:3" s="88" customFormat="1">
      <c r="C1085" s="113" t="s">
        <v>2570</v>
      </c>
    </row>
    <row r="1086" spans="3:3" s="88" customFormat="1">
      <c r="C1086" s="113" t="s">
        <v>2571</v>
      </c>
    </row>
    <row r="1087" spans="3:3" s="88" customFormat="1">
      <c r="C1087" s="113" t="s">
        <v>2572</v>
      </c>
    </row>
    <row r="1088" spans="3:3" s="88" customFormat="1">
      <c r="C1088" s="113" t="s">
        <v>2573</v>
      </c>
    </row>
    <row r="1089" spans="3:3" s="88" customFormat="1">
      <c r="C1089" s="113" t="s">
        <v>2574</v>
      </c>
    </row>
    <row r="1090" spans="3:3" s="88" customFormat="1">
      <c r="C1090" s="113" t="s">
        <v>2575</v>
      </c>
    </row>
    <row r="1091" spans="3:3" s="88" customFormat="1">
      <c r="C1091" s="113" t="s">
        <v>2576</v>
      </c>
    </row>
    <row r="1092" spans="3:3" s="88" customFormat="1">
      <c r="C1092" s="113" t="s">
        <v>2577</v>
      </c>
    </row>
    <row r="1093" spans="3:3" s="88" customFormat="1">
      <c r="C1093" s="113" t="s">
        <v>2578</v>
      </c>
    </row>
    <row r="1094" spans="3:3" s="88" customFormat="1">
      <c r="C1094" s="113" t="s">
        <v>2579</v>
      </c>
    </row>
    <row r="1095" spans="3:3" s="88" customFormat="1">
      <c r="C1095" s="113" t="s">
        <v>2580</v>
      </c>
    </row>
    <row r="1096" spans="3:3" s="88" customFormat="1">
      <c r="C1096" s="113" t="s">
        <v>2581</v>
      </c>
    </row>
    <row r="1097" spans="3:3" s="88" customFormat="1">
      <c r="C1097" s="113" t="s">
        <v>2582</v>
      </c>
    </row>
    <row r="1098" spans="3:3" s="88" customFormat="1">
      <c r="C1098" s="113" t="s">
        <v>2583</v>
      </c>
    </row>
    <row r="1099" spans="3:3" s="88" customFormat="1">
      <c r="C1099" s="113" t="s">
        <v>2584</v>
      </c>
    </row>
    <row r="1100" spans="3:3" s="88" customFormat="1">
      <c r="C1100" s="113" t="s">
        <v>2585</v>
      </c>
    </row>
    <row r="1101" spans="3:3" s="88" customFormat="1">
      <c r="C1101" s="113" t="s">
        <v>2586</v>
      </c>
    </row>
    <row r="1102" spans="3:3" s="88" customFormat="1">
      <c r="C1102" s="113" t="s">
        <v>2587</v>
      </c>
    </row>
    <row r="1103" spans="3:3" s="88" customFormat="1">
      <c r="C1103" s="113" t="s">
        <v>2588</v>
      </c>
    </row>
    <row r="1104" spans="3:3" s="88" customFormat="1">
      <c r="C1104" s="113" t="s">
        <v>2589</v>
      </c>
    </row>
    <row r="1105" spans="3:4" s="88" customFormat="1">
      <c r="C1105" s="113" t="s">
        <v>2590</v>
      </c>
      <c r="D1105" s="108"/>
    </row>
    <row r="1106" spans="3:4" s="88" customFormat="1">
      <c r="C1106" s="113" t="s">
        <v>2591</v>
      </c>
      <c r="D1106" s="108"/>
    </row>
    <row r="1107" spans="3:4" s="88" customFormat="1">
      <c r="C1107" s="113" t="s">
        <v>2592</v>
      </c>
      <c r="D1107" s="108"/>
    </row>
    <row r="1108" spans="3:4" s="88" customFormat="1">
      <c r="C1108" s="113"/>
      <c r="D1108" s="1000"/>
    </row>
    <row r="1109" spans="3:4" s="88" customFormat="1">
      <c r="C1109" s="113"/>
      <c r="D1109" s="1000"/>
    </row>
    <row r="1110" spans="3:4" s="88" customFormat="1">
      <c r="C1110" s="113">
        <v>9</v>
      </c>
      <c r="D1110" s="1000"/>
    </row>
    <row r="1111" spans="3:4" s="88" customFormat="1">
      <c r="C1111" s="113" t="s">
        <v>727</v>
      </c>
      <c r="D1111" s="108"/>
    </row>
    <row r="1112" spans="3:4" s="88" customFormat="1">
      <c r="C1112" s="113" t="s">
        <v>749</v>
      </c>
      <c r="D1112" s="108"/>
    </row>
    <row r="1113" spans="3:4" s="88" customFormat="1">
      <c r="C1113" s="113" t="s">
        <v>2593</v>
      </c>
      <c r="D1113" s="108"/>
    </row>
    <row r="1114" spans="3:4" s="88" customFormat="1">
      <c r="C1114" s="113" t="s">
        <v>2594</v>
      </c>
      <c r="D1114" s="108"/>
    </row>
    <row r="1115" spans="3:4" s="88" customFormat="1">
      <c r="C1115" s="113" t="s">
        <v>2595</v>
      </c>
      <c r="D1115" s="108"/>
    </row>
    <row r="1116" spans="3:4" s="88" customFormat="1">
      <c r="C1116" s="113" t="s">
        <v>2596</v>
      </c>
      <c r="D1116" s="108"/>
    </row>
    <row r="1117" spans="3:4" s="88" customFormat="1">
      <c r="C1117" s="113" t="s">
        <v>2597</v>
      </c>
      <c r="D1117" s="108"/>
    </row>
    <row r="1119" spans="3:4" s="88" customFormat="1">
      <c r="C1119" s="113">
        <v>10</v>
      </c>
      <c r="D1119" s="1000"/>
    </row>
    <row r="1120" spans="3:4" s="88" customFormat="1">
      <c r="C1120" s="113" t="s">
        <v>751</v>
      </c>
      <c r="D1120" s="108"/>
    </row>
    <row r="1121" spans="3:11" s="88" customFormat="1">
      <c r="C1121" s="113" t="s">
        <v>2598</v>
      </c>
      <c r="D1121" s="108"/>
      <c r="E1121" s="108"/>
      <c r="F1121" s="108"/>
      <c r="G1121" s="108"/>
      <c r="H1121" s="108"/>
      <c r="I1121" s="108"/>
      <c r="J1121" s="108"/>
      <c r="K1121" s="108"/>
    </row>
    <row r="1122" spans="3:11" s="88" customFormat="1">
      <c r="C1122" s="113" t="s">
        <v>2599</v>
      </c>
      <c r="D1122" s="108"/>
      <c r="E1122" s="108"/>
      <c r="F1122" s="108"/>
      <c r="G1122" s="108"/>
      <c r="H1122" s="108"/>
      <c r="I1122" s="108"/>
      <c r="J1122" s="108"/>
      <c r="K1122" s="108"/>
    </row>
    <row r="1123" spans="3:11" s="88" customFormat="1">
      <c r="C1123" s="113" t="s">
        <v>2600</v>
      </c>
      <c r="D1123" s="108"/>
      <c r="E1123" s="108"/>
      <c r="F1123" s="108"/>
      <c r="G1123" s="108"/>
      <c r="H1123" s="108"/>
      <c r="I1123" s="108"/>
      <c r="J1123" s="108"/>
      <c r="K1123" s="108"/>
    </row>
    <row r="1124" spans="3:11" s="88" customFormat="1">
      <c r="C1124" s="113" t="s">
        <v>752</v>
      </c>
      <c r="D1124" s="108"/>
      <c r="E1124" s="108"/>
      <c r="F1124" s="108"/>
      <c r="G1124" s="108"/>
      <c r="H1124" s="108"/>
      <c r="I1124" s="108"/>
      <c r="J1124" s="108"/>
      <c r="K1124" s="108"/>
    </row>
    <row r="1125" spans="3:11" s="88" customFormat="1">
      <c r="C1125" s="113" t="s">
        <v>2601</v>
      </c>
      <c r="D1125" s="108"/>
      <c r="E1125" s="108"/>
      <c r="F1125" s="108"/>
      <c r="G1125" s="108"/>
      <c r="H1125" s="108"/>
      <c r="I1125" s="108"/>
      <c r="J1125" s="108"/>
      <c r="K1125" s="108"/>
    </row>
    <row r="1126" spans="3:11" s="88" customFormat="1">
      <c r="C1126" s="113" t="s">
        <v>2602</v>
      </c>
      <c r="D1126" s="108"/>
      <c r="E1126" s="108"/>
      <c r="F1126" s="108"/>
      <c r="G1126" s="108"/>
      <c r="H1126" s="108"/>
      <c r="I1126" s="108"/>
      <c r="J1126" s="108"/>
      <c r="K1126" s="108"/>
    </row>
    <row r="1127" spans="3:11" s="88" customFormat="1">
      <c r="C1127" s="113" t="s">
        <v>2603</v>
      </c>
      <c r="D1127" s="108"/>
      <c r="E1127" s="108"/>
      <c r="F1127" s="108"/>
      <c r="G1127" s="108"/>
      <c r="H1127" s="108"/>
      <c r="I1127" s="108"/>
      <c r="J1127" s="108"/>
      <c r="K1127" s="108"/>
    </row>
    <row r="1129" spans="3:11" s="88" customFormat="1">
      <c r="C1129" s="113">
        <v>11</v>
      </c>
      <c r="D1129" s="1000"/>
      <c r="E1129" s="108"/>
      <c r="F1129" s="108"/>
      <c r="G1129" s="108"/>
      <c r="H1129" s="108"/>
      <c r="I1129" s="108"/>
      <c r="J1129" s="108"/>
      <c r="K1129" s="108"/>
    </row>
    <row r="1130" spans="3:11" s="88" customFormat="1">
      <c r="C1130" s="113" t="s">
        <v>834</v>
      </c>
      <c r="D1130" s="108"/>
      <c r="E1130" s="108"/>
      <c r="F1130" s="108"/>
      <c r="G1130" s="108"/>
      <c r="H1130" s="108"/>
      <c r="I1130" s="108"/>
      <c r="J1130" s="108"/>
      <c r="K1130" s="108"/>
    </row>
    <row r="1135" spans="3:11" s="88" customFormat="1">
      <c r="C1135" s="113"/>
      <c r="D1135" s="108"/>
      <c r="E1135" s="108"/>
      <c r="F1135" s="108"/>
      <c r="G1135" s="108"/>
      <c r="H1135" s="108"/>
      <c r="I1135" s="108"/>
      <c r="J1135" s="108"/>
      <c r="K1135" s="370">
        <f>K1131+K1118+K1108+K943+K933+K868+K859+K853+K592+K24</f>
        <v>58960.295599999998</v>
      </c>
    </row>
  </sheetData>
  <sheetProtection formatCells="0" formatColumns="0" formatRows="0" insertColumns="0" insertRows="0" insertHyperlinks="0" deleteColumns="0" deleteRows="0" sort="0" autoFilter="0" pivotTables="0"/>
  <mergeCells count="86">
    <mergeCell ref="AN42:AN43"/>
    <mergeCell ref="A30:A31"/>
    <mergeCell ref="B30:B31"/>
    <mergeCell ref="C30:C31"/>
    <mergeCell ref="D30:D31"/>
    <mergeCell ref="A36:A37"/>
    <mergeCell ref="B36:B37"/>
    <mergeCell ref="C36:C37"/>
    <mergeCell ref="D36:D37"/>
    <mergeCell ref="AK37:AN37"/>
    <mergeCell ref="A18:A19"/>
    <mergeCell ref="B18:B19"/>
    <mergeCell ref="C18:C19"/>
    <mergeCell ref="D18:D19"/>
    <mergeCell ref="A24:A25"/>
    <mergeCell ref="B24:B25"/>
    <mergeCell ref="C24:C25"/>
    <mergeCell ref="D24:D25"/>
    <mergeCell ref="A22:A23"/>
    <mergeCell ref="B22:B23"/>
    <mergeCell ref="C22:C23"/>
    <mergeCell ref="D22:D23"/>
    <mergeCell ref="A20:A21"/>
    <mergeCell ref="B20:B21"/>
    <mergeCell ref="C20:C21"/>
    <mergeCell ref="D20:D21"/>
    <mergeCell ref="D26:D27"/>
    <mergeCell ref="B26:B27"/>
    <mergeCell ref="C26:C27"/>
    <mergeCell ref="A32:A33"/>
    <mergeCell ref="B32:B33"/>
    <mergeCell ref="C32:C33"/>
    <mergeCell ref="D32:D33"/>
    <mergeCell ref="D28:D29"/>
    <mergeCell ref="B28:B29"/>
    <mergeCell ref="A28:A29"/>
    <mergeCell ref="C28:C29"/>
    <mergeCell ref="A26:A27"/>
    <mergeCell ref="G14:H14"/>
    <mergeCell ref="A16:A17"/>
    <mergeCell ref="B16:B17"/>
    <mergeCell ref="C16:C17"/>
    <mergeCell ref="D16:D17"/>
    <mergeCell ref="A13:A15"/>
    <mergeCell ref="B13:B15"/>
    <mergeCell ref="C13:C15"/>
    <mergeCell ref="D13:D15"/>
    <mergeCell ref="C44:L44"/>
    <mergeCell ref="A40:A41"/>
    <mergeCell ref="C40:C41"/>
    <mergeCell ref="D40:D41"/>
    <mergeCell ref="D34:D35"/>
    <mergeCell ref="A34:A35"/>
    <mergeCell ref="B34:B35"/>
    <mergeCell ref="C34:C35"/>
    <mergeCell ref="A38:A39"/>
    <mergeCell ref="B38:B39"/>
    <mergeCell ref="C38:C39"/>
    <mergeCell ref="D38:D39"/>
    <mergeCell ref="A1:AN3"/>
    <mergeCell ref="A10:AN10"/>
    <mergeCell ref="A11:AN12"/>
    <mergeCell ref="E13:AN13"/>
    <mergeCell ref="AK14:AL14"/>
    <mergeCell ref="AM14:AN14"/>
    <mergeCell ref="A4:AN4"/>
    <mergeCell ref="A5:AN5"/>
    <mergeCell ref="A6:AN6"/>
    <mergeCell ref="B8:AN8"/>
    <mergeCell ref="A9:AN9"/>
    <mergeCell ref="A7:AN7"/>
    <mergeCell ref="K14:L14"/>
    <mergeCell ref="E14:F14"/>
    <mergeCell ref="I14:J14"/>
    <mergeCell ref="M14:N14"/>
    <mergeCell ref="O14:P14"/>
    <mergeCell ref="Q14:R14"/>
    <mergeCell ref="S14:T14"/>
    <mergeCell ref="U14:V14"/>
    <mergeCell ref="AI14:AJ14"/>
    <mergeCell ref="W14:X14"/>
    <mergeCell ref="Y14:Z14"/>
    <mergeCell ref="AA14:AB14"/>
    <mergeCell ref="AC14:AD14"/>
    <mergeCell ref="AE14:AF14"/>
    <mergeCell ref="AG14:AH14"/>
  </mergeCells>
  <phoneticPr fontId="44" type="noConversion"/>
  <printOptions horizontalCentered="1"/>
  <pageMargins left="0" right="0" top="0" bottom="0" header="0" footer="0"/>
  <pageSetup paperSize="9" scale="23" orientation="landscape" r:id="rId1"/>
  <rowBreaks count="1" manualBreakCount="1">
    <brk id="49" max="4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7">
    <tabColor theme="7" tint="0.39997558519241921"/>
    <pageSetUpPr fitToPage="1"/>
  </sheetPr>
  <dimension ref="A1:AB368"/>
  <sheetViews>
    <sheetView topLeftCell="A41" zoomScale="10" zoomScaleNormal="10" zoomScaleSheetLayoutView="40" workbookViewId="0">
      <selection activeCell="A7" sqref="A7:S7"/>
    </sheetView>
  </sheetViews>
  <sheetFormatPr defaultColWidth="11.5703125" defaultRowHeight="14.25"/>
  <cols>
    <col min="1" max="1" width="11.5703125" style="88" bestFit="1" customWidth="1"/>
    <col min="2" max="2" width="52.5703125" style="88" customWidth="1"/>
    <col min="3" max="3" width="13.42578125" style="351" bestFit="1" customWidth="1"/>
    <col min="4" max="4" width="40.140625" style="351" bestFit="1" customWidth="1"/>
    <col min="5" max="5" width="23.7109375" style="351" bestFit="1" customWidth="1"/>
    <col min="6" max="6" width="23" style="351" bestFit="1" customWidth="1"/>
    <col min="7" max="7" width="81.28515625" style="351" bestFit="1" customWidth="1"/>
    <col min="8" max="8" width="45.85546875" style="88" bestFit="1" customWidth="1"/>
    <col min="9" max="9" width="22.7109375" style="88" customWidth="1"/>
    <col min="10" max="10" width="42.7109375" style="88" customWidth="1"/>
    <col min="11" max="13" width="22.7109375" style="88" customWidth="1"/>
    <col min="14" max="15" width="34.140625" style="88" bestFit="1" customWidth="1"/>
    <col min="16" max="17" width="34.140625" style="88" customWidth="1"/>
    <col min="18" max="18" width="37.7109375" style="88" bestFit="1" customWidth="1"/>
    <col min="19" max="19" width="35.85546875" style="88" bestFit="1" customWidth="1"/>
    <col min="20" max="20" width="19" style="88" customWidth="1"/>
    <col min="21" max="22" width="25.7109375" style="88" customWidth="1"/>
    <col min="23" max="23" width="11.5703125" style="88"/>
    <col min="24" max="25" width="25.7109375" style="88" customWidth="1"/>
    <col min="26" max="26" width="11.5703125" style="88"/>
    <col min="27" max="27" width="22.140625" style="88" customWidth="1"/>
    <col min="28" max="28" width="23.28515625" style="88" bestFit="1" customWidth="1"/>
    <col min="29" max="16384" width="11.5703125" style="88"/>
  </cols>
  <sheetData>
    <row r="1" spans="1:20" s="319" customFormat="1" ht="24.95" customHeight="1">
      <c r="A1" s="314"/>
      <c r="B1" s="315"/>
      <c r="C1" s="316"/>
      <c r="D1" s="316"/>
      <c r="E1" s="316"/>
      <c r="F1" s="316"/>
      <c r="G1" s="316"/>
      <c r="H1" s="315"/>
      <c r="I1" s="315"/>
      <c r="J1" s="315"/>
      <c r="K1" s="315"/>
      <c r="L1" s="315"/>
      <c r="M1" s="315"/>
      <c r="N1" s="315"/>
      <c r="O1" s="315"/>
      <c r="P1" s="315"/>
      <c r="Q1" s="315"/>
      <c r="R1" s="315"/>
      <c r="S1" s="317"/>
      <c r="T1" s="318"/>
    </row>
    <row r="2" spans="1:20" s="259" customFormat="1" ht="27.95" customHeight="1">
      <c r="A2" s="1616"/>
      <c r="B2" s="1617"/>
      <c r="C2" s="1617"/>
      <c r="D2" s="1617"/>
      <c r="E2" s="1617"/>
      <c r="F2" s="1617"/>
      <c r="G2" s="1617"/>
      <c r="H2" s="1617"/>
      <c r="I2" s="1617"/>
      <c r="J2" s="1617"/>
      <c r="K2" s="1617"/>
      <c r="L2" s="1617"/>
      <c r="M2" s="1617"/>
      <c r="N2" s="1617"/>
      <c r="O2" s="1617"/>
      <c r="P2" s="1617"/>
      <c r="Q2" s="1617"/>
      <c r="R2" s="1617"/>
      <c r="S2" s="1618"/>
      <c r="T2" s="483"/>
    </row>
    <row r="3" spans="1:20" s="259" customFormat="1" ht="27.95" customHeight="1">
      <c r="A3" s="1616"/>
      <c r="B3" s="1617"/>
      <c r="C3" s="1617"/>
      <c r="D3" s="1617"/>
      <c r="E3" s="1617"/>
      <c r="F3" s="1617"/>
      <c r="G3" s="1617"/>
      <c r="H3" s="1617"/>
      <c r="I3" s="1617"/>
      <c r="J3" s="1617"/>
      <c r="K3" s="1617"/>
      <c r="L3" s="1617"/>
      <c r="M3" s="1617"/>
      <c r="N3" s="1617"/>
      <c r="O3" s="1617"/>
      <c r="P3" s="1617"/>
      <c r="Q3" s="1617"/>
      <c r="R3" s="1617"/>
      <c r="S3" s="1618"/>
      <c r="T3" s="483"/>
    </row>
    <row r="4" spans="1:20" s="259" customFormat="1" ht="27.95" customHeight="1">
      <c r="A4" s="1616"/>
      <c r="B4" s="1617"/>
      <c r="C4" s="1617"/>
      <c r="D4" s="1617"/>
      <c r="E4" s="1617"/>
      <c r="F4" s="1617"/>
      <c r="G4" s="1617"/>
      <c r="H4" s="1617"/>
      <c r="I4" s="1617"/>
      <c r="J4" s="1617"/>
      <c r="K4" s="1617"/>
      <c r="L4" s="1617"/>
      <c r="M4" s="1617"/>
      <c r="N4" s="1617"/>
      <c r="O4" s="1617"/>
      <c r="P4" s="1617"/>
      <c r="Q4" s="1617"/>
      <c r="R4" s="1617"/>
      <c r="S4" s="1618"/>
      <c r="T4" s="483"/>
    </row>
    <row r="5" spans="1:20" s="259" customFormat="1" ht="27.95" customHeight="1">
      <c r="A5" s="482"/>
      <c r="B5" s="483"/>
      <c r="C5" s="483"/>
      <c r="D5" s="483"/>
      <c r="E5" s="483"/>
      <c r="F5" s="483"/>
      <c r="G5" s="483"/>
      <c r="H5" s="483"/>
      <c r="I5" s="483"/>
      <c r="J5" s="483"/>
      <c r="K5" s="483"/>
      <c r="L5" s="483"/>
      <c r="M5" s="483"/>
      <c r="N5" s="483"/>
      <c r="O5" s="483"/>
      <c r="P5" s="483"/>
      <c r="Q5" s="483"/>
      <c r="R5" s="483"/>
      <c r="S5" s="484"/>
      <c r="T5" s="483"/>
    </row>
    <row r="6" spans="1:20" s="259" customFormat="1" ht="27.95" customHeight="1">
      <c r="A6" s="1616" t="s">
        <v>17</v>
      </c>
      <c r="B6" s="1617"/>
      <c r="C6" s="1617"/>
      <c r="D6" s="1617"/>
      <c r="E6" s="1617"/>
      <c r="F6" s="1617"/>
      <c r="G6" s="1617"/>
      <c r="H6" s="1617"/>
      <c r="I6" s="1617"/>
      <c r="J6" s="1617"/>
      <c r="K6" s="1617"/>
      <c r="L6" s="1617"/>
      <c r="M6" s="1617"/>
      <c r="N6" s="1617"/>
      <c r="O6" s="1617"/>
      <c r="P6" s="1617"/>
      <c r="Q6" s="1617"/>
      <c r="R6" s="1617"/>
      <c r="S6" s="1618"/>
      <c r="T6" s="483"/>
    </row>
    <row r="7" spans="1:20" s="259" customFormat="1" ht="27.95" customHeight="1">
      <c r="A7" s="1655" t="s">
        <v>185</v>
      </c>
      <c r="B7" s="1656"/>
      <c r="C7" s="1656"/>
      <c r="D7" s="1656"/>
      <c r="E7" s="1656"/>
      <c r="F7" s="1656"/>
      <c r="G7" s="1656"/>
      <c r="H7" s="1656"/>
      <c r="I7" s="1656"/>
      <c r="J7" s="1656"/>
      <c r="K7" s="1656"/>
      <c r="L7" s="1656"/>
      <c r="M7" s="1656"/>
      <c r="N7" s="1656"/>
      <c r="O7" s="1656"/>
      <c r="P7" s="1656"/>
      <c r="Q7" s="1656"/>
      <c r="R7" s="1656"/>
      <c r="S7" s="1657"/>
      <c r="T7" s="483"/>
    </row>
    <row r="8" spans="1:20" s="259" customFormat="1" ht="27.95" customHeight="1">
      <c r="A8" s="1655" t="s">
        <v>16</v>
      </c>
      <c r="B8" s="1656"/>
      <c r="C8" s="1656"/>
      <c r="D8" s="1656"/>
      <c r="E8" s="1656"/>
      <c r="F8" s="1656"/>
      <c r="G8" s="1656"/>
      <c r="H8" s="1656"/>
      <c r="I8" s="1656"/>
      <c r="J8" s="1656"/>
      <c r="K8" s="1656"/>
      <c r="L8" s="1656"/>
      <c r="M8" s="1656"/>
      <c r="N8" s="1656"/>
      <c r="O8" s="1656"/>
      <c r="P8" s="1656"/>
      <c r="Q8" s="1656"/>
      <c r="R8" s="1656"/>
      <c r="S8" s="1657"/>
      <c r="T8" s="483"/>
    </row>
    <row r="9" spans="1:20" s="319" customFormat="1" ht="24.95" customHeight="1">
      <c r="A9" s="405"/>
      <c r="B9" s="323"/>
      <c r="C9" s="323"/>
      <c r="D9" s="323"/>
      <c r="E9" s="323"/>
      <c r="F9" s="323"/>
      <c r="G9" s="323"/>
      <c r="H9" s="323"/>
      <c r="I9" s="323"/>
      <c r="J9" s="323"/>
      <c r="K9" s="323"/>
      <c r="L9" s="323"/>
      <c r="M9" s="323"/>
      <c r="N9" s="323"/>
      <c r="O9" s="323"/>
      <c r="P9" s="323"/>
      <c r="Q9" s="323"/>
      <c r="R9" s="323"/>
      <c r="S9" s="406"/>
      <c r="T9" s="386"/>
    </row>
    <row r="10" spans="1:20" ht="57" customHeight="1">
      <c r="A10" s="408"/>
      <c r="B10" s="343" t="s">
        <v>532</v>
      </c>
      <c r="C10" s="1619" t="str">
        <f>ORÇAMENTO!D9</f>
        <v>SISTEMA DE SANEAMENTO INTEGRADO NO BAIRRO DO ICUÍ: ABASTECIMENTO DE ÁGUA, DRENAGEM URBANA E MANEJO DE ÁGUAS PLUVIAIS E PAVIMENTAÇÃO NO MUNICÍPIO DE ANANINDEUA/ PA</v>
      </c>
      <c r="D10" s="1620"/>
      <c r="E10" s="1620"/>
      <c r="F10" s="1620"/>
      <c r="G10" s="1620"/>
      <c r="H10" s="1620"/>
      <c r="I10" s="1620"/>
      <c r="J10" s="1620"/>
      <c r="K10" s="1620"/>
      <c r="L10" s="1620"/>
      <c r="M10" s="1620"/>
      <c r="N10" s="1620"/>
      <c r="O10" s="1620"/>
      <c r="P10" s="1620"/>
      <c r="Q10" s="1620"/>
      <c r="R10" s="1620"/>
      <c r="S10" s="1621"/>
      <c r="T10" s="325"/>
    </row>
    <row r="11" spans="1:20" s="319" customFormat="1" ht="24.95" customHeight="1" thickBot="1">
      <c r="A11" s="320"/>
      <c r="B11" s="321"/>
      <c r="C11" s="321"/>
      <c r="D11" s="321"/>
      <c r="E11" s="321"/>
      <c r="F11" s="321"/>
      <c r="G11" s="321"/>
      <c r="H11" s="321"/>
      <c r="I11" s="321"/>
      <c r="J11" s="321"/>
      <c r="K11" s="321"/>
      <c r="L11" s="321"/>
      <c r="M11" s="321"/>
      <c r="N11" s="321"/>
      <c r="O11" s="321"/>
      <c r="P11" s="321"/>
      <c r="Q11" s="321"/>
      <c r="R11" s="321"/>
      <c r="S11" s="322"/>
      <c r="T11" s="323"/>
    </row>
    <row r="12" spans="1:20" ht="41.25" customHeight="1" thickTop="1" thickBot="1">
      <c r="A12" s="1658" t="s">
        <v>315</v>
      </c>
      <c r="B12" s="1659"/>
      <c r="C12" s="1659"/>
      <c r="D12" s="1659"/>
      <c r="E12" s="1659"/>
      <c r="F12" s="1659"/>
      <c r="G12" s="1659"/>
      <c r="H12" s="1659"/>
      <c r="I12" s="1659"/>
      <c r="J12" s="1659"/>
      <c r="K12" s="1659"/>
      <c r="L12" s="1659"/>
      <c r="M12" s="1659"/>
      <c r="N12" s="1659"/>
      <c r="O12" s="1659"/>
      <c r="P12" s="1659"/>
      <c r="Q12" s="1659"/>
      <c r="R12" s="1659"/>
      <c r="S12" s="1660"/>
      <c r="T12" s="324"/>
    </row>
    <row r="13" spans="1:20" ht="27" customHeight="1" thickTop="1" thickBot="1">
      <c r="A13" s="1661"/>
      <c r="B13" s="1662"/>
      <c r="C13" s="1662"/>
      <c r="D13" s="1662"/>
      <c r="E13" s="1662"/>
      <c r="F13" s="1662"/>
      <c r="G13" s="1662"/>
      <c r="H13" s="1662"/>
      <c r="I13" s="1662"/>
      <c r="J13" s="1662"/>
      <c r="K13" s="1662"/>
      <c r="L13" s="1662"/>
      <c r="M13" s="1662"/>
      <c r="N13" s="1662"/>
      <c r="O13" s="1662"/>
      <c r="P13" s="1662"/>
      <c r="Q13" s="1662"/>
      <c r="R13" s="1662"/>
      <c r="S13" s="1663"/>
      <c r="T13" s="325"/>
    </row>
    <row r="14" spans="1:20" s="327" customFormat="1" ht="45" customHeight="1" thickBot="1">
      <c r="A14" s="1627" t="s">
        <v>307</v>
      </c>
      <c r="B14" s="1628"/>
      <c r="C14" s="1628"/>
      <c r="D14" s="1628"/>
      <c r="E14" s="1628"/>
      <c r="F14" s="1628"/>
      <c r="G14" s="1628"/>
      <c r="H14" s="1628"/>
      <c r="I14" s="1628"/>
      <c r="J14" s="1628"/>
      <c r="K14" s="1628"/>
      <c r="L14" s="1628"/>
      <c r="M14" s="1628"/>
      <c r="N14" s="1628"/>
      <c r="O14" s="1628"/>
      <c r="P14" s="1628"/>
      <c r="Q14" s="1628"/>
      <c r="R14" s="1628"/>
      <c r="S14" s="1629"/>
      <c r="T14" s="326"/>
    </row>
    <row r="15" spans="1:20" s="327" customFormat="1" ht="45" customHeight="1">
      <c r="A15" s="1630" t="s">
        <v>6</v>
      </c>
      <c r="B15" s="1633" t="s">
        <v>311</v>
      </c>
      <c r="C15" s="1636" t="s">
        <v>295</v>
      </c>
      <c r="D15" s="1636"/>
      <c r="E15" s="1636"/>
      <c r="F15" s="1645" t="s">
        <v>446</v>
      </c>
      <c r="G15" s="1645"/>
      <c r="H15" s="1645"/>
      <c r="I15" s="1645" t="s">
        <v>447</v>
      </c>
      <c r="J15" s="1643" t="s">
        <v>450</v>
      </c>
      <c r="K15" s="1645" t="s">
        <v>303</v>
      </c>
      <c r="L15" s="1645" t="s">
        <v>305</v>
      </c>
      <c r="M15" s="1647" t="s">
        <v>304</v>
      </c>
      <c r="N15" s="1638" t="s">
        <v>448</v>
      </c>
      <c r="O15" s="1638" t="s">
        <v>497</v>
      </c>
      <c r="P15" s="1643" t="s">
        <v>943</v>
      </c>
      <c r="Q15" s="1643" t="s">
        <v>944</v>
      </c>
      <c r="R15" s="1638" t="s">
        <v>449</v>
      </c>
      <c r="S15" s="1641" t="s">
        <v>306</v>
      </c>
      <c r="T15" s="326"/>
    </row>
    <row r="16" spans="1:20" s="327" customFormat="1" ht="45" customHeight="1">
      <c r="A16" s="1631"/>
      <c r="B16" s="1634"/>
      <c r="C16" s="1637"/>
      <c r="D16" s="1637"/>
      <c r="E16" s="1637"/>
      <c r="F16" s="1646"/>
      <c r="G16" s="1646"/>
      <c r="H16" s="1646"/>
      <c r="I16" s="1646"/>
      <c r="J16" s="1644"/>
      <c r="K16" s="1646"/>
      <c r="L16" s="1646"/>
      <c r="M16" s="1648"/>
      <c r="N16" s="1640"/>
      <c r="O16" s="1640"/>
      <c r="P16" s="1644"/>
      <c r="Q16" s="1644"/>
      <c r="R16" s="1639"/>
      <c r="S16" s="1642"/>
      <c r="T16" s="326"/>
    </row>
    <row r="17" spans="1:22" s="327" customFormat="1" ht="45" customHeight="1">
      <c r="A17" s="1631"/>
      <c r="B17" s="1634"/>
      <c r="C17" s="328" t="s">
        <v>146</v>
      </c>
      <c r="D17" s="329" t="s">
        <v>316</v>
      </c>
      <c r="E17" s="328" t="s">
        <v>302</v>
      </c>
      <c r="F17" s="328" t="s">
        <v>296</v>
      </c>
      <c r="G17" s="328" t="s">
        <v>301</v>
      </c>
      <c r="H17" s="328" t="s">
        <v>21</v>
      </c>
      <c r="I17" s="1646"/>
      <c r="J17" s="1644"/>
      <c r="K17" s="1646"/>
      <c r="L17" s="1646"/>
      <c r="M17" s="1649"/>
      <c r="N17" s="328" t="s">
        <v>21</v>
      </c>
      <c r="O17" s="328" t="s">
        <v>21</v>
      </c>
      <c r="P17" s="1644"/>
      <c r="Q17" s="1644"/>
      <c r="R17" s="1640"/>
      <c r="S17" s="1642"/>
      <c r="T17" s="326"/>
    </row>
    <row r="18" spans="1:22" s="327" customFormat="1" ht="60" customHeight="1">
      <c r="A18" s="1631"/>
      <c r="B18" s="1634"/>
      <c r="C18" s="487"/>
      <c r="D18" s="487"/>
      <c r="E18" s="487" t="s">
        <v>49</v>
      </c>
      <c r="F18" s="487" t="s">
        <v>52</v>
      </c>
      <c r="G18" s="487" t="s">
        <v>14</v>
      </c>
      <c r="H18" s="487" t="s">
        <v>621</v>
      </c>
      <c r="I18" s="487" t="s">
        <v>626</v>
      </c>
      <c r="J18" s="486" t="s">
        <v>942</v>
      </c>
      <c r="K18" s="487" t="s">
        <v>623</v>
      </c>
      <c r="L18" s="487" t="s">
        <v>624</v>
      </c>
      <c r="M18" s="487" t="s">
        <v>625</v>
      </c>
      <c r="N18" s="487" t="s">
        <v>627</v>
      </c>
      <c r="O18" s="487" t="s">
        <v>628</v>
      </c>
      <c r="P18" s="486" t="s">
        <v>942</v>
      </c>
      <c r="Q18" s="486" t="s">
        <v>942</v>
      </c>
      <c r="R18" s="487" t="s">
        <v>629</v>
      </c>
      <c r="S18" s="485" t="s">
        <v>630</v>
      </c>
      <c r="T18" s="326"/>
    </row>
    <row r="19" spans="1:22" s="327" customFormat="1" ht="60" customHeight="1" thickBot="1">
      <c r="A19" s="1632"/>
      <c r="B19" s="1635"/>
      <c r="C19" s="330" t="s">
        <v>300</v>
      </c>
      <c r="D19" s="330" t="s">
        <v>297</v>
      </c>
      <c r="E19" s="330" t="s">
        <v>297</v>
      </c>
      <c r="F19" s="330" t="s">
        <v>478</v>
      </c>
      <c r="G19" s="332" t="s">
        <v>631</v>
      </c>
      <c r="H19" s="330"/>
      <c r="I19" s="330"/>
      <c r="J19" s="331">
        <v>15.4</v>
      </c>
      <c r="K19" s="330">
        <v>0.2</v>
      </c>
      <c r="L19" s="330">
        <v>0.2</v>
      </c>
      <c r="M19" s="330"/>
      <c r="N19" s="330"/>
      <c r="O19" s="332"/>
      <c r="P19" s="332">
        <v>30</v>
      </c>
      <c r="Q19" s="332">
        <v>7.3</v>
      </c>
      <c r="R19" s="332" t="s">
        <v>495</v>
      </c>
      <c r="S19" s="409"/>
      <c r="T19" s="333"/>
    </row>
    <row r="20" spans="1:22" s="327" customFormat="1" ht="45" customHeight="1">
      <c r="A20" s="334">
        <f>'DADOS (F)'!A12</f>
        <v>1</v>
      </c>
      <c r="B20" s="335" t="str">
        <f>'DADOS (F)'!B12</f>
        <v>R. DA PUPUNHEIRA</v>
      </c>
      <c r="C20" s="336"/>
      <c r="D20" s="336"/>
      <c r="E20" s="336">
        <f>C20*D20</f>
        <v>0</v>
      </c>
      <c r="F20" s="337">
        <f>0.48+0.5</f>
        <v>0.98</v>
      </c>
      <c r="G20" s="337">
        <f>0.48+0.6</f>
        <v>1.08</v>
      </c>
      <c r="H20" s="337">
        <f t="shared" ref="H20:H37" si="0">E20*F20*G20</f>
        <v>0</v>
      </c>
      <c r="I20" s="337">
        <f>M20</f>
        <v>0</v>
      </c>
      <c r="J20" s="338">
        <f>I20*1.25*$J$19</f>
        <v>0</v>
      </c>
      <c r="K20" s="337">
        <f t="shared" ref="K20:K39" si="1">E20*F20</f>
        <v>0</v>
      </c>
      <c r="L20" s="337">
        <f>K20</f>
        <v>0</v>
      </c>
      <c r="M20" s="337">
        <f t="shared" ref="M20:M39" si="2">(3.14*0.2^2)*E20</f>
        <v>0</v>
      </c>
      <c r="N20" s="337">
        <f>(H20-M20)*70%</f>
        <v>0</v>
      </c>
      <c r="O20" s="337">
        <f>(H20-M20)*30%</f>
        <v>0</v>
      </c>
      <c r="P20" s="337"/>
      <c r="Q20" s="337"/>
      <c r="R20" s="337">
        <v>0</v>
      </c>
      <c r="S20" s="410">
        <f t="shared" ref="S20:S39" si="3">E20</f>
        <v>0</v>
      </c>
      <c r="T20" s="339"/>
    </row>
    <row r="21" spans="1:22" s="327" customFormat="1" ht="45" customHeight="1">
      <c r="A21" s="334">
        <f>'DADOS (F)'!A13</f>
        <v>2</v>
      </c>
      <c r="B21" s="335" t="str">
        <f>'DADOS (F)'!B13</f>
        <v>R. TANGERINA</v>
      </c>
      <c r="C21" s="340"/>
      <c r="D21" s="340"/>
      <c r="E21" s="340">
        <f t="shared" ref="E21:E39" si="4">C21*D21</f>
        <v>0</v>
      </c>
      <c r="F21" s="337">
        <f t="shared" ref="F21:F57" si="5">0.48+0.5</f>
        <v>0.98</v>
      </c>
      <c r="G21" s="337">
        <f t="shared" ref="G21:G57" si="6">0.48+0.6</f>
        <v>1.08</v>
      </c>
      <c r="H21" s="337">
        <f t="shared" si="0"/>
        <v>0</v>
      </c>
      <c r="I21" s="337">
        <f t="shared" ref="I21:I39" si="7">M21</f>
        <v>0</v>
      </c>
      <c r="J21" s="338">
        <f>I21*1.3*$J$19</f>
        <v>0</v>
      </c>
      <c r="K21" s="337">
        <f>E21*F21*K19</f>
        <v>0</v>
      </c>
      <c r="L21" s="337">
        <f t="shared" ref="L21:L39" si="8">K21</f>
        <v>0</v>
      </c>
      <c r="M21" s="337">
        <f t="shared" si="2"/>
        <v>0</v>
      </c>
      <c r="N21" s="337">
        <f t="shared" ref="N21:N39" si="9">(H21-M21)*70%</f>
        <v>0</v>
      </c>
      <c r="O21" s="337">
        <f t="shared" ref="O21:O39" si="10">(H21-M21)*30%</f>
        <v>0</v>
      </c>
      <c r="P21" s="338">
        <f>N21*1.3*$P$19</f>
        <v>0</v>
      </c>
      <c r="Q21" s="338">
        <f>N21*1.3*$Q$19</f>
        <v>0</v>
      </c>
      <c r="R21" s="337">
        <v>0</v>
      </c>
      <c r="S21" s="410">
        <f t="shared" si="3"/>
        <v>0</v>
      </c>
      <c r="T21" s="339"/>
    </row>
    <row r="22" spans="1:22" s="327" customFormat="1" ht="45" customHeight="1">
      <c r="A22" s="334">
        <f>'DADOS (F)'!A14</f>
        <v>3</v>
      </c>
      <c r="B22" s="335" t="str">
        <f>'DADOS (F)'!B14</f>
        <v>PASS. LARANJEIRA</v>
      </c>
      <c r="C22" s="340"/>
      <c r="D22" s="340"/>
      <c r="E22" s="340">
        <f t="shared" si="4"/>
        <v>0</v>
      </c>
      <c r="F22" s="337">
        <f t="shared" si="5"/>
        <v>0.98</v>
      </c>
      <c r="G22" s="337">
        <f t="shared" si="6"/>
        <v>1.08</v>
      </c>
      <c r="H22" s="337">
        <f t="shared" si="0"/>
        <v>0</v>
      </c>
      <c r="I22" s="337">
        <f t="shared" si="7"/>
        <v>0</v>
      </c>
      <c r="J22" s="338">
        <f t="shared" ref="J22:J39" si="11">I22*1.25*$J$19</f>
        <v>0</v>
      </c>
      <c r="K22" s="337">
        <f t="shared" si="1"/>
        <v>0</v>
      </c>
      <c r="L22" s="337">
        <f t="shared" si="8"/>
        <v>0</v>
      </c>
      <c r="M22" s="337">
        <f t="shared" si="2"/>
        <v>0</v>
      </c>
      <c r="N22" s="337">
        <f t="shared" si="9"/>
        <v>0</v>
      </c>
      <c r="O22" s="337">
        <f t="shared" si="10"/>
        <v>0</v>
      </c>
      <c r="P22" s="338">
        <f t="shared" ref="P22:P31" si="12">N22*1.3*$P$19</f>
        <v>0</v>
      </c>
      <c r="Q22" s="338">
        <f t="shared" ref="Q22:Q31" si="13">N22*1.3*$Q$19</f>
        <v>0</v>
      </c>
      <c r="R22" s="337">
        <v>0</v>
      </c>
      <c r="S22" s="410">
        <f t="shared" si="3"/>
        <v>0</v>
      </c>
      <c r="T22" s="339"/>
    </row>
    <row r="23" spans="1:22" s="327" customFormat="1" ht="45" customHeight="1">
      <c r="A23" s="334">
        <f>'DADOS (F)'!A15</f>
        <v>4</v>
      </c>
      <c r="B23" s="335" t="str">
        <f>'DADOS (F)'!B15</f>
        <v xml:space="preserve">TV. FÉ EM DEUS </v>
      </c>
      <c r="C23" s="340"/>
      <c r="D23" s="340"/>
      <c r="E23" s="340">
        <f t="shared" si="4"/>
        <v>0</v>
      </c>
      <c r="F23" s="337">
        <f t="shared" si="5"/>
        <v>0.98</v>
      </c>
      <c r="G23" s="337">
        <f t="shared" si="6"/>
        <v>1.08</v>
      </c>
      <c r="H23" s="337">
        <f t="shared" si="0"/>
        <v>0</v>
      </c>
      <c r="I23" s="337">
        <f t="shared" si="7"/>
        <v>0</v>
      </c>
      <c r="J23" s="338">
        <f t="shared" si="11"/>
        <v>0</v>
      </c>
      <c r="K23" s="337">
        <f t="shared" si="1"/>
        <v>0</v>
      </c>
      <c r="L23" s="337">
        <f t="shared" si="8"/>
        <v>0</v>
      </c>
      <c r="M23" s="337">
        <f t="shared" si="2"/>
        <v>0</v>
      </c>
      <c r="N23" s="337">
        <f t="shared" si="9"/>
        <v>0</v>
      </c>
      <c r="O23" s="337">
        <f t="shared" si="10"/>
        <v>0</v>
      </c>
      <c r="P23" s="338">
        <f t="shared" si="12"/>
        <v>0</v>
      </c>
      <c r="Q23" s="338">
        <f t="shared" si="13"/>
        <v>0</v>
      </c>
      <c r="R23" s="337">
        <v>0</v>
      </c>
      <c r="S23" s="410">
        <f t="shared" si="3"/>
        <v>0</v>
      </c>
      <c r="T23" s="339"/>
    </row>
    <row r="24" spans="1:22" s="327" customFormat="1" ht="45" customHeight="1">
      <c r="A24" s="334">
        <f>'DADOS (F)'!A16</f>
        <v>5</v>
      </c>
      <c r="B24" s="335" t="str">
        <f>'DADOS (F)'!B16</f>
        <v>RUA PAULO ASSUNÇÃO</v>
      </c>
      <c r="C24" s="340">
        <v>15</v>
      </c>
      <c r="D24" s="340">
        <v>5</v>
      </c>
      <c r="E24" s="340">
        <f t="shared" si="4"/>
        <v>75</v>
      </c>
      <c r="F24" s="337">
        <f t="shared" si="5"/>
        <v>0.98</v>
      </c>
      <c r="G24" s="337">
        <f t="shared" si="6"/>
        <v>1.08</v>
      </c>
      <c r="H24" s="337">
        <f>(E24*F24*G24)-(E24*F24*0.5)</f>
        <v>42.63</v>
      </c>
      <c r="I24" s="337">
        <f t="shared" si="7"/>
        <v>9.42</v>
      </c>
      <c r="J24" s="338">
        <f t="shared" si="11"/>
        <v>181.34</v>
      </c>
      <c r="K24" s="337">
        <f t="shared" si="1"/>
        <v>73.5</v>
      </c>
      <c r="L24" s="337">
        <f t="shared" si="8"/>
        <v>73.5</v>
      </c>
      <c r="M24" s="337">
        <f t="shared" si="2"/>
        <v>9.42</v>
      </c>
      <c r="N24" s="337">
        <f t="shared" si="9"/>
        <v>23.25</v>
      </c>
      <c r="O24" s="337">
        <f t="shared" si="10"/>
        <v>9.9600000000000009</v>
      </c>
      <c r="P24" s="338">
        <f t="shared" si="12"/>
        <v>906.75</v>
      </c>
      <c r="Q24" s="338">
        <f t="shared" si="13"/>
        <v>220.64</v>
      </c>
      <c r="R24" s="337">
        <v>0</v>
      </c>
      <c r="S24" s="410">
        <f t="shared" si="3"/>
        <v>75</v>
      </c>
      <c r="T24" s="339"/>
    </row>
    <row r="25" spans="1:22" s="327" customFormat="1" ht="45" customHeight="1">
      <c r="A25" s="334">
        <f>'DADOS (F)'!A17</f>
        <v>6</v>
      </c>
      <c r="B25" s="335" t="str">
        <f>'DADOS (F)'!B17</f>
        <v>PASS PAULO ASSUNÇÃO</v>
      </c>
      <c r="C25" s="340"/>
      <c r="D25" s="340"/>
      <c r="E25" s="340">
        <f t="shared" si="4"/>
        <v>0</v>
      </c>
      <c r="F25" s="337">
        <f t="shared" si="5"/>
        <v>0.98</v>
      </c>
      <c r="G25" s="337">
        <f t="shared" si="6"/>
        <v>1.08</v>
      </c>
      <c r="H25" s="337">
        <f t="shared" si="0"/>
        <v>0</v>
      </c>
      <c r="I25" s="337">
        <f t="shared" si="7"/>
        <v>0</v>
      </c>
      <c r="J25" s="338">
        <f t="shared" si="11"/>
        <v>0</v>
      </c>
      <c r="K25" s="337">
        <f t="shared" si="1"/>
        <v>0</v>
      </c>
      <c r="L25" s="337">
        <f t="shared" si="8"/>
        <v>0</v>
      </c>
      <c r="M25" s="337">
        <f t="shared" si="2"/>
        <v>0</v>
      </c>
      <c r="N25" s="337">
        <f t="shared" si="9"/>
        <v>0</v>
      </c>
      <c r="O25" s="337">
        <f t="shared" si="10"/>
        <v>0</v>
      </c>
      <c r="P25" s="338">
        <f t="shared" si="12"/>
        <v>0</v>
      </c>
      <c r="Q25" s="338">
        <f t="shared" si="13"/>
        <v>0</v>
      </c>
      <c r="R25" s="337">
        <v>0</v>
      </c>
      <c r="S25" s="410">
        <f t="shared" si="3"/>
        <v>0</v>
      </c>
      <c r="T25" s="339"/>
    </row>
    <row r="26" spans="1:22" s="327" customFormat="1" ht="45" customHeight="1">
      <c r="A26" s="334">
        <f>'DADOS (F)'!A18</f>
        <v>7</v>
      </c>
      <c r="B26" s="335" t="str">
        <f>'DADOS (F)'!B18</f>
        <v>RUA DO PISCINÃO</v>
      </c>
      <c r="C26" s="340">
        <v>15</v>
      </c>
      <c r="D26" s="340">
        <v>5</v>
      </c>
      <c r="E26" s="340">
        <f t="shared" si="4"/>
        <v>75</v>
      </c>
      <c r="F26" s="337">
        <f t="shared" si="5"/>
        <v>0.98</v>
      </c>
      <c r="G26" s="337">
        <f t="shared" si="6"/>
        <v>1.08</v>
      </c>
      <c r="H26" s="337">
        <f>(E26*F26*G26)-(E26*F26*0.5)</f>
        <v>42.63</v>
      </c>
      <c r="I26" s="337">
        <f t="shared" si="7"/>
        <v>9.42</v>
      </c>
      <c r="J26" s="338">
        <f t="shared" si="11"/>
        <v>181.34</v>
      </c>
      <c r="K26" s="337">
        <f t="shared" si="1"/>
        <v>73.5</v>
      </c>
      <c r="L26" s="337">
        <f t="shared" si="8"/>
        <v>73.5</v>
      </c>
      <c r="M26" s="337">
        <f t="shared" si="2"/>
        <v>9.42</v>
      </c>
      <c r="N26" s="337">
        <f t="shared" si="9"/>
        <v>23.25</v>
      </c>
      <c r="O26" s="337">
        <f t="shared" si="10"/>
        <v>9.9600000000000009</v>
      </c>
      <c r="P26" s="338">
        <f t="shared" si="12"/>
        <v>906.75</v>
      </c>
      <c r="Q26" s="338">
        <f t="shared" si="13"/>
        <v>220.64</v>
      </c>
      <c r="R26" s="337">
        <v>0</v>
      </c>
      <c r="S26" s="410">
        <f t="shared" si="3"/>
        <v>75</v>
      </c>
      <c r="T26" s="339"/>
    </row>
    <row r="27" spans="1:22" s="327" customFormat="1" ht="45" customHeight="1">
      <c r="A27" s="334">
        <f>'DADOS (F)'!A19</f>
        <v>8</v>
      </c>
      <c r="B27" s="335" t="str">
        <f>'DADOS (F)'!B19</f>
        <v>TV DEUS PROVERÁ</v>
      </c>
      <c r="C27" s="340">
        <v>6</v>
      </c>
      <c r="D27" s="340">
        <v>5</v>
      </c>
      <c r="E27" s="340">
        <f t="shared" si="4"/>
        <v>30</v>
      </c>
      <c r="F27" s="337">
        <f t="shared" si="5"/>
        <v>0.98</v>
      </c>
      <c r="G27" s="337">
        <f t="shared" si="6"/>
        <v>1.08</v>
      </c>
      <c r="H27" s="337">
        <f>(E27*F27*G27)-(E27*F27*0.5)</f>
        <v>17.05</v>
      </c>
      <c r="I27" s="337">
        <f t="shared" si="7"/>
        <v>3.77</v>
      </c>
      <c r="J27" s="338">
        <f t="shared" si="11"/>
        <v>72.569999999999993</v>
      </c>
      <c r="K27" s="337">
        <f t="shared" si="1"/>
        <v>29.4</v>
      </c>
      <c r="L27" s="337">
        <f t="shared" si="8"/>
        <v>29.4</v>
      </c>
      <c r="M27" s="337">
        <f t="shared" si="2"/>
        <v>3.77</v>
      </c>
      <c r="N27" s="337">
        <f t="shared" si="9"/>
        <v>9.3000000000000007</v>
      </c>
      <c r="O27" s="337">
        <f t="shared" si="10"/>
        <v>3.98</v>
      </c>
      <c r="P27" s="338">
        <f t="shared" si="12"/>
        <v>362.7</v>
      </c>
      <c r="Q27" s="338">
        <f t="shared" si="13"/>
        <v>88.26</v>
      </c>
      <c r="R27" s="337">
        <v>0</v>
      </c>
      <c r="S27" s="410">
        <f t="shared" si="3"/>
        <v>30</v>
      </c>
      <c r="T27" s="339"/>
    </row>
    <row r="28" spans="1:22" s="327" customFormat="1" ht="45" customHeight="1">
      <c r="A28" s="334">
        <f>'DADOS (F)'!A20</f>
        <v>9</v>
      </c>
      <c r="B28" s="335" t="str">
        <f>'DADOS (F)'!B20</f>
        <v>RUA A</v>
      </c>
      <c r="C28" s="340"/>
      <c r="D28" s="340"/>
      <c r="E28" s="340">
        <f t="shared" si="4"/>
        <v>0</v>
      </c>
      <c r="F28" s="337">
        <f t="shared" si="5"/>
        <v>0.98</v>
      </c>
      <c r="G28" s="337">
        <f t="shared" si="6"/>
        <v>1.08</v>
      </c>
      <c r="H28" s="337">
        <f t="shared" si="0"/>
        <v>0</v>
      </c>
      <c r="I28" s="337">
        <f t="shared" si="7"/>
        <v>0</v>
      </c>
      <c r="J28" s="338">
        <f t="shared" si="11"/>
        <v>0</v>
      </c>
      <c r="K28" s="337">
        <f t="shared" si="1"/>
        <v>0</v>
      </c>
      <c r="L28" s="337">
        <f t="shared" si="8"/>
        <v>0</v>
      </c>
      <c r="M28" s="337">
        <f t="shared" si="2"/>
        <v>0</v>
      </c>
      <c r="N28" s="337">
        <f t="shared" si="9"/>
        <v>0</v>
      </c>
      <c r="O28" s="337">
        <f t="shared" si="10"/>
        <v>0</v>
      </c>
      <c r="P28" s="338">
        <f t="shared" si="12"/>
        <v>0</v>
      </c>
      <c r="Q28" s="338">
        <f t="shared" si="13"/>
        <v>0</v>
      </c>
      <c r="R28" s="337">
        <v>0</v>
      </c>
      <c r="S28" s="410">
        <f t="shared" si="3"/>
        <v>0</v>
      </c>
      <c r="T28" s="339"/>
    </row>
    <row r="29" spans="1:22" s="327" customFormat="1" ht="45" customHeight="1">
      <c r="A29" s="334">
        <f>'DADOS (F)'!A21</f>
        <v>10</v>
      </c>
      <c r="B29" s="335" t="str">
        <f>'DADOS (F)'!B21</f>
        <v>RUA B</v>
      </c>
      <c r="C29" s="340"/>
      <c r="D29" s="340"/>
      <c r="E29" s="340">
        <f t="shared" si="4"/>
        <v>0</v>
      </c>
      <c r="F29" s="337">
        <f t="shared" si="5"/>
        <v>0.98</v>
      </c>
      <c r="G29" s="337">
        <f t="shared" si="6"/>
        <v>1.08</v>
      </c>
      <c r="H29" s="337">
        <f t="shared" si="0"/>
        <v>0</v>
      </c>
      <c r="I29" s="337">
        <f t="shared" si="7"/>
        <v>0</v>
      </c>
      <c r="J29" s="338">
        <f t="shared" si="11"/>
        <v>0</v>
      </c>
      <c r="K29" s="337">
        <f t="shared" si="1"/>
        <v>0</v>
      </c>
      <c r="L29" s="337">
        <f t="shared" si="8"/>
        <v>0</v>
      </c>
      <c r="M29" s="337">
        <f t="shared" si="2"/>
        <v>0</v>
      </c>
      <c r="N29" s="337">
        <f t="shared" si="9"/>
        <v>0</v>
      </c>
      <c r="O29" s="337">
        <f t="shared" si="10"/>
        <v>0</v>
      </c>
      <c r="P29" s="338">
        <f t="shared" si="12"/>
        <v>0</v>
      </c>
      <c r="Q29" s="338">
        <f t="shared" si="13"/>
        <v>0</v>
      </c>
      <c r="R29" s="337">
        <v>0</v>
      </c>
      <c r="S29" s="410">
        <f t="shared" si="3"/>
        <v>0</v>
      </c>
      <c r="T29" s="339"/>
      <c r="V29" s="867"/>
    </row>
    <row r="30" spans="1:22" s="327" customFormat="1" ht="45" customHeight="1">
      <c r="A30" s="334">
        <f>'DADOS (F)'!A25</f>
        <v>14</v>
      </c>
      <c r="B30" s="335" t="str">
        <f>'DADOS (F)'!B25</f>
        <v>RUA DAS ORQUIDEAS</v>
      </c>
      <c r="C30" s="340"/>
      <c r="D30" s="340"/>
      <c r="E30" s="340">
        <f t="shared" si="4"/>
        <v>0</v>
      </c>
      <c r="F30" s="337">
        <f t="shared" si="5"/>
        <v>0.98</v>
      </c>
      <c r="G30" s="337">
        <f t="shared" si="6"/>
        <v>1.08</v>
      </c>
      <c r="H30" s="337">
        <f t="shared" si="0"/>
        <v>0</v>
      </c>
      <c r="I30" s="337">
        <f t="shared" si="7"/>
        <v>0</v>
      </c>
      <c r="J30" s="338">
        <f t="shared" si="11"/>
        <v>0</v>
      </c>
      <c r="K30" s="337">
        <f t="shared" si="1"/>
        <v>0</v>
      </c>
      <c r="L30" s="337">
        <f t="shared" si="8"/>
        <v>0</v>
      </c>
      <c r="M30" s="337">
        <f t="shared" si="2"/>
        <v>0</v>
      </c>
      <c r="N30" s="337">
        <f t="shared" si="9"/>
        <v>0</v>
      </c>
      <c r="O30" s="337">
        <f t="shared" si="10"/>
        <v>0</v>
      </c>
      <c r="P30" s="338">
        <f t="shared" si="12"/>
        <v>0</v>
      </c>
      <c r="Q30" s="338">
        <f t="shared" si="13"/>
        <v>0</v>
      </c>
      <c r="R30" s="337">
        <v>0</v>
      </c>
      <c r="S30" s="410">
        <f t="shared" si="3"/>
        <v>0</v>
      </c>
      <c r="T30" s="339"/>
      <c r="V30" s="867"/>
    </row>
    <row r="31" spans="1:22" s="327" customFormat="1" ht="45" customHeight="1">
      <c r="A31" s="334">
        <f>'DADOS (F)'!A26</f>
        <v>15</v>
      </c>
      <c r="B31" s="335" t="str">
        <f>'DADOS (F)'!B26</f>
        <v>RUA HUM</v>
      </c>
      <c r="C31" s="340"/>
      <c r="D31" s="340"/>
      <c r="E31" s="340">
        <f t="shared" si="4"/>
        <v>0</v>
      </c>
      <c r="F31" s="337">
        <f t="shared" si="5"/>
        <v>0.98</v>
      </c>
      <c r="G31" s="337">
        <f t="shared" si="6"/>
        <v>1.08</v>
      </c>
      <c r="H31" s="337">
        <f t="shared" si="0"/>
        <v>0</v>
      </c>
      <c r="I31" s="337">
        <f t="shared" si="7"/>
        <v>0</v>
      </c>
      <c r="J31" s="338">
        <f t="shared" si="11"/>
        <v>0</v>
      </c>
      <c r="K31" s="337">
        <f t="shared" si="1"/>
        <v>0</v>
      </c>
      <c r="L31" s="337">
        <f t="shared" si="8"/>
        <v>0</v>
      </c>
      <c r="M31" s="337">
        <f t="shared" si="2"/>
        <v>0</v>
      </c>
      <c r="N31" s="337">
        <f t="shared" si="9"/>
        <v>0</v>
      </c>
      <c r="O31" s="337">
        <f t="shared" si="10"/>
        <v>0</v>
      </c>
      <c r="P31" s="338">
        <f t="shared" si="12"/>
        <v>0</v>
      </c>
      <c r="Q31" s="338">
        <f t="shared" si="13"/>
        <v>0</v>
      </c>
      <c r="R31" s="337">
        <v>0</v>
      </c>
      <c r="S31" s="410">
        <f t="shared" si="3"/>
        <v>0</v>
      </c>
      <c r="T31" s="339"/>
    </row>
    <row r="32" spans="1:22" s="327" customFormat="1" ht="45" customHeight="1">
      <c r="A32" s="334">
        <f>'DADOS (F)'!A27</f>
        <v>16</v>
      </c>
      <c r="B32" s="335" t="str">
        <f>'DADOS (F)'!B27</f>
        <v>RUA DOIS</v>
      </c>
      <c r="C32" s="340"/>
      <c r="D32" s="340"/>
      <c r="E32" s="340">
        <f t="shared" si="4"/>
        <v>0</v>
      </c>
      <c r="F32" s="337">
        <f t="shared" si="5"/>
        <v>0.98</v>
      </c>
      <c r="G32" s="337">
        <f t="shared" si="6"/>
        <v>1.08</v>
      </c>
      <c r="H32" s="337">
        <f t="shared" si="0"/>
        <v>0</v>
      </c>
      <c r="I32" s="337">
        <f t="shared" si="7"/>
        <v>0</v>
      </c>
      <c r="J32" s="338">
        <f t="shared" si="11"/>
        <v>0</v>
      </c>
      <c r="K32" s="337">
        <f t="shared" si="1"/>
        <v>0</v>
      </c>
      <c r="L32" s="337">
        <f t="shared" si="8"/>
        <v>0</v>
      </c>
      <c r="M32" s="337">
        <f t="shared" si="2"/>
        <v>0</v>
      </c>
      <c r="N32" s="337">
        <f t="shared" si="9"/>
        <v>0</v>
      </c>
      <c r="O32" s="337">
        <f t="shared" si="10"/>
        <v>0</v>
      </c>
      <c r="P32" s="337"/>
      <c r="Q32" s="337"/>
      <c r="R32" s="337">
        <v>0</v>
      </c>
      <c r="S32" s="410">
        <f t="shared" si="3"/>
        <v>0</v>
      </c>
      <c r="T32" s="339"/>
    </row>
    <row r="33" spans="1:20" s="327" customFormat="1" ht="45" customHeight="1">
      <c r="A33" s="334">
        <f>'DADOS (F)'!A28</f>
        <v>17</v>
      </c>
      <c r="B33" s="335" t="str">
        <f>'DADOS (F)'!B28</f>
        <v>RUA TRÊS</v>
      </c>
      <c r="C33" s="340"/>
      <c r="D33" s="340"/>
      <c r="E33" s="340">
        <f t="shared" si="4"/>
        <v>0</v>
      </c>
      <c r="F33" s="337">
        <f t="shared" si="5"/>
        <v>0.98</v>
      </c>
      <c r="G33" s="337">
        <f t="shared" si="6"/>
        <v>1.08</v>
      </c>
      <c r="H33" s="337">
        <f t="shared" si="0"/>
        <v>0</v>
      </c>
      <c r="I33" s="337">
        <f t="shared" si="7"/>
        <v>0</v>
      </c>
      <c r="J33" s="338">
        <f t="shared" si="11"/>
        <v>0</v>
      </c>
      <c r="K33" s="337">
        <f t="shared" si="1"/>
        <v>0</v>
      </c>
      <c r="L33" s="337">
        <f t="shared" si="8"/>
        <v>0</v>
      </c>
      <c r="M33" s="337">
        <f t="shared" si="2"/>
        <v>0</v>
      </c>
      <c r="N33" s="337">
        <f t="shared" si="9"/>
        <v>0</v>
      </c>
      <c r="O33" s="337">
        <f t="shared" si="10"/>
        <v>0</v>
      </c>
      <c r="P33" s="337"/>
      <c r="Q33" s="337"/>
      <c r="R33" s="337">
        <v>0</v>
      </c>
      <c r="S33" s="410">
        <f t="shared" si="3"/>
        <v>0</v>
      </c>
      <c r="T33" s="339"/>
    </row>
    <row r="34" spans="1:20" s="327" customFormat="1" ht="45" customHeight="1">
      <c r="A34" s="334">
        <f>'DADOS (F)'!A29</f>
        <v>18</v>
      </c>
      <c r="B34" s="335" t="str">
        <f>'DADOS (F)'!B29</f>
        <v>PASS DA LUZ</v>
      </c>
      <c r="C34" s="340"/>
      <c r="D34" s="340"/>
      <c r="E34" s="340">
        <f t="shared" si="4"/>
        <v>0</v>
      </c>
      <c r="F34" s="337">
        <f t="shared" si="5"/>
        <v>0.98</v>
      </c>
      <c r="G34" s="337">
        <f t="shared" si="6"/>
        <v>1.08</v>
      </c>
      <c r="H34" s="337">
        <f t="shared" si="0"/>
        <v>0</v>
      </c>
      <c r="I34" s="337">
        <f t="shared" si="7"/>
        <v>0</v>
      </c>
      <c r="J34" s="338">
        <f t="shared" si="11"/>
        <v>0</v>
      </c>
      <c r="K34" s="337">
        <f t="shared" si="1"/>
        <v>0</v>
      </c>
      <c r="L34" s="337">
        <f t="shared" si="8"/>
        <v>0</v>
      </c>
      <c r="M34" s="337">
        <f t="shared" si="2"/>
        <v>0</v>
      </c>
      <c r="N34" s="337">
        <f t="shared" si="9"/>
        <v>0</v>
      </c>
      <c r="O34" s="337">
        <f t="shared" si="10"/>
        <v>0</v>
      </c>
      <c r="P34" s="337"/>
      <c r="Q34" s="337"/>
      <c r="R34" s="337">
        <v>0</v>
      </c>
      <c r="S34" s="410">
        <f t="shared" si="3"/>
        <v>0</v>
      </c>
      <c r="T34" s="339"/>
    </row>
    <row r="35" spans="1:20" s="327" customFormat="1" ht="45" customHeight="1">
      <c r="A35" s="334">
        <f>'DADOS (F)'!A30</f>
        <v>19</v>
      </c>
      <c r="B35" s="335" t="str">
        <f>'DADOS (F)'!B30</f>
        <v>RUA FÉ EM DEUS</v>
      </c>
      <c r="C35" s="340"/>
      <c r="D35" s="340"/>
      <c r="E35" s="340">
        <f t="shared" si="4"/>
        <v>0</v>
      </c>
      <c r="F35" s="337">
        <f t="shared" si="5"/>
        <v>0.98</v>
      </c>
      <c r="G35" s="337">
        <f t="shared" si="6"/>
        <v>1.08</v>
      </c>
      <c r="H35" s="337">
        <f t="shared" si="0"/>
        <v>0</v>
      </c>
      <c r="I35" s="337">
        <f t="shared" si="7"/>
        <v>0</v>
      </c>
      <c r="J35" s="338">
        <f t="shared" si="11"/>
        <v>0</v>
      </c>
      <c r="K35" s="337">
        <f t="shared" si="1"/>
        <v>0</v>
      </c>
      <c r="L35" s="337">
        <f t="shared" si="8"/>
        <v>0</v>
      </c>
      <c r="M35" s="337">
        <f t="shared" si="2"/>
        <v>0</v>
      </c>
      <c r="N35" s="337">
        <f t="shared" si="9"/>
        <v>0</v>
      </c>
      <c r="O35" s="337">
        <f t="shared" si="10"/>
        <v>0</v>
      </c>
      <c r="P35" s="337"/>
      <c r="Q35" s="337"/>
      <c r="R35" s="337">
        <v>0</v>
      </c>
      <c r="S35" s="410">
        <f t="shared" si="3"/>
        <v>0</v>
      </c>
      <c r="T35" s="339"/>
    </row>
    <row r="36" spans="1:20" s="327" customFormat="1" ht="45" customHeight="1">
      <c r="A36" s="334">
        <f>'DADOS (F)'!A31</f>
        <v>20</v>
      </c>
      <c r="B36" s="335" t="str">
        <f>'DADOS (F)'!B31</f>
        <v>PASS PRINCIPAL</v>
      </c>
      <c r="C36" s="340"/>
      <c r="D36" s="340"/>
      <c r="E36" s="340">
        <f t="shared" si="4"/>
        <v>0</v>
      </c>
      <c r="F36" s="337">
        <f t="shared" si="5"/>
        <v>0.98</v>
      </c>
      <c r="G36" s="337">
        <f t="shared" si="6"/>
        <v>1.08</v>
      </c>
      <c r="H36" s="337">
        <f t="shared" si="0"/>
        <v>0</v>
      </c>
      <c r="I36" s="337">
        <f t="shared" si="7"/>
        <v>0</v>
      </c>
      <c r="J36" s="338">
        <f t="shared" si="11"/>
        <v>0</v>
      </c>
      <c r="K36" s="337">
        <f t="shared" si="1"/>
        <v>0</v>
      </c>
      <c r="L36" s="337">
        <f t="shared" si="8"/>
        <v>0</v>
      </c>
      <c r="M36" s="337">
        <f t="shared" si="2"/>
        <v>0</v>
      </c>
      <c r="N36" s="337">
        <f t="shared" si="9"/>
        <v>0</v>
      </c>
      <c r="O36" s="337">
        <f t="shared" si="10"/>
        <v>0</v>
      </c>
      <c r="P36" s="337"/>
      <c r="Q36" s="337"/>
      <c r="R36" s="337">
        <v>0</v>
      </c>
      <c r="S36" s="410">
        <f t="shared" si="3"/>
        <v>0</v>
      </c>
      <c r="T36" s="339"/>
    </row>
    <row r="37" spans="1:20" s="327" customFormat="1" ht="45" customHeight="1">
      <c r="A37" s="334">
        <f>'DADOS (F)'!A32</f>
        <v>21</v>
      </c>
      <c r="B37" s="335" t="str">
        <f>'DADOS (F)'!B32</f>
        <v>PASSAGEM BACELAR</v>
      </c>
      <c r="C37" s="340"/>
      <c r="D37" s="340"/>
      <c r="E37" s="340">
        <f t="shared" si="4"/>
        <v>0</v>
      </c>
      <c r="F37" s="337">
        <f t="shared" si="5"/>
        <v>0.98</v>
      </c>
      <c r="G37" s="337">
        <f t="shared" si="6"/>
        <v>1.08</v>
      </c>
      <c r="H37" s="337">
        <f t="shared" si="0"/>
        <v>0</v>
      </c>
      <c r="I37" s="337">
        <f t="shared" si="7"/>
        <v>0</v>
      </c>
      <c r="J37" s="338">
        <f t="shared" si="11"/>
        <v>0</v>
      </c>
      <c r="K37" s="337">
        <f t="shared" si="1"/>
        <v>0</v>
      </c>
      <c r="L37" s="337">
        <f t="shared" si="8"/>
        <v>0</v>
      </c>
      <c r="M37" s="337">
        <f t="shared" si="2"/>
        <v>0</v>
      </c>
      <c r="N37" s="337">
        <f t="shared" si="9"/>
        <v>0</v>
      </c>
      <c r="O37" s="337">
        <f t="shared" si="10"/>
        <v>0</v>
      </c>
      <c r="P37" s="337"/>
      <c r="Q37" s="337"/>
      <c r="R37" s="337">
        <v>0</v>
      </c>
      <c r="S37" s="410">
        <f t="shared" si="3"/>
        <v>0</v>
      </c>
      <c r="T37" s="339"/>
    </row>
    <row r="38" spans="1:20" s="327" customFormat="1" ht="45" customHeight="1">
      <c r="A38" s="334">
        <f>'DADOS (F)'!A33</f>
        <v>22</v>
      </c>
      <c r="B38" s="335" t="str">
        <f>'DADOS (F)'!B33</f>
        <v>PASS DEUS TEM PODER</v>
      </c>
      <c r="C38" s="340">
        <v>17</v>
      </c>
      <c r="D38" s="340">
        <v>5</v>
      </c>
      <c r="E38" s="340">
        <f t="shared" si="4"/>
        <v>85</v>
      </c>
      <c r="F38" s="337">
        <f t="shared" si="5"/>
        <v>0.98</v>
      </c>
      <c r="G38" s="337">
        <f t="shared" si="6"/>
        <v>1.08</v>
      </c>
      <c r="H38" s="337">
        <f>(E38*F38*G38)-(E38*F38*0.5)</f>
        <v>48.31</v>
      </c>
      <c r="I38" s="337">
        <f t="shared" si="7"/>
        <v>10.68</v>
      </c>
      <c r="J38" s="338">
        <f t="shared" si="11"/>
        <v>205.59</v>
      </c>
      <c r="K38" s="337">
        <f t="shared" si="1"/>
        <v>83.3</v>
      </c>
      <c r="L38" s="337">
        <f t="shared" si="8"/>
        <v>83.3</v>
      </c>
      <c r="M38" s="337">
        <f t="shared" si="2"/>
        <v>10.68</v>
      </c>
      <c r="N38" s="337">
        <f t="shared" si="9"/>
        <v>26.34</v>
      </c>
      <c r="O38" s="337">
        <f t="shared" si="10"/>
        <v>11.29</v>
      </c>
      <c r="P38" s="337"/>
      <c r="Q38" s="337"/>
      <c r="R38" s="337">
        <v>0</v>
      </c>
      <c r="S38" s="410">
        <f t="shared" si="3"/>
        <v>85</v>
      </c>
      <c r="T38" s="339"/>
    </row>
    <row r="39" spans="1:20" s="327" customFormat="1" ht="45" customHeight="1">
      <c r="A39" s="334">
        <f>'DADOS (F)'!A34</f>
        <v>23</v>
      </c>
      <c r="B39" s="335" t="str">
        <f>'DADOS (F)'!B34</f>
        <v>PASS UNIÃO</v>
      </c>
      <c r="C39" s="340">
        <v>8</v>
      </c>
      <c r="D39" s="340">
        <v>5</v>
      </c>
      <c r="E39" s="340">
        <f t="shared" si="4"/>
        <v>40</v>
      </c>
      <c r="F39" s="337">
        <f t="shared" si="5"/>
        <v>0.98</v>
      </c>
      <c r="G39" s="337">
        <f t="shared" si="6"/>
        <v>1.08</v>
      </c>
      <c r="H39" s="337">
        <f>(E39*F39*G39)-(E39*F39*0.5)</f>
        <v>22.74</v>
      </c>
      <c r="I39" s="337">
        <f t="shared" si="7"/>
        <v>5.0199999999999996</v>
      </c>
      <c r="J39" s="338">
        <f t="shared" si="11"/>
        <v>96.64</v>
      </c>
      <c r="K39" s="337">
        <f t="shared" si="1"/>
        <v>39.200000000000003</v>
      </c>
      <c r="L39" s="337">
        <f t="shared" si="8"/>
        <v>39.200000000000003</v>
      </c>
      <c r="M39" s="337">
        <f t="shared" si="2"/>
        <v>5.0199999999999996</v>
      </c>
      <c r="N39" s="337">
        <f t="shared" si="9"/>
        <v>12.4</v>
      </c>
      <c r="O39" s="337">
        <f t="shared" si="10"/>
        <v>5.32</v>
      </c>
      <c r="P39" s="337"/>
      <c r="Q39" s="337"/>
      <c r="R39" s="337">
        <v>0</v>
      </c>
      <c r="S39" s="410">
        <f t="shared" si="3"/>
        <v>40</v>
      </c>
      <c r="T39" s="339"/>
    </row>
    <row r="40" spans="1:20" s="327" customFormat="1" ht="45" customHeight="1">
      <c r="A40" s="334">
        <f>'DADOS (F)'!A35</f>
        <v>24</v>
      </c>
      <c r="B40" s="335" t="str">
        <f>'DADOS (F)'!B35</f>
        <v>PASS SÃO JORGE</v>
      </c>
      <c r="C40" s="340"/>
      <c r="D40" s="340"/>
      <c r="E40" s="340">
        <f t="shared" ref="E40:E57" si="14">C40*D40</f>
        <v>0</v>
      </c>
      <c r="F40" s="337">
        <f t="shared" si="5"/>
        <v>0.98</v>
      </c>
      <c r="G40" s="337">
        <f t="shared" si="6"/>
        <v>1.08</v>
      </c>
      <c r="H40" s="337">
        <f t="shared" ref="H40:H57" si="15">E40*F40*G40</f>
        <v>0</v>
      </c>
      <c r="I40" s="337">
        <f t="shared" ref="I40:I57" si="16">M40</f>
        <v>0</v>
      </c>
      <c r="J40" s="338">
        <f t="shared" ref="J40:J57" si="17">I40*1.25*$J$19</f>
        <v>0</v>
      </c>
      <c r="K40" s="337">
        <f t="shared" ref="K40:K57" si="18">E40*F40</f>
        <v>0</v>
      </c>
      <c r="L40" s="337">
        <f t="shared" ref="L40:L57" si="19">K40</f>
        <v>0</v>
      </c>
      <c r="M40" s="337">
        <f t="shared" ref="M40:M57" si="20">(3.14*0.2^2)*E40</f>
        <v>0</v>
      </c>
      <c r="N40" s="337">
        <f t="shared" ref="N40:N57" si="21">(H40-M40)*70%</f>
        <v>0</v>
      </c>
      <c r="O40" s="337">
        <f t="shared" ref="O40:O57" si="22">(H40-M40)*30%</f>
        <v>0</v>
      </c>
      <c r="P40" s="337"/>
      <c r="Q40" s="337"/>
      <c r="R40" s="337">
        <v>0</v>
      </c>
      <c r="S40" s="410">
        <f t="shared" ref="S40:S57" si="23">E40</f>
        <v>0</v>
      </c>
      <c r="T40" s="339"/>
    </row>
    <row r="41" spans="1:20" s="327" customFormat="1" ht="45" customHeight="1">
      <c r="A41" s="334">
        <f>'DADOS (F)'!A36</f>
        <v>25</v>
      </c>
      <c r="B41" s="335" t="str">
        <f>'DADOS (F)'!B36</f>
        <v>PASS AIRTON SENA</v>
      </c>
      <c r="C41" s="340">
        <v>12</v>
      </c>
      <c r="D41" s="340">
        <v>5</v>
      </c>
      <c r="E41" s="340">
        <f t="shared" si="14"/>
        <v>60</v>
      </c>
      <c r="F41" s="337">
        <f t="shared" si="5"/>
        <v>0.98</v>
      </c>
      <c r="G41" s="337">
        <f t="shared" si="6"/>
        <v>1.08</v>
      </c>
      <c r="H41" s="337">
        <f>(E41*F41*G41)-(E41*F41*0.5)</f>
        <v>34.1</v>
      </c>
      <c r="I41" s="337">
        <f t="shared" si="16"/>
        <v>7.54</v>
      </c>
      <c r="J41" s="338">
        <f t="shared" si="17"/>
        <v>145.15</v>
      </c>
      <c r="K41" s="337">
        <f t="shared" si="18"/>
        <v>58.8</v>
      </c>
      <c r="L41" s="337">
        <f t="shared" si="19"/>
        <v>58.8</v>
      </c>
      <c r="M41" s="337">
        <f t="shared" si="20"/>
        <v>7.54</v>
      </c>
      <c r="N41" s="337">
        <f t="shared" si="21"/>
        <v>18.59</v>
      </c>
      <c r="O41" s="337">
        <f t="shared" si="22"/>
        <v>7.97</v>
      </c>
      <c r="P41" s="337"/>
      <c r="Q41" s="337"/>
      <c r="R41" s="337">
        <v>0</v>
      </c>
      <c r="S41" s="410">
        <f t="shared" si="23"/>
        <v>60</v>
      </c>
      <c r="T41" s="339"/>
    </row>
    <row r="42" spans="1:20" s="327" customFormat="1" ht="45" customHeight="1">
      <c r="A42" s="334">
        <f>'DADOS (F)'!A37</f>
        <v>26</v>
      </c>
      <c r="B42" s="335" t="str">
        <f>'DADOS (F)'!B37</f>
        <v>RUA AMINTAS PINHEIRO</v>
      </c>
      <c r="C42" s="340">
        <v>2</v>
      </c>
      <c r="D42" s="340">
        <v>5</v>
      </c>
      <c r="E42" s="340">
        <f t="shared" si="14"/>
        <v>10</v>
      </c>
      <c r="F42" s="337">
        <f t="shared" si="5"/>
        <v>0.98</v>
      </c>
      <c r="G42" s="337">
        <f t="shared" si="6"/>
        <v>1.08</v>
      </c>
      <c r="H42" s="337">
        <f>(E42*F42*G42)-(E42*F42*0.5)</f>
        <v>5.68</v>
      </c>
      <c r="I42" s="337">
        <f t="shared" si="16"/>
        <v>1.26</v>
      </c>
      <c r="J42" s="338">
        <f t="shared" si="17"/>
        <v>24.26</v>
      </c>
      <c r="K42" s="337">
        <f t="shared" si="18"/>
        <v>9.8000000000000007</v>
      </c>
      <c r="L42" s="337">
        <f t="shared" si="19"/>
        <v>9.8000000000000007</v>
      </c>
      <c r="M42" s="337">
        <f t="shared" si="20"/>
        <v>1.26</v>
      </c>
      <c r="N42" s="337">
        <f t="shared" si="21"/>
        <v>3.09</v>
      </c>
      <c r="O42" s="337">
        <f t="shared" si="22"/>
        <v>1.33</v>
      </c>
      <c r="P42" s="337"/>
      <c r="Q42" s="337"/>
      <c r="R42" s="337">
        <v>0</v>
      </c>
      <c r="S42" s="410">
        <f t="shared" si="23"/>
        <v>10</v>
      </c>
      <c r="T42" s="339"/>
    </row>
    <row r="43" spans="1:20" s="327" customFormat="1" ht="45" customHeight="1">
      <c r="A43" s="334">
        <f>'DADOS (F)'!A38</f>
        <v>27</v>
      </c>
      <c r="B43" s="335" t="str">
        <f>'DADOS (F)'!B38</f>
        <v>PASS PRINC ISABEL</v>
      </c>
      <c r="C43" s="340"/>
      <c r="D43" s="340"/>
      <c r="E43" s="340">
        <f t="shared" si="14"/>
        <v>0</v>
      </c>
      <c r="F43" s="337">
        <f t="shared" si="5"/>
        <v>0.98</v>
      </c>
      <c r="G43" s="337">
        <f t="shared" si="6"/>
        <v>1.08</v>
      </c>
      <c r="H43" s="337">
        <f t="shared" si="15"/>
        <v>0</v>
      </c>
      <c r="I43" s="337">
        <f t="shared" si="16"/>
        <v>0</v>
      </c>
      <c r="J43" s="338">
        <f t="shared" si="17"/>
        <v>0</v>
      </c>
      <c r="K43" s="337">
        <f t="shared" si="18"/>
        <v>0</v>
      </c>
      <c r="L43" s="337">
        <f t="shared" si="19"/>
        <v>0</v>
      </c>
      <c r="M43" s="337">
        <f t="shared" si="20"/>
        <v>0</v>
      </c>
      <c r="N43" s="337">
        <f t="shared" si="21"/>
        <v>0</v>
      </c>
      <c r="O43" s="337">
        <f t="shared" si="22"/>
        <v>0</v>
      </c>
      <c r="P43" s="337"/>
      <c r="Q43" s="337"/>
      <c r="R43" s="337">
        <v>0</v>
      </c>
      <c r="S43" s="410">
        <f t="shared" si="23"/>
        <v>0</v>
      </c>
      <c r="T43" s="339"/>
    </row>
    <row r="44" spans="1:20" s="327" customFormat="1" ht="45" customHeight="1">
      <c r="A44" s="334">
        <f>'DADOS (F)'!A39</f>
        <v>28</v>
      </c>
      <c r="B44" s="335" t="str">
        <f>'DADOS (F)'!B39</f>
        <v>PASS SANTA CLARA</v>
      </c>
      <c r="C44" s="340"/>
      <c r="D44" s="340"/>
      <c r="E44" s="340">
        <f t="shared" si="14"/>
        <v>0</v>
      </c>
      <c r="F44" s="337">
        <f t="shared" si="5"/>
        <v>0.98</v>
      </c>
      <c r="G44" s="337">
        <f t="shared" si="6"/>
        <v>1.08</v>
      </c>
      <c r="H44" s="337">
        <f t="shared" si="15"/>
        <v>0</v>
      </c>
      <c r="I44" s="337">
        <f t="shared" si="16"/>
        <v>0</v>
      </c>
      <c r="J44" s="338">
        <f t="shared" si="17"/>
        <v>0</v>
      </c>
      <c r="K44" s="337">
        <f t="shared" si="18"/>
        <v>0</v>
      </c>
      <c r="L44" s="337">
        <f t="shared" si="19"/>
        <v>0</v>
      </c>
      <c r="M44" s="337">
        <f t="shared" si="20"/>
        <v>0</v>
      </c>
      <c r="N44" s="337">
        <f t="shared" si="21"/>
        <v>0</v>
      </c>
      <c r="O44" s="337">
        <f t="shared" si="22"/>
        <v>0</v>
      </c>
      <c r="P44" s="337"/>
      <c r="Q44" s="337"/>
      <c r="R44" s="337">
        <v>0</v>
      </c>
      <c r="S44" s="410">
        <f t="shared" si="23"/>
        <v>0</v>
      </c>
      <c r="T44" s="339"/>
    </row>
    <row r="45" spans="1:20" s="327" customFormat="1" ht="45" customHeight="1">
      <c r="A45" s="334">
        <f>'DADOS (F)'!A40</f>
        <v>29</v>
      </c>
      <c r="B45" s="335" t="str">
        <f>'DADOS (F)'!B40</f>
        <v>PASS AIRTON SENA 1</v>
      </c>
      <c r="C45" s="340">
        <v>3</v>
      </c>
      <c r="D45" s="340">
        <v>5</v>
      </c>
      <c r="E45" s="340">
        <f t="shared" si="14"/>
        <v>15</v>
      </c>
      <c r="F45" s="337">
        <f t="shared" si="5"/>
        <v>0.98</v>
      </c>
      <c r="G45" s="337">
        <f t="shared" si="6"/>
        <v>1.08</v>
      </c>
      <c r="H45" s="337">
        <f>(E45*F45*G45)-(E45*F45*0.5)</f>
        <v>8.5299999999999994</v>
      </c>
      <c r="I45" s="337">
        <f t="shared" si="16"/>
        <v>1.88</v>
      </c>
      <c r="J45" s="338">
        <f t="shared" si="17"/>
        <v>36.19</v>
      </c>
      <c r="K45" s="337">
        <f t="shared" si="18"/>
        <v>14.7</v>
      </c>
      <c r="L45" s="337">
        <f t="shared" si="19"/>
        <v>14.7</v>
      </c>
      <c r="M45" s="337">
        <f t="shared" si="20"/>
        <v>1.88</v>
      </c>
      <c r="N45" s="337">
        <f t="shared" si="21"/>
        <v>4.66</v>
      </c>
      <c r="O45" s="337">
        <f t="shared" si="22"/>
        <v>2</v>
      </c>
      <c r="P45" s="337"/>
      <c r="Q45" s="337"/>
      <c r="R45" s="337">
        <v>0</v>
      </c>
      <c r="S45" s="410">
        <f t="shared" si="23"/>
        <v>15</v>
      </c>
      <c r="T45" s="339"/>
    </row>
    <row r="46" spans="1:20" s="327" customFormat="1" ht="45" customHeight="1" thickBot="1">
      <c r="A46" s="334">
        <f>'DADOS (F)'!A41</f>
        <v>30</v>
      </c>
      <c r="B46" s="335" t="str">
        <f>'DADOS (F)'!B41</f>
        <v>PASS TIM LOPES</v>
      </c>
      <c r="C46" s="340">
        <v>3</v>
      </c>
      <c r="D46" s="340">
        <v>5</v>
      </c>
      <c r="E46" s="340">
        <f t="shared" si="14"/>
        <v>15</v>
      </c>
      <c r="F46" s="337">
        <f t="shared" si="5"/>
        <v>0.98</v>
      </c>
      <c r="G46" s="337">
        <f t="shared" si="6"/>
        <v>1.08</v>
      </c>
      <c r="H46" s="337">
        <f>(E46*F46*G46)-(E46*F46*0.5)</f>
        <v>8.5299999999999994</v>
      </c>
      <c r="I46" s="337">
        <f t="shared" si="16"/>
        <v>1.88</v>
      </c>
      <c r="J46" s="338">
        <f t="shared" si="17"/>
        <v>36.19</v>
      </c>
      <c r="K46" s="337">
        <f t="shared" si="18"/>
        <v>14.7</v>
      </c>
      <c r="L46" s="337">
        <f t="shared" si="19"/>
        <v>14.7</v>
      </c>
      <c r="M46" s="337">
        <f t="shared" si="20"/>
        <v>1.88</v>
      </c>
      <c r="N46" s="337">
        <f t="shared" si="21"/>
        <v>4.66</v>
      </c>
      <c r="O46" s="337">
        <f t="shared" si="22"/>
        <v>2</v>
      </c>
      <c r="P46" s="337"/>
      <c r="Q46" s="337"/>
      <c r="R46" s="337">
        <v>0</v>
      </c>
      <c r="S46" s="410">
        <f t="shared" si="23"/>
        <v>15</v>
      </c>
      <c r="T46" s="339"/>
    </row>
    <row r="47" spans="1:20" s="327" customFormat="1" ht="45" hidden="1" customHeight="1" thickBot="1">
      <c r="A47" s="334"/>
      <c r="B47" s="335"/>
      <c r="C47" s="340"/>
      <c r="D47" s="340"/>
      <c r="E47" s="340">
        <f t="shared" si="14"/>
        <v>0</v>
      </c>
      <c r="F47" s="337">
        <f t="shared" si="5"/>
        <v>0.98</v>
      </c>
      <c r="G47" s="337">
        <f t="shared" si="6"/>
        <v>1.08</v>
      </c>
      <c r="H47" s="337">
        <f t="shared" si="15"/>
        <v>0</v>
      </c>
      <c r="I47" s="337">
        <f t="shared" si="16"/>
        <v>0</v>
      </c>
      <c r="J47" s="338">
        <f t="shared" si="17"/>
        <v>0</v>
      </c>
      <c r="K47" s="337">
        <f t="shared" si="18"/>
        <v>0</v>
      </c>
      <c r="L47" s="337">
        <f t="shared" si="19"/>
        <v>0</v>
      </c>
      <c r="M47" s="337">
        <f t="shared" si="20"/>
        <v>0</v>
      </c>
      <c r="N47" s="337">
        <f t="shared" si="21"/>
        <v>0</v>
      </c>
      <c r="O47" s="337">
        <f t="shared" si="22"/>
        <v>0</v>
      </c>
      <c r="P47" s="337"/>
      <c r="Q47" s="337"/>
      <c r="R47" s="337">
        <v>0</v>
      </c>
      <c r="S47" s="410">
        <f t="shared" si="23"/>
        <v>0</v>
      </c>
      <c r="T47" s="339"/>
    </row>
    <row r="48" spans="1:20" s="327" customFormat="1" ht="45" hidden="1" customHeight="1" thickBot="1">
      <c r="A48" s="334"/>
      <c r="B48" s="335"/>
      <c r="C48" s="340"/>
      <c r="D48" s="340"/>
      <c r="E48" s="340">
        <f t="shared" si="14"/>
        <v>0</v>
      </c>
      <c r="F48" s="337">
        <f t="shared" si="5"/>
        <v>0.98</v>
      </c>
      <c r="G48" s="337">
        <f t="shared" si="6"/>
        <v>1.08</v>
      </c>
      <c r="H48" s="337">
        <f t="shared" si="15"/>
        <v>0</v>
      </c>
      <c r="I48" s="337">
        <f t="shared" si="16"/>
        <v>0</v>
      </c>
      <c r="J48" s="338">
        <f t="shared" si="17"/>
        <v>0</v>
      </c>
      <c r="K48" s="337">
        <f t="shared" si="18"/>
        <v>0</v>
      </c>
      <c r="L48" s="337">
        <f t="shared" si="19"/>
        <v>0</v>
      </c>
      <c r="M48" s="337">
        <f t="shared" si="20"/>
        <v>0</v>
      </c>
      <c r="N48" s="337">
        <f t="shared" si="21"/>
        <v>0</v>
      </c>
      <c r="O48" s="337">
        <f t="shared" si="22"/>
        <v>0</v>
      </c>
      <c r="P48" s="337"/>
      <c r="Q48" s="337"/>
      <c r="R48" s="337">
        <v>0</v>
      </c>
      <c r="S48" s="410">
        <f t="shared" si="23"/>
        <v>0</v>
      </c>
      <c r="T48" s="339"/>
    </row>
    <row r="49" spans="1:20" s="327" customFormat="1" ht="45" hidden="1" customHeight="1" thickBot="1">
      <c r="A49" s="334"/>
      <c r="B49" s="335"/>
      <c r="C49" s="340"/>
      <c r="D49" s="340"/>
      <c r="E49" s="340">
        <f t="shared" si="14"/>
        <v>0</v>
      </c>
      <c r="F49" s="337">
        <f t="shared" si="5"/>
        <v>0.98</v>
      </c>
      <c r="G49" s="337">
        <f t="shared" si="6"/>
        <v>1.08</v>
      </c>
      <c r="H49" s="337">
        <f t="shared" si="15"/>
        <v>0</v>
      </c>
      <c r="I49" s="337">
        <f t="shared" si="16"/>
        <v>0</v>
      </c>
      <c r="J49" s="338">
        <f t="shared" si="17"/>
        <v>0</v>
      </c>
      <c r="K49" s="337">
        <f t="shared" si="18"/>
        <v>0</v>
      </c>
      <c r="L49" s="337">
        <f t="shared" si="19"/>
        <v>0</v>
      </c>
      <c r="M49" s="337">
        <f t="shared" si="20"/>
        <v>0</v>
      </c>
      <c r="N49" s="337">
        <f t="shared" si="21"/>
        <v>0</v>
      </c>
      <c r="O49" s="337">
        <f t="shared" si="22"/>
        <v>0</v>
      </c>
      <c r="P49" s="337"/>
      <c r="Q49" s="337"/>
      <c r="R49" s="337">
        <v>0</v>
      </c>
      <c r="S49" s="410">
        <f t="shared" si="23"/>
        <v>0</v>
      </c>
      <c r="T49" s="339"/>
    </row>
    <row r="50" spans="1:20" s="327" customFormat="1" ht="45" hidden="1" customHeight="1" thickBot="1">
      <c r="A50" s="334"/>
      <c r="B50" s="335"/>
      <c r="C50" s="340"/>
      <c r="D50" s="340"/>
      <c r="E50" s="340">
        <f t="shared" si="14"/>
        <v>0</v>
      </c>
      <c r="F50" s="337">
        <f t="shared" si="5"/>
        <v>0.98</v>
      </c>
      <c r="G50" s="337">
        <f t="shared" si="6"/>
        <v>1.08</v>
      </c>
      <c r="H50" s="337">
        <f t="shared" si="15"/>
        <v>0</v>
      </c>
      <c r="I50" s="337">
        <f t="shared" si="16"/>
        <v>0</v>
      </c>
      <c r="J50" s="338">
        <f t="shared" si="17"/>
        <v>0</v>
      </c>
      <c r="K50" s="337">
        <f t="shared" si="18"/>
        <v>0</v>
      </c>
      <c r="L50" s="337">
        <f t="shared" si="19"/>
        <v>0</v>
      </c>
      <c r="M50" s="337">
        <f t="shared" si="20"/>
        <v>0</v>
      </c>
      <c r="N50" s="337">
        <f t="shared" si="21"/>
        <v>0</v>
      </c>
      <c r="O50" s="337">
        <f t="shared" si="22"/>
        <v>0</v>
      </c>
      <c r="P50" s="337"/>
      <c r="Q50" s="337"/>
      <c r="R50" s="337">
        <v>0</v>
      </c>
      <c r="S50" s="410">
        <f t="shared" si="23"/>
        <v>0</v>
      </c>
      <c r="T50" s="339"/>
    </row>
    <row r="51" spans="1:20" s="327" customFormat="1" ht="45" hidden="1" customHeight="1" thickBot="1">
      <c r="A51" s="334"/>
      <c r="B51" s="335"/>
      <c r="C51" s="340"/>
      <c r="D51" s="340"/>
      <c r="E51" s="340">
        <f t="shared" si="14"/>
        <v>0</v>
      </c>
      <c r="F51" s="337">
        <f t="shared" si="5"/>
        <v>0.98</v>
      </c>
      <c r="G51" s="337">
        <f t="shared" si="6"/>
        <v>1.08</v>
      </c>
      <c r="H51" s="337">
        <f t="shared" si="15"/>
        <v>0</v>
      </c>
      <c r="I51" s="337">
        <f t="shared" si="16"/>
        <v>0</v>
      </c>
      <c r="J51" s="338">
        <f t="shared" si="17"/>
        <v>0</v>
      </c>
      <c r="K51" s="337">
        <f t="shared" si="18"/>
        <v>0</v>
      </c>
      <c r="L51" s="337">
        <f t="shared" si="19"/>
        <v>0</v>
      </c>
      <c r="M51" s="337">
        <f t="shared" si="20"/>
        <v>0</v>
      </c>
      <c r="N51" s="337">
        <f t="shared" si="21"/>
        <v>0</v>
      </c>
      <c r="O51" s="337">
        <f t="shared" si="22"/>
        <v>0</v>
      </c>
      <c r="P51" s="337"/>
      <c r="Q51" s="337"/>
      <c r="R51" s="337">
        <v>0</v>
      </c>
      <c r="S51" s="410">
        <f t="shared" si="23"/>
        <v>0</v>
      </c>
      <c r="T51" s="339"/>
    </row>
    <row r="52" spans="1:20" s="327" customFormat="1" ht="45" hidden="1" customHeight="1" thickBot="1">
      <c r="A52" s="334"/>
      <c r="B52" s="335"/>
      <c r="C52" s="340"/>
      <c r="D52" s="340"/>
      <c r="E52" s="340">
        <f t="shared" si="14"/>
        <v>0</v>
      </c>
      <c r="F52" s="337">
        <f t="shared" si="5"/>
        <v>0.98</v>
      </c>
      <c r="G52" s="337">
        <f t="shared" si="6"/>
        <v>1.08</v>
      </c>
      <c r="H52" s="337">
        <f t="shared" si="15"/>
        <v>0</v>
      </c>
      <c r="I52" s="337">
        <f t="shared" si="16"/>
        <v>0</v>
      </c>
      <c r="J52" s="338">
        <f t="shared" si="17"/>
        <v>0</v>
      </c>
      <c r="K52" s="337">
        <f t="shared" si="18"/>
        <v>0</v>
      </c>
      <c r="L52" s="337">
        <f t="shared" si="19"/>
        <v>0</v>
      </c>
      <c r="M52" s="337">
        <f t="shared" si="20"/>
        <v>0</v>
      </c>
      <c r="N52" s="337">
        <f t="shared" si="21"/>
        <v>0</v>
      </c>
      <c r="O52" s="337">
        <f t="shared" si="22"/>
        <v>0</v>
      </c>
      <c r="P52" s="337"/>
      <c r="Q52" s="337"/>
      <c r="R52" s="337">
        <v>0</v>
      </c>
      <c r="S52" s="410">
        <f t="shared" si="23"/>
        <v>0</v>
      </c>
      <c r="T52" s="339"/>
    </row>
    <row r="53" spans="1:20" s="327" customFormat="1" ht="45" hidden="1" customHeight="1" thickBot="1">
      <c r="A53" s="334"/>
      <c r="B53" s="335"/>
      <c r="C53" s="340"/>
      <c r="D53" s="340"/>
      <c r="E53" s="340">
        <f t="shared" si="14"/>
        <v>0</v>
      </c>
      <c r="F53" s="337">
        <f t="shared" si="5"/>
        <v>0.98</v>
      </c>
      <c r="G53" s="337">
        <f t="shared" si="6"/>
        <v>1.08</v>
      </c>
      <c r="H53" s="337">
        <f t="shared" si="15"/>
        <v>0</v>
      </c>
      <c r="I53" s="337">
        <f t="shared" si="16"/>
        <v>0</v>
      </c>
      <c r="J53" s="338">
        <f t="shared" si="17"/>
        <v>0</v>
      </c>
      <c r="K53" s="337">
        <f t="shared" si="18"/>
        <v>0</v>
      </c>
      <c r="L53" s="337">
        <f t="shared" si="19"/>
        <v>0</v>
      </c>
      <c r="M53" s="337">
        <f t="shared" si="20"/>
        <v>0</v>
      </c>
      <c r="N53" s="337">
        <f t="shared" si="21"/>
        <v>0</v>
      </c>
      <c r="O53" s="337">
        <f t="shared" si="22"/>
        <v>0</v>
      </c>
      <c r="P53" s="337"/>
      <c r="Q53" s="337"/>
      <c r="R53" s="337">
        <v>0</v>
      </c>
      <c r="S53" s="410">
        <f t="shared" si="23"/>
        <v>0</v>
      </c>
      <c r="T53" s="339"/>
    </row>
    <row r="54" spans="1:20" s="327" customFormat="1" ht="45" hidden="1" customHeight="1" thickBot="1">
      <c r="A54" s="334"/>
      <c r="B54" s="335"/>
      <c r="C54" s="340"/>
      <c r="D54" s="340"/>
      <c r="E54" s="340">
        <f t="shared" si="14"/>
        <v>0</v>
      </c>
      <c r="F54" s="337">
        <f t="shared" si="5"/>
        <v>0.98</v>
      </c>
      <c r="G54" s="337">
        <f t="shared" si="6"/>
        <v>1.08</v>
      </c>
      <c r="H54" s="337">
        <f t="shared" si="15"/>
        <v>0</v>
      </c>
      <c r="I54" s="337">
        <f t="shared" si="16"/>
        <v>0</v>
      </c>
      <c r="J54" s="338">
        <f t="shared" si="17"/>
        <v>0</v>
      </c>
      <c r="K54" s="337">
        <f t="shared" si="18"/>
        <v>0</v>
      </c>
      <c r="L54" s="337">
        <f t="shared" si="19"/>
        <v>0</v>
      </c>
      <c r="M54" s="337">
        <f t="shared" si="20"/>
        <v>0</v>
      </c>
      <c r="N54" s="337">
        <f t="shared" si="21"/>
        <v>0</v>
      </c>
      <c r="O54" s="337">
        <f t="shared" si="22"/>
        <v>0</v>
      </c>
      <c r="P54" s="337"/>
      <c r="Q54" s="337"/>
      <c r="R54" s="337">
        <v>0</v>
      </c>
      <c r="S54" s="410">
        <f t="shared" si="23"/>
        <v>0</v>
      </c>
      <c r="T54" s="339"/>
    </row>
    <row r="55" spans="1:20" s="327" customFormat="1" ht="45" hidden="1" customHeight="1" thickBot="1">
      <c r="A55" s="334"/>
      <c r="B55" s="335"/>
      <c r="C55" s="340"/>
      <c r="D55" s="340"/>
      <c r="E55" s="340">
        <f t="shared" si="14"/>
        <v>0</v>
      </c>
      <c r="F55" s="337">
        <f t="shared" si="5"/>
        <v>0.98</v>
      </c>
      <c r="G55" s="337">
        <f t="shared" si="6"/>
        <v>1.08</v>
      </c>
      <c r="H55" s="337">
        <f t="shared" si="15"/>
        <v>0</v>
      </c>
      <c r="I55" s="337">
        <f t="shared" si="16"/>
        <v>0</v>
      </c>
      <c r="J55" s="338">
        <f t="shared" si="17"/>
        <v>0</v>
      </c>
      <c r="K55" s="337">
        <f t="shared" si="18"/>
        <v>0</v>
      </c>
      <c r="L55" s="337">
        <f t="shared" si="19"/>
        <v>0</v>
      </c>
      <c r="M55" s="337">
        <f t="shared" si="20"/>
        <v>0</v>
      </c>
      <c r="N55" s="337">
        <f t="shared" si="21"/>
        <v>0</v>
      </c>
      <c r="O55" s="337">
        <f t="shared" si="22"/>
        <v>0</v>
      </c>
      <c r="P55" s="337"/>
      <c r="Q55" s="337"/>
      <c r="R55" s="337">
        <v>0</v>
      </c>
      <c r="S55" s="410">
        <f t="shared" si="23"/>
        <v>0</v>
      </c>
      <c r="T55" s="339"/>
    </row>
    <row r="56" spans="1:20" s="327" customFormat="1" ht="45" hidden="1" customHeight="1" thickBot="1">
      <c r="A56" s="334"/>
      <c r="B56" s="335"/>
      <c r="C56" s="340"/>
      <c r="D56" s="340"/>
      <c r="E56" s="340">
        <f t="shared" si="14"/>
        <v>0</v>
      </c>
      <c r="F56" s="337">
        <f t="shared" si="5"/>
        <v>0.98</v>
      </c>
      <c r="G56" s="337">
        <f t="shared" si="6"/>
        <v>1.08</v>
      </c>
      <c r="H56" s="337">
        <f t="shared" si="15"/>
        <v>0</v>
      </c>
      <c r="I56" s="337">
        <f t="shared" si="16"/>
        <v>0</v>
      </c>
      <c r="J56" s="338">
        <f t="shared" si="17"/>
        <v>0</v>
      </c>
      <c r="K56" s="337">
        <f t="shared" si="18"/>
        <v>0</v>
      </c>
      <c r="L56" s="337">
        <f t="shared" si="19"/>
        <v>0</v>
      </c>
      <c r="M56" s="337">
        <f t="shared" si="20"/>
        <v>0</v>
      </c>
      <c r="N56" s="337">
        <f t="shared" si="21"/>
        <v>0</v>
      </c>
      <c r="O56" s="337">
        <f t="shared" si="22"/>
        <v>0</v>
      </c>
      <c r="P56" s="337"/>
      <c r="Q56" s="337"/>
      <c r="R56" s="337">
        <v>0</v>
      </c>
      <c r="S56" s="410">
        <f t="shared" si="23"/>
        <v>0</v>
      </c>
      <c r="T56" s="339"/>
    </row>
    <row r="57" spans="1:20" s="327" customFormat="1" ht="45" hidden="1" customHeight="1" thickBot="1">
      <c r="A57" s="334"/>
      <c r="B57" s="335"/>
      <c r="C57" s="340"/>
      <c r="D57" s="340"/>
      <c r="E57" s="340">
        <f t="shared" si="14"/>
        <v>0</v>
      </c>
      <c r="F57" s="337">
        <f t="shared" si="5"/>
        <v>0.98</v>
      </c>
      <c r="G57" s="337">
        <f t="shared" si="6"/>
        <v>1.08</v>
      </c>
      <c r="H57" s="337">
        <f t="shared" si="15"/>
        <v>0</v>
      </c>
      <c r="I57" s="337">
        <f t="shared" si="16"/>
        <v>0</v>
      </c>
      <c r="J57" s="338">
        <f t="shared" si="17"/>
        <v>0</v>
      </c>
      <c r="K57" s="337">
        <f t="shared" si="18"/>
        <v>0</v>
      </c>
      <c r="L57" s="337">
        <f t="shared" si="19"/>
        <v>0</v>
      </c>
      <c r="M57" s="337">
        <f t="shared" si="20"/>
        <v>0</v>
      </c>
      <c r="N57" s="337">
        <f t="shared" si="21"/>
        <v>0</v>
      </c>
      <c r="O57" s="337">
        <f t="shared" si="22"/>
        <v>0</v>
      </c>
      <c r="P57" s="337"/>
      <c r="Q57" s="337"/>
      <c r="R57" s="337">
        <v>0</v>
      </c>
      <c r="S57" s="410">
        <f t="shared" si="23"/>
        <v>0</v>
      </c>
      <c r="T57" s="339"/>
    </row>
    <row r="58" spans="1:20" s="327" customFormat="1" ht="45" customHeight="1" thickBot="1">
      <c r="A58" s="1625" t="s">
        <v>21</v>
      </c>
      <c r="B58" s="1626"/>
      <c r="C58" s="341"/>
      <c r="D58" s="341"/>
      <c r="E58" s="341">
        <f>SUM(E20:E56)</f>
        <v>405</v>
      </c>
      <c r="F58" s="341"/>
      <c r="G58" s="341"/>
      <c r="H58" s="341">
        <f t="shared" ref="H58:S58" si="24">SUM(H20:H39)</f>
        <v>173.36</v>
      </c>
      <c r="I58" s="341">
        <f t="shared" si="24"/>
        <v>38.31</v>
      </c>
      <c r="J58" s="341">
        <f t="shared" si="24"/>
        <v>737.48</v>
      </c>
      <c r="K58" s="341">
        <f t="shared" si="24"/>
        <v>298.89999999999998</v>
      </c>
      <c r="L58" s="341">
        <f t="shared" si="24"/>
        <v>298.89999999999998</v>
      </c>
      <c r="M58" s="341">
        <f t="shared" si="24"/>
        <v>38.31</v>
      </c>
      <c r="N58" s="341">
        <f t="shared" si="24"/>
        <v>94.54</v>
      </c>
      <c r="O58" s="341">
        <f t="shared" si="24"/>
        <v>40.51</v>
      </c>
      <c r="P58" s="341">
        <f t="shared" si="24"/>
        <v>2176.1999999999998</v>
      </c>
      <c r="Q58" s="341">
        <f t="shared" si="24"/>
        <v>529.54</v>
      </c>
      <c r="R58" s="341">
        <f t="shared" si="24"/>
        <v>0</v>
      </c>
      <c r="S58" s="341">
        <f t="shared" si="24"/>
        <v>305</v>
      </c>
      <c r="T58" s="342"/>
    </row>
    <row r="59" spans="1:20" s="327" customFormat="1" ht="45" customHeight="1" thickBot="1">
      <c r="A59" s="411"/>
      <c r="B59" s="343"/>
      <c r="C59" s="343"/>
      <c r="D59" s="343"/>
      <c r="E59" s="343"/>
      <c r="F59" s="344"/>
      <c r="G59" s="343"/>
      <c r="H59" s="343"/>
      <c r="I59" s="343"/>
      <c r="K59" s="343"/>
      <c r="L59" s="343"/>
      <c r="M59" s="343"/>
      <c r="N59" s="343"/>
      <c r="O59" s="343"/>
      <c r="P59" s="343"/>
      <c r="Q59" s="343"/>
      <c r="R59" s="343"/>
      <c r="S59" s="412"/>
    </row>
    <row r="60" spans="1:20" s="327" customFormat="1" ht="45" customHeight="1" thickBot="1">
      <c r="A60" s="1627" t="s">
        <v>308</v>
      </c>
      <c r="B60" s="1628"/>
      <c r="C60" s="1628"/>
      <c r="D60" s="1628"/>
      <c r="E60" s="1628"/>
      <c r="F60" s="1628"/>
      <c r="G60" s="1628"/>
      <c r="H60" s="1628"/>
      <c r="I60" s="1628"/>
      <c r="J60" s="1628"/>
      <c r="K60" s="1628"/>
      <c r="L60" s="1628"/>
      <c r="M60" s="1628"/>
      <c r="N60" s="1628"/>
      <c r="O60" s="1628"/>
      <c r="P60" s="1628"/>
      <c r="Q60" s="1628"/>
      <c r="R60" s="1628"/>
      <c r="S60" s="1629"/>
      <c r="T60" s="326"/>
    </row>
    <row r="61" spans="1:20" s="327" customFormat="1" ht="45" customHeight="1">
      <c r="A61" s="1630" t="s">
        <v>6</v>
      </c>
      <c r="B61" s="1633" t="s">
        <v>311</v>
      </c>
      <c r="C61" s="1636" t="s">
        <v>314</v>
      </c>
      <c r="D61" s="1636"/>
      <c r="E61" s="1636"/>
      <c r="F61" s="1645" t="s">
        <v>446</v>
      </c>
      <c r="G61" s="1645"/>
      <c r="H61" s="1645"/>
      <c r="I61" s="1645" t="s">
        <v>447</v>
      </c>
      <c r="J61" s="1643" t="s">
        <v>450</v>
      </c>
      <c r="K61" s="1645" t="s">
        <v>303</v>
      </c>
      <c r="L61" s="1645" t="s">
        <v>305</v>
      </c>
      <c r="M61" s="1647" t="s">
        <v>304</v>
      </c>
      <c r="N61" s="1638" t="s">
        <v>448</v>
      </c>
      <c r="O61" s="1638" t="s">
        <v>497</v>
      </c>
      <c r="P61" s="1643" t="s">
        <v>943</v>
      </c>
      <c r="Q61" s="1643" t="s">
        <v>944</v>
      </c>
      <c r="R61" s="1638" t="s">
        <v>449</v>
      </c>
      <c r="S61" s="1641" t="s">
        <v>306</v>
      </c>
      <c r="T61" s="326"/>
    </row>
    <row r="62" spans="1:20" s="327" customFormat="1" ht="45" customHeight="1">
      <c r="A62" s="1631"/>
      <c r="B62" s="1634"/>
      <c r="C62" s="1637"/>
      <c r="D62" s="1637"/>
      <c r="E62" s="1637"/>
      <c r="F62" s="1646"/>
      <c r="G62" s="1646"/>
      <c r="H62" s="1646"/>
      <c r="I62" s="1646"/>
      <c r="J62" s="1644"/>
      <c r="K62" s="1646"/>
      <c r="L62" s="1646"/>
      <c r="M62" s="1648"/>
      <c r="N62" s="1640"/>
      <c r="O62" s="1640"/>
      <c r="P62" s="1644"/>
      <c r="Q62" s="1644"/>
      <c r="R62" s="1639"/>
      <c r="S62" s="1642"/>
      <c r="T62" s="326"/>
    </row>
    <row r="63" spans="1:20" s="327" customFormat="1" ht="45" customHeight="1">
      <c r="A63" s="1631"/>
      <c r="B63" s="1634"/>
      <c r="C63" s="328" t="s">
        <v>146</v>
      </c>
      <c r="D63" s="329" t="s">
        <v>316</v>
      </c>
      <c r="E63" s="328" t="s">
        <v>302</v>
      </c>
      <c r="F63" s="328" t="s">
        <v>296</v>
      </c>
      <c r="G63" s="328" t="s">
        <v>301</v>
      </c>
      <c r="H63" s="328" t="s">
        <v>21</v>
      </c>
      <c r="I63" s="1646"/>
      <c r="J63" s="1644"/>
      <c r="K63" s="1646"/>
      <c r="L63" s="1646"/>
      <c r="M63" s="1649"/>
      <c r="N63" s="328" t="s">
        <v>21</v>
      </c>
      <c r="O63" s="328" t="s">
        <v>21</v>
      </c>
      <c r="P63" s="1644"/>
      <c r="Q63" s="1644"/>
      <c r="R63" s="1640"/>
      <c r="S63" s="1642"/>
      <c r="T63" s="326"/>
    </row>
    <row r="64" spans="1:20" s="327" customFormat="1" ht="60" customHeight="1">
      <c r="A64" s="1631"/>
      <c r="B64" s="1634"/>
      <c r="C64" s="487"/>
      <c r="D64" s="487"/>
      <c r="E64" s="487" t="s">
        <v>49</v>
      </c>
      <c r="F64" s="487" t="s">
        <v>52</v>
      </c>
      <c r="G64" s="487" t="s">
        <v>14</v>
      </c>
      <c r="H64" s="487" t="s">
        <v>621</v>
      </c>
      <c r="I64" s="487" t="s">
        <v>626</v>
      </c>
      <c r="J64" s="486" t="s">
        <v>942</v>
      </c>
      <c r="K64" s="487" t="s">
        <v>623</v>
      </c>
      <c r="L64" s="487" t="s">
        <v>624</v>
      </c>
      <c r="M64" s="487" t="s">
        <v>625</v>
      </c>
      <c r="N64" s="487" t="s">
        <v>627</v>
      </c>
      <c r="O64" s="487" t="s">
        <v>628</v>
      </c>
      <c r="P64" s="486" t="s">
        <v>942</v>
      </c>
      <c r="Q64" s="486" t="s">
        <v>942</v>
      </c>
      <c r="R64" s="487" t="s">
        <v>629</v>
      </c>
      <c r="S64" s="485" t="s">
        <v>630</v>
      </c>
      <c r="T64" s="326"/>
    </row>
    <row r="65" spans="1:20" s="327" customFormat="1" ht="60" customHeight="1" thickBot="1">
      <c r="A65" s="1632"/>
      <c r="B65" s="1635"/>
      <c r="C65" s="330" t="s">
        <v>300</v>
      </c>
      <c r="D65" s="330" t="s">
        <v>297</v>
      </c>
      <c r="E65" s="330" t="s">
        <v>297</v>
      </c>
      <c r="F65" s="330" t="s">
        <v>478</v>
      </c>
      <c r="G65" s="332" t="s">
        <v>631</v>
      </c>
      <c r="H65" s="330"/>
      <c r="I65" s="330"/>
      <c r="J65" s="331">
        <v>15.4</v>
      </c>
      <c r="K65" s="330"/>
      <c r="L65" s="330"/>
      <c r="M65" s="330"/>
      <c r="N65" s="330"/>
      <c r="O65" s="332"/>
      <c r="P65" s="332">
        <v>30</v>
      </c>
      <c r="Q65" s="332">
        <v>7.3</v>
      </c>
      <c r="R65" s="332" t="s">
        <v>495</v>
      </c>
      <c r="S65" s="409"/>
      <c r="T65" s="333"/>
    </row>
    <row r="66" spans="1:20" s="327" customFormat="1" ht="30" customHeight="1">
      <c r="A66" s="334">
        <f t="shared" ref="A66:B92" si="25">A20</f>
        <v>1</v>
      </c>
      <c r="B66" s="334" t="str">
        <f t="shared" si="25"/>
        <v>R. DA PUPUNHEIRA</v>
      </c>
      <c r="C66" s="336">
        <v>1</v>
      </c>
      <c r="D66" s="336"/>
      <c r="E66" s="336">
        <f>C66*D66</f>
        <v>0</v>
      </c>
      <c r="F66" s="337">
        <f>0.72+0.5</f>
        <v>1.22</v>
      </c>
      <c r="G66" s="337">
        <f>((0.72+0.6)+((0.72+0.6)+(E66*0.5%)))/2</f>
        <v>1.32</v>
      </c>
      <c r="H66" s="337">
        <f t="shared" ref="H66:H100" si="26">E66*F66*G66</f>
        <v>0</v>
      </c>
      <c r="I66" s="337">
        <f>M66</f>
        <v>0</v>
      </c>
      <c r="J66" s="338">
        <f>I66*1.25*$J$19</f>
        <v>0</v>
      </c>
      <c r="K66" s="337">
        <f t="shared" ref="K66:K100" si="27">E66*F66</f>
        <v>0</v>
      </c>
      <c r="L66" s="337">
        <f>K66</f>
        <v>0</v>
      </c>
      <c r="M66" s="337">
        <f t="shared" ref="M66:M100" si="28">(3.14*0.3^2)*E66</f>
        <v>0</v>
      </c>
      <c r="N66" s="337">
        <f>(H66-M66)*70%</f>
        <v>0</v>
      </c>
      <c r="O66" s="337">
        <f>(H66-M66)*30%</f>
        <v>0</v>
      </c>
      <c r="P66" s="337"/>
      <c r="Q66" s="337"/>
      <c r="R66" s="337">
        <f t="shared" ref="R66:R100" si="29">IF(G66&gt;1.5,D66*G66*2,)</f>
        <v>0</v>
      </c>
      <c r="S66" s="410">
        <f t="shared" ref="S66:S100" si="30">E66</f>
        <v>0</v>
      </c>
      <c r="T66" s="339"/>
    </row>
    <row r="67" spans="1:20" s="327" customFormat="1" ht="30" customHeight="1">
      <c r="A67" s="334">
        <f t="shared" si="25"/>
        <v>2</v>
      </c>
      <c r="B67" s="334" t="str">
        <f t="shared" si="25"/>
        <v>R. TANGERINA</v>
      </c>
      <c r="C67" s="340">
        <v>1</v>
      </c>
      <c r="D67" s="1300"/>
      <c r="E67" s="337">
        <f>C67*D67</f>
        <v>0</v>
      </c>
      <c r="F67" s="337">
        <f t="shared" ref="F67:F100" si="31">0.72+0.5</f>
        <v>1.22</v>
      </c>
      <c r="G67" s="337">
        <f t="shared" ref="G67:G100" si="32">((0.72+0.6)+((0.72+0.6)+(E67*0.5%)))/2</f>
        <v>1.32</v>
      </c>
      <c r="H67" s="337">
        <f t="shared" si="26"/>
        <v>0</v>
      </c>
      <c r="I67" s="337">
        <f t="shared" ref="I67:I100" si="33">M67</f>
        <v>0</v>
      </c>
      <c r="J67" s="338">
        <f t="shared" ref="J67:J100" si="34">I67*1.25*$J$19</f>
        <v>0</v>
      </c>
      <c r="K67" s="337">
        <f t="shared" si="27"/>
        <v>0</v>
      </c>
      <c r="L67" s="337">
        <f t="shared" ref="L67:L100" si="35">K67</f>
        <v>0</v>
      </c>
      <c r="M67" s="337">
        <f t="shared" si="28"/>
        <v>0</v>
      </c>
      <c r="N67" s="337">
        <f t="shared" ref="N67:N100" si="36">(H67-M67)*70%</f>
        <v>0</v>
      </c>
      <c r="O67" s="337">
        <f t="shared" ref="O67:O100" si="37">(H67-M67)*30%</f>
        <v>0</v>
      </c>
      <c r="P67" s="338">
        <f>N67*1.3*$P$19</f>
        <v>0</v>
      </c>
      <c r="Q67" s="338">
        <f>N67*1.3*$Q$19</f>
        <v>0</v>
      </c>
      <c r="R67" s="337">
        <f t="shared" si="29"/>
        <v>0</v>
      </c>
      <c r="S67" s="410">
        <f t="shared" si="30"/>
        <v>0</v>
      </c>
      <c r="T67" s="339"/>
    </row>
    <row r="68" spans="1:20" s="327" customFormat="1" ht="30" customHeight="1">
      <c r="A68" s="334">
        <f t="shared" si="25"/>
        <v>3</v>
      </c>
      <c r="B68" s="334" t="str">
        <f t="shared" si="25"/>
        <v>PASS. LARANJEIRA</v>
      </c>
      <c r="C68" s="340">
        <v>1</v>
      </c>
      <c r="D68" s="337"/>
      <c r="E68" s="337">
        <f t="shared" ref="E68:E100" si="38">C68*D68</f>
        <v>0</v>
      </c>
      <c r="F68" s="337">
        <f t="shared" si="31"/>
        <v>1.22</v>
      </c>
      <c r="G68" s="337">
        <f t="shared" si="32"/>
        <v>1.32</v>
      </c>
      <c r="H68" s="337">
        <f t="shared" si="26"/>
        <v>0</v>
      </c>
      <c r="I68" s="337">
        <f t="shared" si="33"/>
        <v>0</v>
      </c>
      <c r="J68" s="338">
        <f t="shared" si="34"/>
        <v>0</v>
      </c>
      <c r="K68" s="337">
        <f t="shared" si="27"/>
        <v>0</v>
      </c>
      <c r="L68" s="337">
        <f t="shared" si="35"/>
        <v>0</v>
      </c>
      <c r="M68" s="337">
        <f t="shared" si="28"/>
        <v>0</v>
      </c>
      <c r="N68" s="337">
        <f t="shared" si="36"/>
        <v>0</v>
      </c>
      <c r="O68" s="337">
        <f t="shared" si="37"/>
        <v>0</v>
      </c>
      <c r="P68" s="338">
        <f t="shared" ref="P68:P85" si="39">N68*1.3*$P$19</f>
        <v>0</v>
      </c>
      <c r="Q68" s="338">
        <f t="shared" ref="Q68:Q85" si="40">N68*1.3*$Q$19</f>
        <v>0</v>
      </c>
      <c r="R68" s="337">
        <f t="shared" si="29"/>
        <v>0</v>
      </c>
      <c r="S68" s="410">
        <f t="shared" si="30"/>
        <v>0</v>
      </c>
      <c r="T68" s="339"/>
    </row>
    <row r="69" spans="1:20" s="327" customFormat="1" ht="30" customHeight="1">
      <c r="A69" s="334">
        <f t="shared" si="25"/>
        <v>4</v>
      </c>
      <c r="B69" s="334" t="str">
        <f t="shared" si="25"/>
        <v xml:space="preserve">TV. FÉ EM DEUS </v>
      </c>
      <c r="C69" s="340">
        <v>1</v>
      </c>
      <c r="D69" s="337"/>
      <c r="E69" s="337">
        <f t="shared" si="38"/>
        <v>0</v>
      </c>
      <c r="F69" s="337">
        <f t="shared" si="31"/>
        <v>1.22</v>
      </c>
      <c r="G69" s="337">
        <f t="shared" si="32"/>
        <v>1.32</v>
      </c>
      <c r="H69" s="337">
        <f t="shared" si="26"/>
        <v>0</v>
      </c>
      <c r="I69" s="337">
        <f t="shared" si="33"/>
        <v>0</v>
      </c>
      <c r="J69" s="338">
        <f t="shared" si="34"/>
        <v>0</v>
      </c>
      <c r="K69" s="337">
        <f t="shared" si="27"/>
        <v>0</v>
      </c>
      <c r="L69" s="337">
        <f t="shared" si="35"/>
        <v>0</v>
      </c>
      <c r="M69" s="337">
        <f t="shared" si="28"/>
        <v>0</v>
      </c>
      <c r="N69" s="337">
        <f t="shared" si="36"/>
        <v>0</v>
      </c>
      <c r="O69" s="337">
        <f t="shared" si="37"/>
        <v>0</v>
      </c>
      <c r="P69" s="338">
        <f t="shared" si="39"/>
        <v>0</v>
      </c>
      <c r="Q69" s="338">
        <f t="shared" si="40"/>
        <v>0</v>
      </c>
      <c r="R69" s="337">
        <f t="shared" si="29"/>
        <v>0</v>
      </c>
      <c r="S69" s="410">
        <f t="shared" si="30"/>
        <v>0</v>
      </c>
      <c r="T69" s="339"/>
    </row>
    <row r="70" spans="1:20" s="327" customFormat="1" ht="30" customHeight="1">
      <c r="A70" s="334">
        <f t="shared" si="25"/>
        <v>5</v>
      </c>
      <c r="B70" s="334" t="str">
        <f t="shared" si="25"/>
        <v>RUA PAULO ASSUNÇÃO</v>
      </c>
      <c r="C70" s="340">
        <v>1</v>
      </c>
      <c r="D70" s="337"/>
      <c r="E70" s="337">
        <f t="shared" si="38"/>
        <v>0</v>
      </c>
      <c r="F70" s="337">
        <f t="shared" si="31"/>
        <v>1.22</v>
      </c>
      <c r="G70" s="337">
        <f t="shared" si="32"/>
        <v>1.32</v>
      </c>
      <c r="H70" s="337">
        <f t="shared" si="26"/>
        <v>0</v>
      </c>
      <c r="I70" s="337">
        <f t="shared" si="33"/>
        <v>0</v>
      </c>
      <c r="J70" s="338">
        <f t="shared" si="34"/>
        <v>0</v>
      </c>
      <c r="K70" s="337">
        <f t="shared" si="27"/>
        <v>0</v>
      </c>
      <c r="L70" s="337">
        <f t="shared" si="35"/>
        <v>0</v>
      </c>
      <c r="M70" s="337">
        <f t="shared" si="28"/>
        <v>0</v>
      </c>
      <c r="N70" s="337">
        <f t="shared" si="36"/>
        <v>0</v>
      </c>
      <c r="O70" s="337">
        <f t="shared" si="37"/>
        <v>0</v>
      </c>
      <c r="P70" s="338">
        <f t="shared" si="39"/>
        <v>0</v>
      </c>
      <c r="Q70" s="338">
        <f t="shared" si="40"/>
        <v>0</v>
      </c>
      <c r="R70" s="337">
        <f t="shared" si="29"/>
        <v>0</v>
      </c>
      <c r="S70" s="410">
        <f t="shared" si="30"/>
        <v>0</v>
      </c>
      <c r="T70" s="339"/>
    </row>
    <row r="71" spans="1:20" s="327" customFormat="1" ht="30" customHeight="1">
      <c r="A71" s="334">
        <f t="shared" si="25"/>
        <v>6</v>
      </c>
      <c r="B71" s="334" t="str">
        <f t="shared" si="25"/>
        <v>PASS PAULO ASSUNÇÃO</v>
      </c>
      <c r="C71" s="340">
        <v>1</v>
      </c>
      <c r="D71" s="337"/>
      <c r="E71" s="337">
        <f t="shared" si="38"/>
        <v>0</v>
      </c>
      <c r="F71" s="337">
        <f t="shared" si="31"/>
        <v>1.22</v>
      </c>
      <c r="G71" s="337">
        <f t="shared" si="32"/>
        <v>1.32</v>
      </c>
      <c r="H71" s="337">
        <f t="shared" si="26"/>
        <v>0</v>
      </c>
      <c r="I71" s="337">
        <f t="shared" si="33"/>
        <v>0</v>
      </c>
      <c r="J71" s="338">
        <f t="shared" si="34"/>
        <v>0</v>
      </c>
      <c r="K71" s="337">
        <f t="shared" si="27"/>
        <v>0</v>
      </c>
      <c r="L71" s="337">
        <f t="shared" si="35"/>
        <v>0</v>
      </c>
      <c r="M71" s="337">
        <f t="shared" si="28"/>
        <v>0</v>
      </c>
      <c r="N71" s="337">
        <f t="shared" si="36"/>
        <v>0</v>
      </c>
      <c r="O71" s="337">
        <f t="shared" si="37"/>
        <v>0</v>
      </c>
      <c r="P71" s="338">
        <f t="shared" si="39"/>
        <v>0</v>
      </c>
      <c r="Q71" s="338">
        <f t="shared" si="40"/>
        <v>0</v>
      </c>
      <c r="R71" s="337">
        <f t="shared" si="29"/>
        <v>0</v>
      </c>
      <c r="S71" s="410">
        <f t="shared" si="30"/>
        <v>0</v>
      </c>
      <c r="T71" s="339"/>
    </row>
    <row r="72" spans="1:20" s="327" customFormat="1" ht="30" customHeight="1">
      <c r="A72" s="334">
        <f t="shared" si="25"/>
        <v>7</v>
      </c>
      <c r="B72" s="334" t="str">
        <f t="shared" si="25"/>
        <v>RUA DO PISCINÃO</v>
      </c>
      <c r="C72" s="340">
        <v>1</v>
      </c>
      <c r="D72" s="337"/>
      <c r="E72" s="337">
        <f t="shared" si="38"/>
        <v>0</v>
      </c>
      <c r="F72" s="337">
        <f t="shared" si="31"/>
        <v>1.22</v>
      </c>
      <c r="G72" s="337">
        <f t="shared" si="32"/>
        <v>1.32</v>
      </c>
      <c r="H72" s="337">
        <f t="shared" si="26"/>
        <v>0</v>
      </c>
      <c r="I72" s="337">
        <f t="shared" si="33"/>
        <v>0</v>
      </c>
      <c r="J72" s="338">
        <f t="shared" si="34"/>
        <v>0</v>
      </c>
      <c r="K72" s="337">
        <f t="shared" si="27"/>
        <v>0</v>
      </c>
      <c r="L72" s="337">
        <f t="shared" si="35"/>
        <v>0</v>
      </c>
      <c r="M72" s="337">
        <f t="shared" si="28"/>
        <v>0</v>
      </c>
      <c r="N72" s="337">
        <f t="shared" si="36"/>
        <v>0</v>
      </c>
      <c r="O72" s="337">
        <f t="shared" si="37"/>
        <v>0</v>
      </c>
      <c r="P72" s="338">
        <f t="shared" si="39"/>
        <v>0</v>
      </c>
      <c r="Q72" s="338">
        <f t="shared" si="40"/>
        <v>0</v>
      </c>
      <c r="R72" s="337">
        <f t="shared" si="29"/>
        <v>0</v>
      </c>
      <c r="S72" s="410">
        <f t="shared" si="30"/>
        <v>0</v>
      </c>
      <c r="T72" s="339"/>
    </row>
    <row r="73" spans="1:20" s="327" customFormat="1" ht="30" customHeight="1">
      <c r="A73" s="334">
        <f t="shared" si="25"/>
        <v>8</v>
      </c>
      <c r="B73" s="334" t="str">
        <f t="shared" si="25"/>
        <v>TV DEUS PROVERÁ</v>
      </c>
      <c r="C73" s="340">
        <v>1</v>
      </c>
      <c r="D73" s="337">
        <v>179</v>
      </c>
      <c r="E73" s="337">
        <f t="shared" si="38"/>
        <v>179</v>
      </c>
      <c r="F73" s="337">
        <f t="shared" si="31"/>
        <v>1.22</v>
      </c>
      <c r="G73" s="337">
        <f t="shared" si="32"/>
        <v>1.77</v>
      </c>
      <c r="H73" s="337">
        <f>(E73*F73*G73)-(E73*F73*0.5)</f>
        <v>277.33999999999997</v>
      </c>
      <c r="I73" s="337">
        <f t="shared" si="33"/>
        <v>50.59</v>
      </c>
      <c r="J73" s="338">
        <f t="shared" si="34"/>
        <v>973.86</v>
      </c>
      <c r="K73" s="337">
        <f t="shared" si="27"/>
        <v>218.38</v>
      </c>
      <c r="L73" s="337">
        <f t="shared" si="35"/>
        <v>218.38</v>
      </c>
      <c r="M73" s="337">
        <f t="shared" si="28"/>
        <v>50.59</v>
      </c>
      <c r="N73" s="337">
        <f t="shared" si="36"/>
        <v>158.72999999999999</v>
      </c>
      <c r="O73" s="337">
        <f t="shared" si="37"/>
        <v>68.03</v>
      </c>
      <c r="P73" s="338">
        <f t="shared" si="39"/>
        <v>6190.47</v>
      </c>
      <c r="Q73" s="338">
        <f t="shared" si="40"/>
        <v>1506.35</v>
      </c>
      <c r="R73" s="337">
        <f t="shared" si="29"/>
        <v>633.66</v>
      </c>
      <c r="S73" s="410">
        <f t="shared" si="30"/>
        <v>179</v>
      </c>
      <c r="T73" s="339"/>
    </row>
    <row r="74" spans="1:20" s="327" customFormat="1" ht="30" customHeight="1">
      <c r="A74" s="334">
        <f t="shared" si="25"/>
        <v>9</v>
      </c>
      <c r="B74" s="334" t="str">
        <f t="shared" si="25"/>
        <v>RUA A</v>
      </c>
      <c r="C74" s="340">
        <v>1</v>
      </c>
      <c r="D74" s="337"/>
      <c r="E74" s="337">
        <f t="shared" si="38"/>
        <v>0</v>
      </c>
      <c r="F74" s="337">
        <f t="shared" si="31"/>
        <v>1.22</v>
      </c>
      <c r="G74" s="337">
        <f t="shared" si="32"/>
        <v>1.32</v>
      </c>
      <c r="H74" s="337">
        <f t="shared" si="26"/>
        <v>0</v>
      </c>
      <c r="I74" s="337">
        <f t="shared" si="33"/>
        <v>0</v>
      </c>
      <c r="J74" s="338">
        <f t="shared" si="34"/>
        <v>0</v>
      </c>
      <c r="K74" s="337">
        <f t="shared" si="27"/>
        <v>0</v>
      </c>
      <c r="L74" s="337">
        <f t="shared" si="35"/>
        <v>0</v>
      </c>
      <c r="M74" s="337">
        <f t="shared" si="28"/>
        <v>0</v>
      </c>
      <c r="N74" s="337">
        <f t="shared" si="36"/>
        <v>0</v>
      </c>
      <c r="O74" s="337">
        <f t="shared" si="37"/>
        <v>0</v>
      </c>
      <c r="P74" s="338">
        <f t="shared" si="39"/>
        <v>0</v>
      </c>
      <c r="Q74" s="338">
        <f t="shared" si="40"/>
        <v>0</v>
      </c>
      <c r="R74" s="337">
        <f t="shared" si="29"/>
        <v>0</v>
      </c>
      <c r="S74" s="410">
        <f t="shared" si="30"/>
        <v>0</v>
      </c>
      <c r="T74" s="339"/>
    </row>
    <row r="75" spans="1:20" s="327" customFormat="1" ht="30" customHeight="1">
      <c r="A75" s="334">
        <f t="shared" si="25"/>
        <v>10</v>
      </c>
      <c r="B75" s="334" t="str">
        <f t="shared" si="25"/>
        <v>RUA B</v>
      </c>
      <c r="C75" s="340">
        <v>1</v>
      </c>
      <c r="D75" s="337"/>
      <c r="E75" s="337">
        <f t="shared" si="38"/>
        <v>0</v>
      </c>
      <c r="F75" s="337">
        <f t="shared" si="31"/>
        <v>1.22</v>
      </c>
      <c r="G75" s="337">
        <f t="shared" si="32"/>
        <v>1.32</v>
      </c>
      <c r="H75" s="337">
        <f t="shared" si="26"/>
        <v>0</v>
      </c>
      <c r="I75" s="337">
        <f t="shared" si="33"/>
        <v>0</v>
      </c>
      <c r="J75" s="338">
        <f t="shared" si="34"/>
        <v>0</v>
      </c>
      <c r="K75" s="337">
        <f t="shared" si="27"/>
        <v>0</v>
      </c>
      <c r="L75" s="337">
        <f t="shared" si="35"/>
        <v>0</v>
      </c>
      <c r="M75" s="337">
        <f t="shared" si="28"/>
        <v>0</v>
      </c>
      <c r="N75" s="337">
        <f t="shared" si="36"/>
        <v>0</v>
      </c>
      <c r="O75" s="337">
        <f t="shared" si="37"/>
        <v>0</v>
      </c>
      <c r="P75" s="338">
        <f t="shared" si="39"/>
        <v>0</v>
      </c>
      <c r="Q75" s="338">
        <f t="shared" si="40"/>
        <v>0</v>
      </c>
      <c r="R75" s="337">
        <f t="shared" si="29"/>
        <v>0</v>
      </c>
      <c r="S75" s="410">
        <f t="shared" si="30"/>
        <v>0</v>
      </c>
      <c r="T75" s="339"/>
    </row>
    <row r="76" spans="1:20" s="327" customFormat="1" ht="30" customHeight="1">
      <c r="A76" s="334">
        <f t="shared" si="25"/>
        <v>14</v>
      </c>
      <c r="B76" s="334" t="str">
        <f t="shared" si="25"/>
        <v>RUA DAS ORQUIDEAS</v>
      </c>
      <c r="C76" s="340">
        <v>1</v>
      </c>
      <c r="D76" s="337"/>
      <c r="E76" s="337">
        <f t="shared" si="38"/>
        <v>0</v>
      </c>
      <c r="F76" s="337">
        <f t="shared" si="31"/>
        <v>1.22</v>
      </c>
      <c r="G76" s="337">
        <f t="shared" si="32"/>
        <v>1.32</v>
      </c>
      <c r="H76" s="337">
        <f t="shared" si="26"/>
        <v>0</v>
      </c>
      <c r="I76" s="337">
        <f t="shared" si="33"/>
        <v>0</v>
      </c>
      <c r="J76" s="338">
        <f t="shared" si="34"/>
        <v>0</v>
      </c>
      <c r="K76" s="337">
        <f t="shared" si="27"/>
        <v>0</v>
      </c>
      <c r="L76" s="337">
        <f t="shared" si="35"/>
        <v>0</v>
      </c>
      <c r="M76" s="337">
        <f t="shared" si="28"/>
        <v>0</v>
      </c>
      <c r="N76" s="337">
        <f t="shared" si="36"/>
        <v>0</v>
      </c>
      <c r="O76" s="337">
        <f t="shared" si="37"/>
        <v>0</v>
      </c>
      <c r="P76" s="338">
        <f t="shared" si="39"/>
        <v>0</v>
      </c>
      <c r="Q76" s="338">
        <f t="shared" si="40"/>
        <v>0</v>
      </c>
      <c r="R76" s="337">
        <f t="shared" si="29"/>
        <v>0</v>
      </c>
      <c r="S76" s="410">
        <f t="shared" si="30"/>
        <v>0</v>
      </c>
      <c r="T76" s="339"/>
    </row>
    <row r="77" spans="1:20" s="327" customFormat="1" ht="30" customHeight="1">
      <c r="A77" s="334">
        <f t="shared" si="25"/>
        <v>15</v>
      </c>
      <c r="B77" s="334" t="str">
        <f t="shared" si="25"/>
        <v>RUA HUM</v>
      </c>
      <c r="C77" s="340">
        <v>1</v>
      </c>
      <c r="D77" s="337"/>
      <c r="E77" s="337">
        <f t="shared" si="38"/>
        <v>0</v>
      </c>
      <c r="F77" s="337">
        <f t="shared" si="31"/>
        <v>1.22</v>
      </c>
      <c r="G77" s="337">
        <f t="shared" si="32"/>
        <v>1.32</v>
      </c>
      <c r="H77" s="337">
        <f t="shared" si="26"/>
        <v>0</v>
      </c>
      <c r="I77" s="337">
        <f t="shared" si="33"/>
        <v>0</v>
      </c>
      <c r="J77" s="338">
        <f t="shared" si="34"/>
        <v>0</v>
      </c>
      <c r="K77" s="337">
        <f t="shared" si="27"/>
        <v>0</v>
      </c>
      <c r="L77" s="337">
        <f t="shared" si="35"/>
        <v>0</v>
      </c>
      <c r="M77" s="337">
        <f t="shared" si="28"/>
        <v>0</v>
      </c>
      <c r="N77" s="337">
        <f t="shared" si="36"/>
        <v>0</v>
      </c>
      <c r="O77" s="337">
        <f t="shared" si="37"/>
        <v>0</v>
      </c>
      <c r="P77" s="338">
        <f t="shared" si="39"/>
        <v>0</v>
      </c>
      <c r="Q77" s="338">
        <f t="shared" si="40"/>
        <v>0</v>
      </c>
      <c r="R77" s="337">
        <f t="shared" si="29"/>
        <v>0</v>
      </c>
      <c r="S77" s="410">
        <f t="shared" si="30"/>
        <v>0</v>
      </c>
      <c r="T77" s="339"/>
    </row>
    <row r="78" spans="1:20" s="327" customFormat="1" ht="30" customHeight="1">
      <c r="A78" s="334">
        <f t="shared" si="25"/>
        <v>16</v>
      </c>
      <c r="B78" s="334" t="str">
        <f t="shared" si="25"/>
        <v>RUA DOIS</v>
      </c>
      <c r="C78" s="340">
        <v>1</v>
      </c>
      <c r="D78" s="337"/>
      <c r="E78" s="337">
        <f t="shared" si="38"/>
        <v>0</v>
      </c>
      <c r="F78" s="337">
        <f t="shared" si="31"/>
        <v>1.22</v>
      </c>
      <c r="G78" s="337">
        <f t="shared" si="32"/>
        <v>1.32</v>
      </c>
      <c r="H78" s="337">
        <f t="shared" si="26"/>
        <v>0</v>
      </c>
      <c r="I78" s="337">
        <f t="shared" si="33"/>
        <v>0</v>
      </c>
      <c r="J78" s="338">
        <f t="shared" si="34"/>
        <v>0</v>
      </c>
      <c r="K78" s="337">
        <f t="shared" si="27"/>
        <v>0</v>
      </c>
      <c r="L78" s="337">
        <f t="shared" si="35"/>
        <v>0</v>
      </c>
      <c r="M78" s="337">
        <f t="shared" si="28"/>
        <v>0</v>
      </c>
      <c r="N78" s="337">
        <f t="shared" si="36"/>
        <v>0</v>
      </c>
      <c r="O78" s="337">
        <f t="shared" si="37"/>
        <v>0</v>
      </c>
      <c r="P78" s="338">
        <f t="shared" si="39"/>
        <v>0</v>
      </c>
      <c r="Q78" s="338">
        <f t="shared" si="40"/>
        <v>0</v>
      </c>
      <c r="R78" s="337">
        <f t="shared" si="29"/>
        <v>0</v>
      </c>
      <c r="S78" s="410">
        <f t="shared" si="30"/>
        <v>0</v>
      </c>
      <c r="T78" s="339"/>
    </row>
    <row r="79" spans="1:20" s="327" customFormat="1" ht="30" customHeight="1">
      <c r="A79" s="334">
        <f t="shared" si="25"/>
        <v>17</v>
      </c>
      <c r="B79" s="334" t="str">
        <f t="shared" si="25"/>
        <v>RUA TRÊS</v>
      </c>
      <c r="C79" s="340">
        <v>1</v>
      </c>
      <c r="D79" s="337"/>
      <c r="E79" s="337">
        <f t="shared" si="38"/>
        <v>0</v>
      </c>
      <c r="F79" s="337">
        <f t="shared" si="31"/>
        <v>1.22</v>
      </c>
      <c r="G79" s="337">
        <f t="shared" si="32"/>
        <v>1.32</v>
      </c>
      <c r="H79" s="337">
        <f t="shared" si="26"/>
        <v>0</v>
      </c>
      <c r="I79" s="337">
        <f t="shared" si="33"/>
        <v>0</v>
      </c>
      <c r="J79" s="338">
        <f t="shared" si="34"/>
        <v>0</v>
      </c>
      <c r="K79" s="337">
        <f t="shared" si="27"/>
        <v>0</v>
      </c>
      <c r="L79" s="337">
        <f t="shared" si="35"/>
        <v>0</v>
      </c>
      <c r="M79" s="337">
        <f t="shared" si="28"/>
        <v>0</v>
      </c>
      <c r="N79" s="337">
        <f t="shared" si="36"/>
        <v>0</v>
      </c>
      <c r="O79" s="337">
        <f t="shared" si="37"/>
        <v>0</v>
      </c>
      <c r="P79" s="338">
        <f t="shared" si="39"/>
        <v>0</v>
      </c>
      <c r="Q79" s="338">
        <f t="shared" si="40"/>
        <v>0</v>
      </c>
      <c r="R79" s="337">
        <f t="shared" si="29"/>
        <v>0</v>
      </c>
      <c r="S79" s="410">
        <f t="shared" si="30"/>
        <v>0</v>
      </c>
      <c r="T79" s="339"/>
    </row>
    <row r="80" spans="1:20" s="327" customFormat="1" ht="30" customHeight="1">
      <c r="A80" s="334">
        <f t="shared" si="25"/>
        <v>18</v>
      </c>
      <c r="B80" s="334" t="str">
        <f t="shared" si="25"/>
        <v>PASS DA LUZ</v>
      </c>
      <c r="C80" s="340">
        <v>1</v>
      </c>
      <c r="D80" s="337"/>
      <c r="E80" s="337">
        <f t="shared" si="38"/>
        <v>0</v>
      </c>
      <c r="F80" s="337">
        <f t="shared" si="31"/>
        <v>1.22</v>
      </c>
      <c r="G80" s="337">
        <f t="shared" si="32"/>
        <v>1.32</v>
      </c>
      <c r="H80" s="337">
        <f t="shared" si="26"/>
        <v>0</v>
      </c>
      <c r="I80" s="337">
        <f t="shared" si="33"/>
        <v>0</v>
      </c>
      <c r="J80" s="338">
        <f t="shared" si="34"/>
        <v>0</v>
      </c>
      <c r="K80" s="337">
        <f t="shared" si="27"/>
        <v>0</v>
      </c>
      <c r="L80" s="337">
        <f t="shared" si="35"/>
        <v>0</v>
      </c>
      <c r="M80" s="337">
        <f t="shared" si="28"/>
        <v>0</v>
      </c>
      <c r="N80" s="337">
        <f t="shared" si="36"/>
        <v>0</v>
      </c>
      <c r="O80" s="337">
        <f t="shared" si="37"/>
        <v>0</v>
      </c>
      <c r="P80" s="338">
        <f t="shared" si="39"/>
        <v>0</v>
      </c>
      <c r="Q80" s="338">
        <f t="shared" si="40"/>
        <v>0</v>
      </c>
      <c r="R80" s="337">
        <f t="shared" si="29"/>
        <v>0</v>
      </c>
      <c r="S80" s="410">
        <f t="shared" si="30"/>
        <v>0</v>
      </c>
      <c r="T80" s="339"/>
    </row>
    <row r="81" spans="1:20" s="327" customFormat="1" ht="30" customHeight="1">
      <c r="A81" s="334">
        <f t="shared" si="25"/>
        <v>19</v>
      </c>
      <c r="B81" s="334" t="str">
        <f t="shared" si="25"/>
        <v>RUA FÉ EM DEUS</v>
      </c>
      <c r="C81" s="340">
        <v>1</v>
      </c>
      <c r="D81" s="337"/>
      <c r="E81" s="337">
        <f t="shared" si="38"/>
        <v>0</v>
      </c>
      <c r="F81" s="337">
        <f t="shared" si="31"/>
        <v>1.22</v>
      </c>
      <c r="G81" s="337">
        <f t="shared" si="32"/>
        <v>1.32</v>
      </c>
      <c r="H81" s="337">
        <f t="shared" si="26"/>
        <v>0</v>
      </c>
      <c r="I81" s="337">
        <f t="shared" si="33"/>
        <v>0</v>
      </c>
      <c r="J81" s="338">
        <f t="shared" si="34"/>
        <v>0</v>
      </c>
      <c r="K81" s="337">
        <f t="shared" si="27"/>
        <v>0</v>
      </c>
      <c r="L81" s="337">
        <f t="shared" si="35"/>
        <v>0</v>
      </c>
      <c r="M81" s="337">
        <f t="shared" si="28"/>
        <v>0</v>
      </c>
      <c r="N81" s="337">
        <f t="shared" si="36"/>
        <v>0</v>
      </c>
      <c r="O81" s="337">
        <f t="shared" si="37"/>
        <v>0</v>
      </c>
      <c r="P81" s="338">
        <f t="shared" si="39"/>
        <v>0</v>
      </c>
      <c r="Q81" s="338">
        <f t="shared" si="40"/>
        <v>0</v>
      </c>
      <c r="R81" s="337">
        <f t="shared" si="29"/>
        <v>0</v>
      </c>
      <c r="S81" s="410">
        <f t="shared" si="30"/>
        <v>0</v>
      </c>
      <c r="T81" s="339"/>
    </row>
    <row r="82" spans="1:20" s="327" customFormat="1" ht="30" customHeight="1">
      <c r="A82" s="334">
        <f t="shared" si="25"/>
        <v>20</v>
      </c>
      <c r="B82" s="334" t="str">
        <f t="shared" si="25"/>
        <v>PASS PRINCIPAL</v>
      </c>
      <c r="C82" s="340">
        <v>1</v>
      </c>
      <c r="D82" s="337"/>
      <c r="E82" s="337">
        <f t="shared" si="38"/>
        <v>0</v>
      </c>
      <c r="F82" s="337">
        <f t="shared" si="31"/>
        <v>1.22</v>
      </c>
      <c r="G82" s="337">
        <f t="shared" si="32"/>
        <v>1.32</v>
      </c>
      <c r="H82" s="337">
        <f t="shared" si="26"/>
        <v>0</v>
      </c>
      <c r="I82" s="337">
        <f t="shared" si="33"/>
        <v>0</v>
      </c>
      <c r="J82" s="338">
        <f t="shared" si="34"/>
        <v>0</v>
      </c>
      <c r="K82" s="337">
        <f t="shared" si="27"/>
        <v>0</v>
      </c>
      <c r="L82" s="337">
        <f t="shared" si="35"/>
        <v>0</v>
      </c>
      <c r="M82" s="337">
        <f t="shared" si="28"/>
        <v>0</v>
      </c>
      <c r="N82" s="337">
        <f t="shared" si="36"/>
        <v>0</v>
      </c>
      <c r="O82" s="337">
        <f t="shared" si="37"/>
        <v>0</v>
      </c>
      <c r="P82" s="338">
        <f t="shared" si="39"/>
        <v>0</v>
      </c>
      <c r="Q82" s="338">
        <f t="shared" si="40"/>
        <v>0</v>
      </c>
      <c r="R82" s="337">
        <f t="shared" si="29"/>
        <v>0</v>
      </c>
      <c r="S82" s="410">
        <f t="shared" si="30"/>
        <v>0</v>
      </c>
      <c r="T82" s="339"/>
    </row>
    <row r="83" spans="1:20" s="327" customFormat="1" ht="30" customHeight="1">
      <c r="A83" s="334">
        <f t="shared" si="25"/>
        <v>21</v>
      </c>
      <c r="B83" s="334" t="str">
        <f t="shared" si="25"/>
        <v>PASSAGEM BACELAR</v>
      </c>
      <c r="C83" s="340">
        <v>1</v>
      </c>
      <c r="D83" s="337"/>
      <c r="E83" s="337">
        <f t="shared" si="38"/>
        <v>0</v>
      </c>
      <c r="F83" s="337">
        <f t="shared" si="31"/>
        <v>1.22</v>
      </c>
      <c r="G83" s="337">
        <f t="shared" si="32"/>
        <v>1.32</v>
      </c>
      <c r="H83" s="337">
        <f t="shared" si="26"/>
        <v>0</v>
      </c>
      <c r="I83" s="337">
        <f t="shared" si="33"/>
        <v>0</v>
      </c>
      <c r="J83" s="338">
        <f t="shared" si="34"/>
        <v>0</v>
      </c>
      <c r="K83" s="337">
        <f t="shared" si="27"/>
        <v>0</v>
      </c>
      <c r="L83" s="337">
        <f t="shared" si="35"/>
        <v>0</v>
      </c>
      <c r="M83" s="337">
        <f t="shared" si="28"/>
        <v>0</v>
      </c>
      <c r="N83" s="337">
        <f t="shared" si="36"/>
        <v>0</v>
      </c>
      <c r="O83" s="337">
        <f t="shared" si="37"/>
        <v>0</v>
      </c>
      <c r="P83" s="338">
        <f t="shared" si="39"/>
        <v>0</v>
      </c>
      <c r="Q83" s="338">
        <f t="shared" si="40"/>
        <v>0</v>
      </c>
      <c r="R83" s="337">
        <f t="shared" si="29"/>
        <v>0</v>
      </c>
      <c r="S83" s="410">
        <f t="shared" si="30"/>
        <v>0</v>
      </c>
      <c r="T83" s="339"/>
    </row>
    <row r="84" spans="1:20" s="327" customFormat="1" ht="30" customHeight="1">
      <c r="A84" s="334">
        <f t="shared" si="25"/>
        <v>22</v>
      </c>
      <c r="B84" s="334" t="str">
        <f t="shared" si="25"/>
        <v>PASS DEUS TEM PODER</v>
      </c>
      <c r="C84" s="340">
        <v>1</v>
      </c>
      <c r="D84" s="337">
        <v>489</v>
      </c>
      <c r="E84" s="337">
        <f t="shared" ref="E84:E98" si="41">C84*D84</f>
        <v>489</v>
      </c>
      <c r="F84" s="337">
        <f t="shared" si="31"/>
        <v>1.22</v>
      </c>
      <c r="G84" s="337">
        <f t="shared" ref="G84:G98" si="42">((0.72+0.6)+((0.72+0.6)+(E84*0.5%)))/2</f>
        <v>2.54</v>
      </c>
      <c r="H84" s="337">
        <f>(E84*F84*G84)-(E84*F84*0.5)</f>
        <v>1217.02</v>
      </c>
      <c r="I84" s="337">
        <f t="shared" ref="I84:I98" si="43">M84</f>
        <v>138.19</v>
      </c>
      <c r="J84" s="338">
        <f t="shared" ref="J84:J98" si="44">I84*1.25*$J$19</f>
        <v>2660.16</v>
      </c>
      <c r="K84" s="337">
        <f t="shared" ref="K84:K98" si="45">E84*F84</f>
        <v>596.58000000000004</v>
      </c>
      <c r="L84" s="337">
        <f t="shared" ref="L84:L98" si="46">K84</f>
        <v>596.58000000000004</v>
      </c>
      <c r="M84" s="337">
        <f t="shared" ref="M84:M98" si="47">(3.14*0.3^2)*E84</f>
        <v>138.19</v>
      </c>
      <c r="N84" s="337">
        <f t="shared" ref="N84:N98" si="48">(H84-M84)*70%</f>
        <v>755.18</v>
      </c>
      <c r="O84" s="337">
        <f t="shared" ref="O84:O98" si="49">(H84-M84)*30%</f>
        <v>323.64999999999998</v>
      </c>
      <c r="P84" s="338">
        <f t="shared" si="39"/>
        <v>29452.02</v>
      </c>
      <c r="Q84" s="338">
        <f t="shared" si="40"/>
        <v>7166.66</v>
      </c>
      <c r="R84" s="337">
        <f t="shared" ref="R84:R98" si="50">IF(G84&gt;1.5,D84*G84*2,)</f>
        <v>2484.12</v>
      </c>
      <c r="S84" s="410">
        <f t="shared" ref="S84:S98" si="51">E84</f>
        <v>489</v>
      </c>
      <c r="T84" s="339"/>
    </row>
    <row r="85" spans="1:20" s="327" customFormat="1" ht="30" customHeight="1">
      <c r="A85" s="334">
        <f t="shared" si="25"/>
        <v>23</v>
      </c>
      <c r="B85" s="334" t="str">
        <f t="shared" si="25"/>
        <v>PASS UNIÃO</v>
      </c>
      <c r="C85" s="340">
        <v>1</v>
      </c>
      <c r="D85" s="337">
        <v>51</v>
      </c>
      <c r="E85" s="337">
        <f t="shared" si="41"/>
        <v>51</v>
      </c>
      <c r="F85" s="337">
        <f t="shared" si="31"/>
        <v>1.22</v>
      </c>
      <c r="G85" s="337">
        <f t="shared" si="42"/>
        <v>1.45</v>
      </c>
      <c r="H85" s="337">
        <f>(E85*F85*G85)-(E85*F85*0.5)</f>
        <v>59.11</v>
      </c>
      <c r="I85" s="337">
        <f t="shared" si="43"/>
        <v>14.41</v>
      </c>
      <c r="J85" s="338">
        <f t="shared" si="44"/>
        <v>277.39</v>
      </c>
      <c r="K85" s="337">
        <f t="shared" si="45"/>
        <v>62.22</v>
      </c>
      <c r="L85" s="337">
        <f t="shared" si="46"/>
        <v>62.22</v>
      </c>
      <c r="M85" s="337">
        <f t="shared" si="47"/>
        <v>14.41</v>
      </c>
      <c r="N85" s="337">
        <f t="shared" si="48"/>
        <v>31.29</v>
      </c>
      <c r="O85" s="337">
        <f t="shared" si="49"/>
        <v>13.41</v>
      </c>
      <c r="P85" s="338">
        <f t="shared" si="39"/>
        <v>1220.31</v>
      </c>
      <c r="Q85" s="338">
        <f t="shared" si="40"/>
        <v>296.94</v>
      </c>
      <c r="R85" s="337">
        <f t="shared" si="50"/>
        <v>0</v>
      </c>
      <c r="S85" s="410">
        <f t="shared" si="51"/>
        <v>51</v>
      </c>
      <c r="T85" s="339"/>
    </row>
    <row r="86" spans="1:20" s="327" customFormat="1" ht="30" customHeight="1">
      <c r="A86" s="334">
        <f t="shared" si="25"/>
        <v>24</v>
      </c>
      <c r="B86" s="334" t="str">
        <f t="shared" si="25"/>
        <v>PASS SÃO JORGE</v>
      </c>
      <c r="C86" s="340">
        <v>1</v>
      </c>
      <c r="D86" s="337"/>
      <c r="E86" s="337">
        <f t="shared" si="41"/>
        <v>0</v>
      </c>
      <c r="F86" s="337">
        <f t="shared" si="31"/>
        <v>1.22</v>
      </c>
      <c r="G86" s="337">
        <f t="shared" si="42"/>
        <v>1.32</v>
      </c>
      <c r="H86" s="337">
        <f t="shared" ref="H86:H98" si="52">E86*F86*G86</f>
        <v>0</v>
      </c>
      <c r="I86" s="337">
        <f t="shared" si="43"/>
        <v>0</v>
      </c>
      <c r="J86" s="338">
        <f t="shared" si="44"/>
        <v>0</v>
      </c>
      <c r="K86" s="337">
        <f t="shared" si="45"/>
        <v>0</v>
      </c>
      <c r="L86" s="337">
        <f t="shared" si="46"/>
        <v>0</v>
      </c>
      <c r="M86" s="337">
        <f t="shared" si="47"/>
        <v>0</v>
      </c>
      <c r="N86" s="337">
        <f t="shared" si="48"/>
        <v>0</v>
      </c>
      <c r="O86" s="337">
        <f t="shared" si="49"/>
        <v>0</v>
      </c>
      <c r="P86" s="338">
        <f>N86*1.3*$P$19</f>
        <v>0</v>
      </c>
      <c r="Q86" s="338">
        <f>N86*1.3*$Q$19</f>
        <v>0</v>
      </c>
      <c r="R86" s="337">
        <f t="shared" si="50"/>
        <v>0</v>
      </c>
      <c r="S86" s="410">
        <f t="shared" si="51"/>
        <v>0</v>
      </c>
      <c r="T86" s="339"/>
    </row>
    <row r="87" spans="1:20" s="327" customFormat="1" ht="30" customHeight="1">
      <c r="A87" s="334">
        <f t="shared" si="25"/>
        <v>25</v>
      </c>
      <c r="B87" s="334" t="str">
        <f t="shared" si="25"/>
        <v>PASS AIRTON SENA</v>
      </c>
      <c r="C87" s="340">
        <v>1</v>
      </c>
      <c r="D87" s="337">
        <v>240</v>
      </c>
      <c r="E87" s="337">
        <f t="shared" si="41"/>
        <v>240</v>
      </c>
      <c r="F87" s="337">
        <f t="shared" si="31"/>
        <v>1.22</v>
      </c>
      <c r="G87" s="337">
        <f t="shared" si="42"/>
        <v>1.92</v>
      </c>
      <c r="H87" s="337">
        <f>(E87*F87*G87)-(E87*F87*0.5)</f>
        <v>415.78</v>
      </c>
      <c r="I87" s="337">
        <f t="shared" si="43"/>
        <v>67.819999999999993</v>
      </c>
      <c r="J87" s="338">
        <f t="shared" si="44"/>
        <v>1305.54</v>
      </c>
      <c r="K87" s="337">
        <f t="shared" si="45"/>
        <v>292.8</v>
      </c>
      <c r="L87" s="337">
        <f t="shared" si="46"/>
        <v>292.8</v>
      </c>
      <c r="M87" s="337">
        <f t="shared" si="47"/>
        <v>67.819999999999993</v>
      </c>
      <c r="N87" s="337">
        <f t="shared" si="48"/>
        <v>243.57</v>
      </c>
      <c r="O87" s="337">
        <f t="shared" si="49"/>
        <v>104.39</v>
      </c>
      <c r="P87" s="338">
        <f t="shared" ref="P87:P96" si="53">N87*1.3*$P$19</f>
        <v>9499.23</v>
      </c>
      <c r="Q87" s="338">
        <f t="shared" ref="Q87:Q96" si="54">N87*1.3*$Q$19</f>
        <v>2311.48</v>
      </c>
      <c r="R87" s="337">
        <f t="shared" si="50"/>
        <v>921.6</v>
      </c>
      <c r="S87" s="410">
        <f t="shared" si="51"/>
        <v>240</v>
      </c>
      <c r="T87" s="339"/>
    </row>
    <row r="88" spans="1:20" s="327" customFormat="1" ht="30" customHeight="1">
      <c r="A88" s="334">
        <f t="shared" si="25"/>
        <v>26</v>
      </c>
      <c r="B88" s="334" t="str">
        <f t="shared" si="25"/>
        <v>RUA AMINTAS PINHEIRO</v>
      </c>
      <c r="C88" s="340">
        <v>1</v>
      </c>
      <c r="D88" s="337"/>
      <c r="E88" s="337">
        <f t="shared" si="41"/>
        <v>0</v>
      </c>
      <c r="F88" s="337">
        <f t="shared" si="31"/>
        <v>1.22</v>
      </c>
      <c r="G88" s="337">
        <f t="shared" si="42"/>
        <v>1.32</v>
      </c>
      <c r="H88" s="337">
        <f t="shared" si="52"/>
        <v>0</v>
      </c>
      <c r="I88" s="337">
        <f t="shared" si="43"/>
        <v>0</v>
      </c>
      <c r="J88" s="338">
        <f t="shared" si="44"/>
        <v>0</v>
      </c>
      <c r="K88" s="337">
        <f t="shared" si="45"/>
        <v>0</v>
      </c>
      <c r="L88" s="337">
        <f t="shared" si="46"/>
        <v>0</v>
      </c>
      <c r="M88" s="337">
        <f t="shared" si="47"/>
        <v>0</v>
      </c>
      <c r="N88" s="337">
        <f t="shared" si="48"/>
        <v>0</v>
      </c>
      <c r="O88" s="337">
        <f t="shared" si="49"/>
        <v>0</v>
      </c>
      <c r="P88" s="338">
        <f t="shared" si="53"/>
        <v>0</v>
      </c>
      <c r="Q88" s="338">
        <f t="shared" si="54"/>
        <v>0</v>
      </c>
      <c r="R88" s="337">
        <f t="shared" si="50"/>
        <v>0</v>
      </c>
      <c r="S88" s="410">
        <f t="shared" si="51"/>
        <v>0</v>
      </c>
      <c r="T88" s="339"/>
    </row>
    <row r="89" spans="1:20" s="327" customFormat="1" ht="30" customHeight="1">
      <c r="A89" s="334">
        <f t="shared" si="25"/>
        <v>27</v>
      </c>
      <c r="B89" s="334" t="str">
        <f t="shared" si="25"/>
        <v>PASS PRINC ISABEL</v>
      </c>
      <c r="C89" s="340">
        <v>1</v>
      </c>
      <c r="D89" s="337"/>
      <c r="E89" s="337">
        <f t="shared" si="41"/>
        <v>0</v>
      </c>
      <c r="F89" s="337">
        <f t="shared" si="31"/>
        <v>1.22</v>
      </c>
      <c r="G89" s="337">
        <f t="shared" si="42"/>
        <v>1.32</v>
      </c>
      <c r="H89" s="337">
        <f t="shared" si="52"/>
        <v>0</v>
      </c>
      <c r="I89" s="337">
        <f t="shared" si="43"/>
        <v>0</v>
      </c>
      <c r="J89" s="338">
        <f t="shared" si="44"/>
        <v>0</v>
      </c>
      <c r="K89" s="337">
        <f t="shared" si="45"/>
        <v>0</v>
      </c>
      <c r="L89" s="337">
        <f t="shared" si="46"/>
        <v>0</v>
      </c>
      <c r="M89" s="337">
        <f t="shared" si="47"/>
        <v>0</v>
      </c>
      <c r="N89" s="337">
        <f t="shared" si="48"/>
        <v>0</v>
      </c>
      <c r="O89" s="337">
        <f t="shared" si="49"/>
        <v>0</v>
      </c>
      <c r="P89" s="338">
        <f t="shared" si="53"/>
        <v>0</v>
      </c>
      <c r="Q89" s="338">
        <f t="shared" si="54"/>
        <v>0</v>
      </c>
      <c r="R89" s="337">
        <f t="shared" si="50"/>
        <v>0</v>
      </c>
      <c r="S89" s="410">
        <f t="shared" si="51"/>
        <v>0</v>
      </c>
      <c r="T89" s="339"/>
    </row>
    <row r="90" spans="1:20" s="327" customFormat="1" ht="30" customHeight="1">
      <c r="A90" s="334">
        <f t="shared" si="25"/>
        <v>28</v>
      </c>
      <c r="B90" s="334" t="str">
        <f t="shared" si="25"/>
        <v>PASS SANTA CLARA</v>
      </c>
      <c r="C90" s="340">
        <v>1</v>
      </c>
      <c r="D90" s="337"/>
      <c r="E90" s="337">
        <f t="shared" si="41"/>
        <v>0</v>
      </c>
      <c r="F90" s="337">
        <f t="shared" si="31"/>
        <v>1.22</v>
      </c>
      <c r="G90" s="337">
        <f t="shared" si="42"/>
        <v>1.32</v>
      </c>
      <c r="H90" s="337">
        <f t="shared" si="52"/>
        <v>0</v>
      </c>
      <c r="I90" s="337">
        <f t="shared" si="43"/>
        <v>0</v>
      </c>
      <c r="J90" s="338">
        <f t="shared" si="44"/>
        <v>0</v>
      </c>
      <c r="K90" s="337">
        <f t="shared" si="45"/>
        <v>0</v>
      </c>
      <c r="L90" s="337">
        <f t="shared" si="46"/>
        <v>0</v>
      </c>
      <c r="M90" s="337">
        <f t="shared" si="47"/>
        <v>0</v>
      </c>
      <c r="N90" s="337">
        <f t="shared" si="48"/>
        <v>0</v>
      </c>
      <c r="O90" s="337">
        <f t="shared" si="49"/>
        <v>0</v>
      </c>
      <c r="P90" s="338">
        <f t="shared" si="53"/>
        <v>0</v>
      </c>
      <c r="Q90" s="338">
        <f t="shared" si="54"/>
        <v>0</v>
      </c>
      <c r="R90" s="337">
        <f t="shared" si="50"/>
        <v>0</v>
      </c>
      <c r="S90" s="410">
        <f t="shared" si="51"/>
        <v>0</v>
      </c>
      <c r="T90" s="339"/>
    </row>
    <row r="91" spans="1:20" s="327" customFormat="1" ht="30" customHeight="1">
      <c r="A91" s="334">
        <f t="shared" si="25"/>
        <v>29</v>
      </c>
      <c r="B91" s="334" t="str">
        <f t="shared" si="25"/>
        <v>PASS AIRTON SENA 1</v>
      </c>
      <c r="C91" s="340">
        <v>1</v>
      </c>
      <c r="D91" s="337">
        <v>46</v>
      </c>
      <c r="E91" s="337">
        <f t="shared" si="41"/>
        <v>46</v>
      </c>
      <c r="F91" s="337">
        <f t="shared" si="31"/>
        <v>1.22</v>
      </c>
      <c r="G91" s="337">
        <f t="shared" si="42"/>
        <v>1.44</v>
      </c>
      <c r="H91" s="337">
        <f>(E91*F91*G91)-(E91*F91*0.5)</f>
        <v>52.75</v>
      </c>
      <c r="I91" s="337">
        <f t="shared" si="43"/>
        <v>13</v>
      </c>
      <c r="J91" s="338">
        <f t="shared" si="44"/>
        <v>250.25</v>
      </c>
      <c r="K91" s="337">
        <f t="shared" si="45"/>
        <v>56.12</v>
      </c>
      <c r="L91" s="337">
        <f t="shared" si="46"/>
        <v>56.12</v>
      </c>
      <c r="M91" s="337">
        <f t="shared" si="47"/>
        <v>13</v>
      </c>
      <c r="N91" s="337">
        <f t="shared" si="48"/>
        <v>27.83</v>
      </c>
      <c r="O91" s="337">
        <f t="shared" si="49"/>
        <v>11.93</v>
      </c>
      <c r="P91" s="338">
        <f t="shared" si="53"/>
        <v>1085.3699999999999</v>
      </c>
      <c r="Q91" s="338">
        <f t="shared" si="54"/>
        <v>264.11</v>
      </c>
      <c r="R91" s="337">
        <f t="shared" si="50"/>
        <v>0</v>
      </c>
      <c r="S91" s="410">
        <f t="shared" si="51"/>
        <v>46</v>
      </c>
      <c r="T91" s="339"/>
    </row>
    <row r="92" spans="1:20" s="327" customFormat="1" ht="30" customHeight="1" thickBot="1">
      <c r="A92" s="334">
        <f t="shared" si="25"/>
        <v>30</v>
      </c>
      <c r="B92" s="334" t="str">
        <f t="shared" si="25"/>
        <v>PASS TIM LOPES</v>
      </c>
      <c r="C92" s="340">
        <v>1</v>
      </c>
      <c r="D92" s="337">
        <v>49</v>
      </c>
      <c r="E92" s="337">
        <f t="shared" si="41"/>
        <v>49</v>
      </c>
      <c r="F92" s="337">
        <f t="shared" si="31"/>
        <v>1.22</v>
      </c>
      <c r="G92" s="337">
        <f t="shared" si="42"/>
        <v>1.44</v>
      </c>
      <c r="H92" s="337">
        <f>(E92*F92*G92)-(E92*F92*0.5)</f>
        <v>56.19</v>
      </c>
      <c r="I92" s="337">
        <f t="shared" si="43"/>
        <v>13.85</v>
      </c>
      <c r="J92" s="338">
        <f t="shared" si="44"/>
        <v>266.61</v>
      </c>
      <c r="K92" s="337">
        <f t="shared" si="45"/>
        <v>59.78</v>
      </c>
      <c r="L92" s="337">
        <f t="shared" si="46"/>
        <v>59.78</v>
      </c>
      <c r="M92" s="337">
        <f t="shared" si="47"/>
        <v>13.85</v>
      </c>
      <c r="N92" s="337">
        <f t="shared" si="48"/>
        <v>29.64</v>
      </c>
      <c r="O92" s="337">
        <f t="shared" si="49"/>
        <v>12.7</v>
      </c>
      <c r="P92" s="338">
        <f t="shared" si="53"/>
        <v>1155.96</v>
      </c>
      <c r="Q92" s="338">
        <f t="shared" si="54"/>
        <v>281.27999999999997</v>
      </c>
      <c r="R92" s="337">
        <f t="shared" si="50"/>
        <v>0</v>
      </c>
      <c r="S92" s="410">
        <f t="shared" si="51"/>
        <v>49</v>
      </c>
      <c r="T92" s="339"/>
    </row>
    <row r="93" spans="1:20" s="327" customFormat="1" ht="31.5" hidden="1" thickBot="1">
      <c r="A93" s="334"/>
      <c r="B93" s="335"/>
      <c r="C93" s="340">
        <v>1</v>
      </c>
      <c r="D93" s="337"/>
      <c r="E93" s="337">
        <f t="shared" si="41"/>
        <v>0</v>
      </c>
      <c r="F93" s="337">
        <f t="shared" si="31"/>
        <v>1.22</v>
      </c>
      <c r="G93" s="337">
        <f t="shared" si="42"/>
        <v>1.32</v>
      </c>
      <c r="H93" s="337">
        <f t="shared" si="52"/>
        <v>0</v>
      </c>
      <c r="I93" s="337">
        <f t="shared" si="43"/>
        <v>0</v>
      </c>
      <c r="J93" s="338">
        <f t="shared" si="44"/>
        <v>0</v>
      </c>
      <c r="K93" s="337">
        <f t="shared" si="45"/>
        <v>0</v>
      </c>
      <c r="L93" s="337">
        <f t="shared" si="46"/>
        <v>0</v>
      </c>
      <c r="M93" s="337">
        <f t="shared" si="47"/>
        <v>0</v>
      </c>
      <c r="N93" s="337">
        <f t="shared" si="48"/>
        <v>0</v>
      </c>
      <c r="O93" s="337">
        <f t="shared" si="49"/>
        <v>0</v>
      </c>
      <c r="P93" s="338">
        <f t="shared" si="53"/>
        <v>0</v>
      </c>
      <c r="Q93" s="338">
        <f t="shared" si="54"/>
        <v>0</v>
      </c>
      <c r="R93" s="337">
        <f t="shared" si="50"/>
        <v>0</v>
      </c>
      <c r="S93" s="410">
        <f t="shared" si="51"/>
        <v>0</v>
      </c>
      <c r="T93" s="339"/>
    </row>
    <row r="94" spans="1:20" s="327" customFormat="1" ht="31.5" hidden="1" thickBot="1">
      <c r="A94" s="334"/>
      <c r="B94" s="335"/>
      <c r="C94" s="340">
        <v>1</v>
      </c>
      <c r="D94" s="337"/>
      <c r="E94" s="337">
        <f t="shared" si="41"/>
        <v>0</v>
      </c>
      <c r="F94" s="337">
        <f t="shared" si="31"/>
        <v>1.22</v>
      </c>
      <c r="G94" s="337">
        <f t="shared" si="42"/>
        <v>1.32</v>
      </c>
      <c r="H94" s="337">
        <f t="shared" si="52"/>
        <v>0</v>
      </c>
      <c r="I94" s="337">
        <f t="shared" si="43"/>
        <v>0</v>
      </c>
      <c r="J94" s="338">
        <f t="shared" si="44"/>
        <v>0</v>
      </c>
      <c r="K94" s="337">
        <f t="shared" si="45"/>
        <v>0</v>
      </c>
      <c r="L94" s="337">
        <f t="shared" si="46"/>
        <v>0</v>
      </c>
      <c r="M94" s="337">
        <f t="shared" si="47"/>
        <v>0</v>
      </c>
      <c r="N94" s="337">
        <f t="shared" si="48"/>
        <v>0</v>
      </c>
      <c r="O94" s="337">
        <f t="shared" si="49"/>
        <v>0</v>
      </c>
      <c r="P94" s="338">
        <f t="shared" si="53"/>
        <v>0</v>
      </c>
      <c r="Q94" s="338">
        <f t="shared" si="54"/>
        <v>0</v>
      </c>
      <c r="R94" s="337">
        <f t="shared" si="50"/>
        <v>0</v>
      </c>
      <c r="S94" s="410">
        <f t="shared" si="51"/>
        <v>0</v>
      </c>
      <c r="T94" s="339"/>
    </row>
    <row r="95" spans="1:20" s="327" customFormat="1" ht="31.5" hidden="1" thickBot="1">
      <c r="A95" s="334"/>
      <c r="B95" s="335"/>
      <c r="C95" s="340">
        <v>1</v>
      </c>
      <c r="D95" s="337"/>
      <c r="E95" s="337">
        <f t="shared" si="41"/>
        <v>0</v>
      </c>
      <c r="F95" s="337">
        <f t="shared" si="31"/>
        <v>1.22</v>
      </c>
      <c r="G95" s="337">
        <f t="shared" si="42"/>
        <v>1.32</v>
      </c>
      <c r="H95" s="337">
        <f t="shared" si="52"/>
        <v>0</v>
      </c>
      <c r="I95" s="337">
        <f t="shared" si="43"/>
        <v>0</v>
      </c>
      <c r="J95" s="338">
        <f t="shared" si="44"/>
        <v>0</v>
      </c>
      <c r="K95" s="337">
        <f t="shared" si="45"/>
        <v>0</v>
      </c>
      <c r="L95" s="337">
        <f t="shared" si="46"/>
        <v>0</v>
      </c>
      <c r="M95" s="337">
        <f t="shared" si="47"/>
        <v>0</v>
      </c>
      <c r="N95" s="337">
        <f t="shared" si="48"/>
        <v>0</v>
      </c>
      <c r="O95" s="337">
        <f t="shared" si="49"/>
        <v>0</v>
      </c>
      <c r="P95" s="338">
        <f t="shared" si="53"/>
        <v>0</v>
      </c>
      <c r="Q95" s="338">
        <f t="shared" si="54"/>
        <v>0</v>
      </c>
      <c r="R95" s="337">
        <f t="shared" si="50"/>
        <v>0</v>
      </c>
      <c r="S95" s="410">
        <f t="shared" si="51"/>
        <v>0</v>
      </c>
      <c r="T95" s="339"/>
    </row>
    <row r="96" spans="1:20" s="327" customFormat="1" ht="31.5" hidden="1" thickBot="1">
      <c r="A96" s="334"/>
      <c r="B96" s="335"/>
      <c r="C96" s="340">
        <v>1</v>
      </c>
      <c r="D96" s="337"/>
      <c r="E96" s="337">
        <f t="shared" si="41"/>
        <v>0</v>
      </c>
      <c r="F96" s="337">
        <f t="shared" si="31"/>
        <v>1.22</v>
      </c>
      <c r="G96" s="337">
        <f t="shared" si="42"/>
        <v>1.32</v>
      </c>
      <c r="H96" s="337">
        <f t="shared" si="52"/>
        <v>0</v>
      </c>
      <c r="I96" s="337">
        <f t="shared" si="43"/>
        <v>0</v>
      </c>
      <c r="J96" s="338">
        <f t="shared" si="44"/>
        <v>0</v>
      </c>
      <c r="K96" s="337">
        <f t="shared" si="45"/>
        <v>0</v>
      </c>
      <c r="L96" s="337">
        <f t="shared" si="46"/>
        <v>0</v>
      </c>
      <c r="M96" s="337">
        <f t="shared" si="47"/>
        <v>0</v>
      </c>
      <c r="N96" s="337">
        <f t="shared" si="48"/>
        <v>0</v>
      </c>
      <c r="O96" s="337">
        <f t="shared" si="49"/>
        <v>0</v>
      </c>
      <c r="P96" s="338">
        <f t="shared" si="53"/>
        <v>0</v>
      </c>
      <c r="Q96" s="338">
        <f t="shared" si="54"/>
        <v>0</v>
      </c>
      <c r="R96" s="337">
        <f t="shared" si="50"/>
        <v>0</v>
      </c>
      <c r="S96" s="410">
        <f t="shared" si="51"/>
        <v>0</v>
      </c>
      <c r="T96" s="339"/>
    </row>
    <row r="97" spans="1:20" s="327" customFormat="1" ht="31.5" hidden="1" thickBot="1">
      <c r="A97" s="334"/>
      <c r="B97" s="335"/>
      <c r="C97" s="340">
        <v>1</v>
      </c>
      <c r="D97" s="337"/>
      <c r="E97" s="337">
        <f t="shared" si="41"/>
        <v>0</v>
      </c>
      <c r="F97" s="337">
        <f t="shared" si="31"/>
        <v>1.22</v>
      </c>
      <c r="G97" s="337">
        <f t="shared" si="42"/>
        <v>1.32</v>
      </c>
      <c r="H97" s="337">
        <f t="shared" si="52"/>
        <v>0</v>
      </c>
      <c r="I97" s="337">
        <f t="shared" si="43"/>
        <v>0</v>
      </c>
      <c r="J97" s="338">
        <f t="shared" si="44"/>
        <v>0</v>
      </c>
      <c r="K97" s="337">
        <f t="shared" si="45"/>
        <v>0</v>
      </c>
      <c r="L97" s="337">
        <f t="shared" si="46"/>
        <v>0</v>
      </c>
      <c r="M97" s="337">
        <f t="shared" si="47"/>
        <v>0</v>
      </c>
      <c r="N97" s="337">
        <f t="shared" si="48"/>
        <v>0</v>
      </c>
      <c r="O97" s="337">
        <f t="shared" si="49"/>
        <v>0</v>
      </c>
      <c r="P97" s="337"/>
      <c r="Q97" s="337"/>
      <c r="R97" s="337">
        <f t="shared" si="50"/>
        <v>0</v>
      </c>
      <c r="S97" s="410">
        <f t="shared" si="51"/>
        <v>0</v>
      </c>
      <c r="T97" s="339"/>
    </row>
    <row r="98" spans="1:20" s="327" customFormat="1" ht="31.5" hidden="1" thickBot="1">
      <c r="A98" s="334"/>
      <c r="B98" s="335"/>
      <c r="C98" s="340">
        <v>1</v>
      </c>
      <c r="D98" s="337"/>
      <c r="E98" s="337">
        <f t="shared" si="41"/>
        <v>0</v>
      </c>
      <c r="F98" s="337">
        <f t="shared" si="31"/>
        <v>1.22</v>
      </c>
      <c r="G98" s="337">
        <f t="shared" si="42"/>
        <v>1.32</v>
      </c>
      <c r="H98" s="337">
        <f t="shared" si="52"/>
        <v>0</v>
      </c>
      <c r="I98" s="337">
        <f t="shared" si="43"/>
        <v>0</v>
      </c>
      <c r="J98" s="338">
        <f t="shared" si="44"/>
        <v>0</v>
      </c>
      <c r="K98" s="337">
        <f t="shared" si="45"/>
        <v>0</v>
      </c>
      <c r="L98" s="337">
        <f t="shared" si="46"/>
        <v>0</v>
      </c>
      <c r="M98" s="337">
        <f t="shared" si="47"/>
        <v>0</v>
      </c>
      <c r="N98" s="337">
        <f t="shared" si="48"/>
        <v>0</v>
      </c>
      <c r="O98" s="337">
        <f t="shared" si="49"/>
        <v>0</v>
      </c>
      <c r="P98" s="337"/>
      <c r="Q98" s="337"/>
      <c r="R98" s="337">
        <f t="shared" si="50"/>
        <v>0</v>
      </c>
      <c r="S98" s="410">
        <f t="shared" si="51"/>
        <v>0</v>
      </c>
      <c r="T98" s="339"/>
    </row>
    <row r="99" spans="1:20" s="327" customFormat="1" ht="31.5" hidden="1" thickBot="1">
      <c r="A99" s="334"/>
      <c r="B99" s="335"/>
      <c r="C99" s="340">
        <v>1</v>
      </c>
      <c r="D99" s="337"/>
      <c r="E99" s="337">
        <f t="shared" si="38"/>
        <v>0</v>
      </c>
      <c r="F99" s="337">
        <f t="shared" si="31"/>
        <v>1.22</v>
      </c>
      <c r="G99" s="337">
        <f t="shared" si="32"/>
        <v>1.32</v>
      </c>
      <c r="H99" s="337">
        <f t="shared" si="26"/>
        <v>0</v>
      </c>
      <c r="I99" s="337">
        <f t="shared" si="33"/>
        <v>0</v>
      </c>
      <c r="J99" s="338">
        <f t="shared" si="34"/>
        <v>0</v>
      </c>
      <c r="K99" s="337">
        <f t="shared" si="27"/>
        <v>0</v>
      </c>
      <c r="L99" s="337">
        <f t="shared" si="35"/>
        <v>0</v>
      </c>
      <c r="M99" s="337">
        <f t="shared" si="28"/>
        <v>0</v>
      </c>
      <c r="N99" s="337">
        <f t="shared" si="36"/>
        <v>0</v>
      </c>
      <c r="O99" s="337">
        <f t="shared" si="37"/>
        <v>0</v>
      </c>
      <c r="P99" s="337"/>
      <c r="Q99" s="337"/>
      <c r="R99" s="337">
        <f t="shared" si="29"/>
        <v>0</v>
      </c>
      <c r="S99" s="410">
        <f t="shared" si="30"/>
        <v>0</v>
      </c>
      <c r="T99" s="339"/>
    </row>
    <row r="100" spans="1:20" s="327" customFormat="1" ht="31.5" hidden="1" thickBot="1">
      <c r="A100" s="334"/>
      <c r="B100" s="335"/>
      <c r="C100" s="340">
        <v>1</v>
      </c>
      <c r="D100" s="337"/>
      <c r="E100" s="337">
        <f t="shared" si="38"/>
        <v>0</v>
      </c>
      <c r="F100" s="337">
        <f t="shared" si="31"/>
        <v>1.22</v>
      </c>
      <c r="G100" s="337">
        <f t="shared" si="32"/>
        <v>1.32</v>
      </c>
      <c r="H100" s="337">
        <f t="shared" si="26"/>
        <v>0</v>
      </c>
      <c r="I100" s="337">
        <f t="shared" si="33"/>
        <v>0</v>
      </c>
      <c r="J100" s="338">
        <f t="shared" si="34"/>
        <v>0</v>
      </c>
      <c r="K100" s="337">
        <f t="shared" si="27"/>
        <v>0</v>
      </c>
      <c r="L100" s="337">
        <f t="shared" si="35"/>
        <v>0</v>
      </c>
      <c r="M100" s="337">
        <f t="shared" si="28"/>
        <v>0</v>
      </c>
      <c r="N100" s="337">
        <f t="shared" si="36"/>
        <v>0</v>
      </c>
      <c r="O100" s="337">
        <f t="shared" si="37"/>
        <v>0</v>
      </c>
      <c r="P100" s="337"/>
      <c r="Q100" s="337"/>
      <c r="R100" s="337">
        <f t="shared" si="29"/>
        <v>0</v>
      </c>
      <c r="S100" s="410">
        <f t="shared" si="30"/>
        <v>0</v>
      </c>
      <c r="T100" s="339"/>
    </row>
    <row r="101" spans="1:20" s="327" customFormat="1" ht="45" customHeight="1" thickBot="1">
      <c r="A101" s="1625" t="s">
        <v>21</v>
      </c>
      <c r="B101" s="1626"/>
      <c r="C101" s="341"/>
      <c r="D101" s="341"/>
      <c r="E101" s="341">
        <f>SUM(E66:E100)</f>
        <v>1054</v>
      </c>
      <c r="F101" s="341"/>
      <c r="G101" s="341"/>
      <c r="H101" s="341">
        <f>SUM(H66:H100)</f>
        <v>2078.19</v>
      </c>
      <c r="I101" s="341">
        <f t="shared" ref="I101:S101" si="55">SUM(I66:I100)</f>
        <v>297.86</v>
      </c>
      <c r="J101" s="341">
        <f t="shared" si="55"/>
        <v>5733.81</v>
      </c>
      <c r="K101" s="341">
        <f t="shared" si="55"/>
        <v>1285.8800000000001</v>
      </c>
      <c r="L101" s="341">
        <f t="shared" si="55"/>
        <v>1285.8800000000001</v>
      </c>
      <c r="M101" s="341">
        <f t="shared" si="55"/>
        <v>297.86</v>
      </c>
      <c r="N101" s="341">
        <f t="shared" si="55"/>
        <v>1246.24</v>
      </c>
      <c r="O101" s="341">
        <f t="shared" si="55"/>
        <v>534.11</v>
      </c>
      <c r="P101" s="341">
        <f t="shared" si="55"/>
        <v>48603.360000000001</v>
      </c>
      <c r="Q101" s="341">
        <f t="shared" si="55"/>
        <v>11826.82</v>
      </c>
      <c r="R101" s="341">
        <f t="shared" si="55"/>
        <v>4039.38</v>
      </c>
      <c r="S101" s="341">
        <f t="shared" si="55"/>
        <v>1054</v>
      </c>
      <c r="T101" s="342"/>
    </row>
    <row r="102" spans="1:20" s="327" customFormat="1" ht="45" customHeight="1" thickBot="1">
      <c r="A102" s="413"/>
      <c r="C102" s="345"/>
      <c r="D102" s="345"/>
      <c r="E102" s="345"/>
      <c r="F102" s="345"/>
      <c r="G102" s="345"/>
      <c r="S102" s="412"/>
    </row>
    <row r="103" spans="1:20" s="327" customFormat="1" ht="45" customHeight="1" thickBot="1">
      <c r="A103" s="1627" t="s">
        <v>309</v>
      </c>
      <c r="B103" s="1628"/>
      <c r="C103" s="1628"/>
      <c r="D103" s="1628"/>
      <c r="E103" s="1628"/>
      <c r="F103" s="1628"/>
      <c r="G103" s="1628"/>
      <c r="H103" s="1628"/>
      <c r="I103" s="1628"/>
      <c r="J103" s="1628"/>
      <c r="K103" s="1628"/>
      <c r="L103" s="1628"/>
      <c r="M103" s="1628"/>
      <c r="N103" s="1628"/>
      <c r="O103" s="1628"/>
      <c r="P103" s="1628"/>
      <c r="Q103" s="1628"/>
      <c r="R103" s="1628"/>
      <c r="S103" s="1629"/>
      <c r="T103" s="326"/>
    </row>
    <row r="104" spans="1:20" s="327" customFormat="1" ht="45" customHeight="1">
      <c r="A104" s="1630" t="s">
        <v>6</v>
      </c>
      <c r="B104" s="1633" t="s">
        <v>311</v>
      </c>
      <c r="C104" s="1636" t="s">
        <v>463</v>
      </c>
      <c r="D104" s="1636"/>
      <c r="E104" s="1636"/>
      <c r="F104" s="1645" t="s">
        <v>446</v>
      </c>
      <c r="G104" s="1645"/>
      <c r="H104" s="1645"/>
      <c r="I104" s="1645" t="s">
        <v>447</v>
      </c>
      <c r="J104" s="1643" t="s">
        <v>450</v>
      </c>
      <c r="K104" s="1645" t="s">
        <v>303</v>
      </c>
      <c r="L104" s="1645" t="s">
        <v>305</v>
      </c>
      <c r="M104" s="1647" t="s">
        <v>304</v>
      </c>
      <c r="N104" s="1638" t="s">
        <v>448</v>
      </c>
      <c r="O104" s="1638" t="s">
        <v>497</v>
      </c>
      <c r="P104" s="1643" t="s">
        <v>943</v>
      </c>
      <c r="Q104" s="1643" t="s">
        <v>944</v>
      </c>
      <c r="R104" s="1638" t="s">
        <v>449</v>
      </c>
      <c r="S104" s="1641" t="s">
        <v>306</v>
      </c>
      <c r="T104" s="326"/>
    </row>
    <row r="105" spans="1:20" s="327" customFormat="1" ht="45" customHeight="1">
      <c r="A105" s="1631"/>
      <c r="B105" s="1634"/>
      <c r="C105" s="1637"/>
      <c r="D105" s="1637"/>
      <c r="E105" s="1637"/>
      <c r="F105" s="1646"/>
      <c r="G105" s="1646"/>
      <c r="H105" s="1646"/>
      <c r="I105" s="1646"/>
      <c r="J105" s="1644"/>
      <c r="K105" s="1646"/>
      <c r="L105" s="1646"/>
      <c r="M105" s="1648"/>
      <c r="N105" s="1640"/>
      <c r="O105" s="1640"/>
      <c r="P105" s="1644"/>
      <c r="Q105" s="1644"/>
      <c r="R105" s="1639"/>
      <c r="S105" s="1642"/>
      <c r="T105" s="326"/>
    </row>
    <row r="106" spans="1:20" s="327" customFormat="1" ht="45" customHeight="1">
      <c r="A106" s="1631"/>
      <c r="B106" s="1634"/>
      <c r="C106" s="328" t="s">
        <v>146</v>
      </c>
      <c r="D106" s="329" t="s">
        <v>316</v>
      </c>
      <c r="E106" s="328" t="s">
        <v>302</v>
      </c>
      <c r="F106" s="328" t="s">
        <v>296</v>
      </c>
      <c r="G106" s="328" t="s">
        <v>301</v>
      </c>
      <c r="H106" s="328" t="s">
        <v>21</v>
      </c>
      <c r="I106" s="1646"/>
      <c r="J106" s="1644"/>
      <c r="K106" s="1646"/>
      <c r="L106" s="1646"/>
      <c r="M106" s="1649"/>
      <c r="N106" s="328" t="s">
        <v>21</v>
      </c>
      <c r="O106" s="328" t="s">
        <v>21</v>
      </c>
      <c r="P106" s="1644"/>
      <c r="Q106" s="1644"/>
      <c r="R106" s="1640"/>
      <c r="S106" s="1642"/>
      <c r="T106" s="326"/>
    </row>
    <row r="107" spans="1:20" s="327" customFormat="1" ht="60" customHeight="1">
      <c r="A107" s="1631"/>
      <c r="B107" s="1634"/>
      <c r="C107" s="487"/>
      <c r="D107" s="487"/>
      <c r="E107" s="487" t="s">
        <v>49</v>
      </c>
      <c r="F107" s="487" t="s">
        <v>52</v>
      </c>
      <c r="G107" s="487" t="s">
        <v>14</v>
      </c>
      <c r="H107" s="487" t="s">
        <v>621</v>
      </c>
      <c r="I107" s="487" t="s">
        <v>626</v>
      </c>
      <c r="J107" s="486" t="s">
        <v>942</v>
      </c>
      <c r="K107" s="487" t="s">
        <v>623</v>
      </c>
      <c r="L107" s="487" t="s">
        <v>624</v>
      </c>
      <c r="M107" s="487" t="s">
        <v>625</v>
      </c>
      <c r="N107" s="487" t="s">
        <v>627</v>
      </c>
      <c r="O107" s="487" t="s">
        <v>628</v>
      </c>
      <c r="P107" s="486" t="s">
        <v>942</v>
      </c>
      <c r="Q107" s="486" t="s">
        <v>942</v>
      </c>
      <c r="R107" s="487" t="s">
        <v>629</v>
      </c>
      <c r="S107" s="485" t="s">
        <v>630</v>
      </c>
      <c r="T107" s="326"/>
    </row>
    <row r="108" spans="1:20" s="327" customFormat="1" ht="60" customHeight="1" thickBot="1">
      <c r="A108" s="1632"/>
      <c r="B108" s="1635"/>
      <c r="C108" s="330" t="s">
        <v>300</v>
      </c>
      <c r="D108" s="330" t="s">
        <v>297</v>
      </c>
      <c r="E108" s="330" t="s">
        <v>297</v>
      </c>
      <c r="F108" s="330" t="s">
        <v>478</v>
      </c>
      <c r="G108" s="332" t="s">
        <v>631</v>
      </c>
      <c r="H108" s="330"/>
      <c r="I108" s="330"/>
      <c r="J108" s="331">
        <v>15.4</v>
      </c>
      <c r="K108" s="330"/>
      <c r="L108" s="330"/>
      <c r="M108" s="330"/>
      <c r="N108" s="330"/>
      <c r="O108" s="332"/>
      <c r="P108" s="332">
        <v>30</v>
      </c>
      <c r="Q108" s="332">
        <v>7.3</v>
      </c>
      <c r="R108" s="332" t="s">
        <v>495</v>
      </c>
      <c r="S108" s="409"/>
      <c r="T108" s="333"/>
    </row>
    <row r="109" spans="1:20" s="327" customFormat="1" ht="45" customHeight="1">
      <c r="A109" s="334">
        <f t="shared" ref="A109:A135" si="56">A20</f>
        <v>1</v>
      </c>
      <c r="B109" s="335" t="str">
        <f t="shared" ref="B109:B135" si="57">B20</f>
        <v>R. DA PUPUNHEIRA</v>
      </c>
      <c r="C109" s="336">
        <v>1</v>
      </c>
      <c r="D109" s="336"/>
      <c r="E109" s="336">
        <f>C109*D109</f>
        <v>0</v>
      </c>
      <c r="F109" s="337">
        <f>0.96+0.5</f>
        <v>1.46</v>
      </c>
      <c r="G109" s="337">
        <f>((0.96+0.6)+((0.96+0.6)+(E109*0.5%)))/2</f>
        <v>1.56</v>
      </c>
      <c r="H109" s="337">
        <f t="shared" ref="H109:H144" si="58">E109*F109*G109</f>
        <v>0</v>
      </c>
      <c r="I109" s="337">
        <f>M109</f>
        <v>0</v>
      </c>
      <c r="J109" s="338">
        <f>I109*1.25*$J$19</f>
        <v>0</v>
      </c>
      <c r="K109" s="337">
        <f t="shared" ref="K109:K144" si="59">E109*F109</f>
        <v>0</v>
      </c>
      <c r="L109" s="337">
        <f>K109</f>
        <v>0</v>
      </c>
      <c r="M109" s="337">
        <f t="shared" ref="M109:M144" si="60">(3.14*0.4^2)*E109</f>
        <v>0</v>
      </c>
      <c r="N109" s="337">
        <f>(H109-M109)*70%</f>
        <v>0</v>
      </c>
      <c r="O109" s="337">
        <f>(H109-M109)*30%</f>
        <v>0</v>
      </c>
      <c r="P109" s="337"/>
      <c r="Q109" s="337"/>
      <c r="R109" s="337">
        <f t="shared" ref="R109:R144" si="61">IF(G109&gt;1.5,D109*G109*2,)</f>
        <v>0</v>
      </c>
      <c r="S109" s="410">
        <f t="shared" ref="S109:S144" si="62">E109</f>
        <v>0</v>
      </c>
      <c r="T109" s="339"/>
    </row>
    <row r="110" spans="1:20" s="327" customFormat="1" ht="45" customHeight="1">
      <c r="A110" s="334">
        <f t="shared" si="56"/>
        <v>2</v>
      </c>
      <c r="B110" s="335" t="str">
        <f t="shared" si="57"/>
        <v>R. TANGERINA</v>
      </c>
      <c r="C110" s="340">
        <v>1</v>
      </c>
      <c r="D110" s="337"/>
      <c r="E110" s="337">
        <f>C110*D110</f>
        <v>0</v>
      </c>
      <c r="F110" s="337">
        <f t="shared" ref="F110:F144" si="63">0.96+0.5</f>
        <v>1.46</v>
      </c>
      <c r="G110" s="337">
        <f t="shared" ref="G110:G144" si="64">((0.96+0.6)+((0.96+0.6)+(E110*0.5%)))/2</f>
        <v>1.56</v>
      </c>
      <c r="H110" s="337">
        <f t="shared" si="58"/>
        <v>0</v>
      </c>
      <c r="I110" s="337">
        <f t="shared" ref="I110:I144" si="65">M110</f>
        <v>0</v>
      </c>
      <c r="J110" s="338">
        <f t="shared" ref="J110:J144" si="66">I110*1.25*$J$19</f>
        <v>0</v>
      </c>
      <c r="K110" s="337">
        <f t="shared" si="59"/>
        <v>0</v>
      </c>
      <c r="L110" s="337">
        <f t="shared" ref="L110:L144" si="67">K110</f>
        <v>0</v>
      </c>
      <c r="M110" s="337">
        <f t="shared" si="60"/>
        <v>0</v>
      </c>
      <c r="N110" s="337">
        <f t="shared" ref="N110:N144" si="68">(H110-M110)*70%</f>
        <v>0</v>
      </c>
      <c r="O110" s="337">
        <f t="shared" ref="O110:O144" si="69">(H110-M110)*30%</f>
        <v>0</v>
      </c>
      <c r="P110" s="338">
        <f>N110*1.3*$P$19</f>
        <v>0</v>
      </c>
      <c r="Q110" s="338">
        <f>N110*1.3*$Q$19</f>
        <v>0</v>
      </c>
      <c r="R110" s="337">
        <f t="shared" si="61"/>
        <v>0</v>
      </c>
      <c r="S110" s="410">
        <f t="shared" si="62"/>
        <v>0</v>
      </c>
      <c r="T110" s="339"/>
    </row>
    <row r="111" spans="1:20" s="327" customFormat="1" ht="45" customHeight="1">
      <c r="A111" s="334">
        <f t="shared" si="56"/>
        <v>3</v>
      </c>
      <c r="B111" s="335" t="str">
        <f t="shared" si="57"/>
        <v>PASS. LARANJEIRA</v>
      </c>
      <c r="C111" s="340">
        <v>1</v>
      </c>
      <c r="D111" s="337"/>
      <c r="E111" s="337">
        <f t="shared" ref="E111:E144" si="70">C111*D111</f>
        <v>0</v>
      </c>
      <c r="F111" s="337">
        <f t="shared" si="63"/>
        <v>1.46</v>
      </c>
      <c r="G111" s="337">
        <f t="shared" si="64"/>
        <v>1.56</v>
      </c>
      <c r="H111" s="337">
        <f t="shared" si="58"/>
        <v>0</v>
      </c>
      <c r="I111" s="337">
        <f t="shared" si="65"/>
        <v>0</v>
      </c>
      <c r="J111" s="338">
        <f t="shared" si="66"/>
        <v>0</v>
      </c>
      <c r="K111" s="337">
        <f t="shared" si="59"/>
        <v>0</v>
      </c>
      <c r="L111" s="337">
        <f t="shared" si="67"/>
        <v>0</v>
      </c>
      <c r="M111" s="337">
        <f t="shared" si="60"/>
        <v>0</v>
      </c>
      <c r="N111" s="337">
        <f t="shared" si="68"/>
        <v>0</v>
      </c>
      <c r="O111" s="337">
        <f t="shared" si="69"/>
        <v>0</v>
      </c>
      <c r="P111" s="338">
        <f t="shared" ref="P111:P130" si="71">N111*1.3*$P$19</f>
        <v>0</v>
      </c>
      <c r="Q111" s="338">
        <f t="shared" ref="Q111:Q130" si="72">N111*1.3*$Q$19</f>
        <v>0</v>
      </c>
      <c r="R111" s="337">
        <f t="shared" si="61"/>
        <v>0</v>
      </c>
      <c r="S111" s="410">
        <f t="shared" si="62"/>
        <v>0</v>
      </c>
      <c r="T111" s="339"/>
    </row>
    <row r="112" spans="1:20" s="327" customFormat="1" ht="45" customHeight="1">
      <c r="A112" s="334">
        <f t="shared" si="56"/>
        <v>4</v>
      </c>
      <c r="B112" s="335" t="str">
        <f t="shared" si="57"/>
        <v xml:space="preserve">TV. FÉ EM DEUS </v>
      </c>
      <c r="C112" s="340">
        <v>1</v>
      </c>
      <c r="D112" s="337"/>
      <c r="E112" s="337">
        <f t="shared" si="70"/>
        <v>0</v>
      </c>
      <c r="F112" s="337">
        <f t="shared" si="63"/>
        <v>1.46</v>
      </c>
      <c r="G112" s="337">
        <f t="shared" si="64"/>
        <v>1.56</v>
      </c>
      <c r="H112" s="337">
        <f t="shared" si="58"/>
        <v>0</v>
      </c>
      <c r="I112" s="337">
        <f t="shared" si="65"/>
        <v>0</v>
      </c>
      <c r="J112" s="338">
        <f t="shared" si="66"/>
        <v>0</v>
      </c>
      <c r="K112" s="337">
        <f t="shared" si="59"/>
        <v>0</v>
      </c>
      <c r="L112" s="337">
        <f t="shared" si="67"/>
        <v>0</v>
      </c>
      <c r="M112" s="337">
        <f t="shared" si="60"/>
        <v>0</v>
      </c>
      <c r="N112" s="337">
        <f t="shared" si="68"/>
        <v>0</v>
      </c>
      <c r="O112" s="337">
        <f t="shared" si="69"/>
        <v>0</v>
      </c>
      <c r="P112" s="338">
        <f t="shared" si="71"/>
        <v>0</v>
      </c>
      <c r="Q112" s="338">
        <f t="shared" si="72"/>
        <v>0</v>
      </c>
      <c r="R112" s="337">
        <f t="shared" si="61"/>
        <v>0</v>
      </c>
      <c r="S112" s="410">
        <f t="shared" si="62"/>
        <v>0</v>
      </c>
      <c r="T112" s="339"/>
    </row>
    <row r="113" spans="1:20" s="327" customFormat="1" ht="45" customHeight="1">
      <c r="A113" s="334">
        <f t="shared" si="56"/>
        <v>5</v>
      </c>
      <c r="B113" s="335" t="str">
        <f t="shared" si="57"/>
        <v>RUA PAULO ASSUNÇÃO</v>
      </c>
      <c r="C113" s="340">
        <v>1</v>
      </c>
      <c r="D113" s="337">
        <v>353</v>
      </c>
      <c r="E113" s="337">
        <f t="shared" si="70"/>
        <v>353</v>
      </c>
      <c r="F113" s="337">
        <f t="shared" si="63"/>
        <v>1.46</v>
      </c>
      <c r="G113" s="337">
        <f t="shared" si="64"/>
        <v>2.44</v>
      </c>
      <c r="H113" s="337">
        <f>(E113*F113*G113)-(E113*F113*0.5)</f>
        <v>999.84</v>
      </c>
      <c r="I113" s="337">
        <f t="shared" si="65"/>
        <v>177.35</v>
      </c>
      <c r="J113" s="338">
        <f t="shared" si="66"/>
        <v>3413.99</v>
      </c>
      <c r="K113" s="337">
        <f t="shared" si="59"/>
        <v>515.38</v>
      </c>
      <c r="L113" s="337">
        <f t="shared" si="67"/>
        <v>515.38</v>
      </c>
      <c r="M113" s="337">
        <f t="shared" si="60"/>
        <v>177.35</v>
      </c>
      <c r="N113" s="337">
        <f t="shared" si="68"/>
        <v>575.74</v>
      </c>
      <c r="O113" s="337">
        <f t="shared" si="69"/>
        <v>246.75</v>
      </c>
      <c r="P113" s="338">
        <f t="shared" si="71"/>
        <v>22453.86</v>
      </c>
      <c r="Q113" s="338">
        <f t="shared" si="72"/>
        <v>5463.77</v>
      </c>
      <c r="R113" s="337">
        <f t="shared" si="61"/>
        <v>1722.64</v>
      </c>
      <c r="S113" s="410">
        <f t="shared" si="62"/>
        <v>353</v>
      </c>
      <c r="T113" s="339"/>
    </row>
    <row r="114" spans="1:20" s="327" customFormat="1" ht="45" customHeight="1">
      <c r="A114" s="334">
        <f t="shared" si="56"/>
        <v>6</v>
      </c>
      <c r="B114" s="335" t="str">
        <f t="shared" si="57"/>
        <v>PASS PAULO ASSUNÇÃO</v>
      </c>
      <c r="C114" s="340">
        <v>1</v>
      </c>
      <c r="D114" s="337"/>
      <c r="E114" s="337">
        <f t="shared" si="70"/>
        <v>0</v>
      </c>
      <c r="F114" s="337">
        <f t="shared" si="63"/>
        <v>1.46</v>
      </c>
      <c r="G114" s="337">
        <f t="shared" si="64"/>
        <v>1.56</v>
      </c>
      <c r="H114" s="337">
        <f t="shared" si="58"/>
        <v>0</v>
      </c>
      <c r="I114" s="337">
        <f t="shared" si="65"/>
        <v>0</v>
      </c>
      <c r="J114" s="338">
        <f t="shared" si="66"/>
        <v>0</v>
      </c>
      <c r="K114" s="337">
        <f t="shared" si="59"/>
        <v>0</v>
      </c>
      <c r="L114" s="337">
        <f t="shared" si="67"/>
        <v>0</v>
      </c>
      <c r="M114" s="337">
        <f t="shared" si="60"/>
        <v>0</v>
      </c>
      <c r="N114" s="337">
        <f t="shared" si="68"/>
        <v>0</v>
      </c>
      <c r="O114" s="337">
        <f t="shared" si="69"/>
        <v>0</v>
      </c>
      <c r="P114" s="338">
        <f t="shared" si="71"/>
        <v>0</v>
      </c>
      <c r="Q114" s="338">
        <f t="shared" si="72"/>
        <v>0</v>
      </c>
      <c r="R114" s="337">
        <f t="shared" si="61"/>
        <v>0</v>
      </c>
      <c r="S114" s="410">
        <f t="shared" si="62"/>
        <v>0</v>
      </c>
      <c r="T114" s="339"/>
    </row>
    <row r="115" spans="1:20" s="327" customFormat="1" ht="45" customHeight="1">
      <c r="A115" s="334">
        <f t="shared" si="56"/>
        <v>7</v>
      </c>
      <c r="B115" s="335" t="str">
        <f t="shared" si="57"/>
        <v>RUA DO PISCINÃO</v>
      </c>
      <c r="C115" s="340">
        <v>1</v>
      </c>
      <c r="D115" s="337"/>
      <c r="E115" s="337">
        <f t="shared" si="70"/>
        <v>0</v>
      </c>
      <c r="F115" s="337">
        <f t="shared" si="63"/>
        <v>1.46</v>
      </c>
      <c r="G115" s="337">
        <f t="shared" si="64"/>
        <v>1.56</v>
      </c>
      <c r="H115" s="337">
        <f t="shared" si="58"/>
        <v>0</v>
      </c>
      <c r="I115" s="337">
        <f t="shared" si="65"/>
        <v>0</v>
      </c>
      <c r="J115" s="338">
        <f t="shared" si="66"/>
        <v>0</v>
      </c>
      <c r="K115" s="337">
        <f t="shared" si="59"/>
        <v>0</v>
      </c>
      <c r="L115" s="337">
        <f t="shared" si="67"/>
        <v>0</v>
      </c>
      <c r="M115" s="337">
        <f t="shared" si="60"/>
        <v>0</v>
      </c>
      <c r="N115" s="337">
        <f t="shared" si="68"/>
        <v>0</v>
      </c>
      <c r="O115" s="337">
        <f t="shared" si="69"/>
        <v>0</v>
      </c>
      <c r="P115" s="338">
        <f t="shared" si="71"/>
        <v>0</v>
      </c>
      <c r="Q115" s="338">
        <f t="shared" si="72"/>
        <v>0</v>
      </c>
      <c r="R115" s="337">
        <f t="shared" si="61"/>
        <v>0</v>
      </c>
      <c r="S115" s="410">
        <f t="shared" si="62"/>
        <v>0</v>
      </c>
      <c r="T115" s="339"/>
    </row>
    <row r="116" spans="1:20" s="327" customFormat="1" ht="45" customHeight="1">
      <c r="A116" s="334">
        <f t="shared" si="56"/>
        <v>8</v>
      </c>
      <c r="B116" s="335" t="str">
        <f t="shared" si="57"/>
        <v>TV DEUS PROVERÁ</v>
      </c>
      <c r="C116" s="340">
        <v>1</v>
      </c>
      <c r="D116" s="337"/>
      <c r="E116" s="337">
        <f t="shared" si="70"/>
        <v>0</v>
      </c>
      <c r="F116" s="337">
        <f t="shared" si="63"/>
        <v>1.46</v>
      </c>
      <c r="G116" s="337">
        <f t="shared" si="64"/>
        <v>1.56</v>
      </c>
      <c r="H116" s="337">
        <f t="shared" si="58"/>
        <v>0</v>
      </c>
      <c r="I116" s="337">
        <f t="shared" si="65"/>
        <v>0</v>
      </c>
      <c r="J116" s="338">
        <f t="shared" si="66"/>
        <v>0</v>
      </c>
      <c r="K116" s="337">
        <f t="shared" si="59"/>
        <v>0</v>
      </c>
      <c r="L116" s="337">
        <f t="shared" si="67"/>
        <v>0</v>
      </c>
      <c r="M116" s="337">
        <f t="shared" si="60"/>
        <v>0</v>
      </c>
      <c r="N116" s="337">
        <f t="shared" si="68"/>
        <v>0</v>
      </c>
      <c r="O116" s="337">
        <f t="shared" si="69"/>
        <v>0</v>
      </c>
      <c r="P116" s="338">
        <f t="shared" si="71"/>
        <v>0</v>
      </c>
      <c r="Q116" s="338">
        <f t="shared" si="72"/>
        <v>0</v>
      </c>
      <c r="R116" s="337">
        <f t="shared" si="61"/>
        <v>0</v>
      </c>
      <c r="S116" s="410">
        <f t="shared" si="62"/>
        <v>0</v>
      </c>
      <c r="T116" s="339"/>
    </row>
    <row r="117" spans="1:20" s="327" customFormat="1" ht="45" customHeight="1">
      <c r="A117" s="334">
        <f t="shared" si="56"/>
        <v>9</v>
      </c>
      <c r="B117" s="335" t="str">
        <f t="shared" si="57"/>
        <v>RUA A</v>
      </c>
      <c r="C117" s="340">
        <v>1</v>
      </c>
      <c r="D117" s="337"/>
      <c r="E117" s="337">
        <f t="shared" si="70"/>
        <v>0</v>
      </c>
      <c r="F117" s="337">
        <f t="shared" si="63"/>
        <v>1.46</v>
      </c>
      <c r="G117" s="337">
        <f t="shared" si="64"/>
        <v>1.56</v>
      </c>
      <c r="H117" s="337">
        <f t="shared" si="58"/>
        <v>0</v>
      </c>
      <c r="I117" s="337">
        <f t="shared" si="65"/>
        <v>0</v>
      </c>
      <c r="J117" s="338">
        <f t="shared" si="66"/>
        <v>0</v>
      </c>
      <c r="K117" s="337">
        <f t="shared" si="59"/>
        <v>0</v>
      </c>
      <c r="L117" s="337">
        <f t="shared" si="67"/>
        <v>0</v>
      </c>
      <c r="M117" s="337">
        <f t="shared" si="60"/>
        <v>0</v>
      </c>
      <c r="N117" s="337">
        <f t="shared" si="68"/>
        <v>0</v>
      </c>
      <c r="O117" s="337">
        <f t="shared" si="69"/>
        <v>0</v>
      </c>
      <c r="P117" s="338">
        <f t="shared" si="71"/>
        <v>0</v>
      </c>
      <c r="Q117" s="338">
        <f t="shared" si="72"/>
        <v>0</v>
      </c>
      <c r="R117" s="337">
        <f t="shared" si="61"/>
        <v>0</v>
      </c>
      <c r="S117" s="410">
        <f t="shared" si="62"/>
        <v>0</v>
      </c>
      <c r="T117" s="339"/>
    </row>
    <row r="118" spans="1:20" s="327" customFormat="1" ht="45" customHeight="1">
      <c r="A118" s="334">
        <f t="shared" si="56"/>
        <v>10</v>
      </c>
      <c r="B118" s="335" t="str">
        <f t="shared" si="57"/>
        <v>RUA B</v>
      </c>
      <c r="C118" s="340">
        <v>1</v>
      </c>
      <c r="D118" s="337"/>
      <c r="E118" s="337">
        <f t="shared" si="70"/>
        <v>0</v>
      </c>
      <c r="F118" s="337">
        <f t="shared" si="63"/>
        <v>1.46</v>
      </c>
      <c r="G118" s="337">
        <f t="shared" si="64"/>
        <v>1.56</v>
      </c>
      <c r="H118" s="337">
        <f t="shared" si="58"/>
        <v>0</v>
      </c>
      <c r="I118" s="337">
        <f t="shared" si="65"/>
        <v>0</v>
      </c>
      <c r="J118" s="338">
        <f t="shared" si="66"/>
        <v>0</v>
      </c>
      <c r="K118" s="337">
        <f t="shared" si="59"/>
        <v>0</v>
      </c>
      <c r="L118" s="337">
        <f t="shared" si="67"/>
        <v>0</v>
      </c>
      <c r="M118" s="337">
        <f t="shared" si="60"/>
        <v>0</v>
      </c>
      <c r="N118" s="337">
        <f t="shared" si="68"/>
        <v>0</v>
      </c>
      <c r="O118" s="337">
        <f t="shared" si="69"/>
        <v>0</v>
      </c>
      <c r="P118" s="338">
        <f t="shared" si="71"/>
        <v>0</v>
      </c>
      <c r="Q118" s="338">
        <f t="shared" si="72"/>
        <v>0</v>
      </c>
      <c r="R118" s="337">
        <f t="shared" si="61"/>
        <v>0</v>
      </c>
      <c r="S118" s="410">
        <f t="shared" si="62"/>
        <v>0</v>
      </c>
      <c r="T118" s="339"/>
    </row>
    <row r="119" spans="1:20" s="327" customFormat="1" ht="45" customHeight="1">
      <c r="A119" s="334">
        <f t="shared" si="56"/>
        <v>14</v>
      </c>
      <c r="B119" s="335" t="str">
        <f t="shared" si="57"/>
        <v>RUA DAS ORQUIDEAS</v>
      </c>
      <c r="C119" s="340">
        <v>1</v>
      </c>
      <c r="D119" s="337"/>
      <c r="E119" s="337">
        <f t="shared" si="70"/>
        <v>0</v>
      </c>
      <c r="F119" s="337">
        <f t="shared" si="63"/>
        <v>1.46</v>
      </c>
      <c r="G119" s="337">
        <f t="shared" si="64"/>
        <v>1.56</v>
      </c>
      <c r="H119" s="337">
        <f t="shared" si="58"/>
        <v>0</v>
      </c>
      <c r="I119" s="337">
        <f t="shared" si="65"/>
        <v>0</v>
      </c>
      <c r="J119" s="338">
        <f t="shared" si="66"/>
        <v>0</v>
      </c>
      <c r="K119" s="337">
        <f t="shared" si="59"/>
        <v>0</v>
      </c>
      <c r="L119" s="337">
        <f t="shared" si="67"/>
        <v>0</v>
      </c>
      <c r="M119" s="337">
        <f t="shared" si="60"/>
        <v>0</v>
      </c>
      <c r="N119" s="337">
        <f t="shared" si="68"/>
        <v>0</v>
      </c>
      <c r="O119" s="337">
        <f t="shared" si="69"/>
        <v>0</v>
      </c>
      <c r="P119" s="338">
        <f t="shared" si="71"/>
        <v>0</v>
      </c>
      <c r="Q119" s="338">
        <f t="shared" si="72"/>
        <v>0</v>
      </c>
      <c r="R119" s="337">
        <f t="shared" si="61"/>
        <v>0</v>
      </c>
      <c r="S119" s="410">
        <f t="shared" si="62"/>
        <v>0</v>
      </c>
      <c r="T119" s="339"/>
    </row>
    <row r="120" spans="1:20" s="327" customFormat="1" ht="45" customHeight="1">
      <c r="A120" s="334">
        <f t="shared" si="56"/>
        <v>15</v>
      </c>
      <c r="B120" s="335" t="str">
        <f t="shared" si="57"/>
        <v>RUA HUM</v>
      </c>
      <c r="C120" s="340">
        <v>1</v>
      </c>
      <c r="D120" s="337"/>
      <c r="E120" s="337">
        <f t="shared" si="70"/>
        <v>0</v>
      </c>
      <c r="F120" s="337">
        <f t="shared" si="63"/>
        <v>1.46</v>
      </c>
      <c r="G120" s="337">
        <f t="shared" si="64"/>
        <v>1.56</v>
      </c>
      <c r="H120" s="337">
        <f t="shared" si="58"/>
        <v>0</v>
      </c>
      <c r="I120" s="337">
        <f t="shared" si="65"/>
        <v>0</v>
      </c>
      <c r="J120" s="338">
        <f t="shared" si="66"/>
        <v>0</v>
      </c>
      <c r="K120" s="337">
        <f t="shared" si="59"/>
        <v>0</v>
      </c>
      <c r="L120" s="337">
        <f t="shared" si="67"/>
        <v>0</v>
      </c>
      <c r="M120" s="337">
        <f t="shared" si="60"/>
        <v>0</v>
      </c>
      <c r="N120" s="337">
        <f t="shared" si="68"/>
        <v>0</v>
      </c>
      <c r="O120" s="337">
        <f t="shared" si="69"/>
        <v>0</v>
      </c>
      <c r="P120" s="338">
        <f t="shared" si="71"/>
        <v>0</v>
      </c>
      <c r="Q120" s="338">
        <f t="shared" si="72"/>
        <v>0</v>
      </c>
      <c r="R120" s="337">
        <f t="shared" si="61"/>
        <v>0</v>
      </c>
      <c r="S120" s="410">
        <f t="shared" si="62"/>
        <v>0</v>
      </c>
      <c r="T120" s="339"/>
    </row>
    <row r="121" spans="1:20" s="327" customFormat="1" ht="45" customHeight="1">
      <c r="A121" s="334">
        <f t="shared" si="56"/>
        <v>16</v>
      </c>
      <c r="B121" s="335" t="str">
        <f t="shared" si="57"/>
        <v>RUA DOIS</v>
      </c>
      <c r="C121" s="340">
        <v>1</v>
      </c>
      <c r="D121" s="337"/>
      <c r="E121" s="337">
        <f t="shared" si="70"/>
        <v>0</v>
      </c>
      <c r="F121" s="337">
        <f t="shared" si="63"/>
        <v>1.46</v>
      </c>
      <c r="G121" s="337">
        <f t="shared" si="64"/>
        <v>1.56</v>
      </c>
      <c r="H121" s="337">
        <f t="shared" si="58"/>
        <v>0</v>
      </c>
      <c r="I121" s="337">
        <f t="shared" si="65"/>
        <v>0</v>
      </c>
      <c r="J121" s="338">
        <f t="shared" si="66"/>
        <v>0</v>
      </c>
      <c r="K121" s="337">
        <f t="shared" si="59"/>
        <v>0</v>
      </c>
      <c r="L121" s="337">
        <f t="shared" si="67"/>
        <v>0</v>
      </c>
      <c r="M121" s="337">
        <f t="shared" si="60"/>
        <v>0</v>
      </c>
      <c r="N121" s="337">
        <f t="shared" si="68"/>
        <v>0</v>
      </c>
      <c r="O121" s="337">
        <f t="shared" si="69"/>
        <v>0</v>
      </c>
      <c r="P121" s="338">
        <f t="shared" si="71"/>
        <v>0</v>
      </c>
      <c r="Q121" s="338">
        <f t="shared" si="72"/>
        <v>0</v>
      </c>
      <c r="R121" s="337">
        <f t="shared" si="61"/>
        <v>0</v>
      </c>
      <c r="S121" s="410">
        <f t="shared" si="62"/>
        <v>0</v>
      </c>
      <c r="T121" s="339"/>
    </row>
    <row r="122" spans="1:20" s="327" customFormat="1" ht="45" customHeight="1">
      <c r="A122" s="334">
        <f t="shared" si="56"/>
        <v>17</v>
      </c>
      <c r="B122" s="335" t="str">
        <f t="shared" si="57"/>
        <v>RUA TRÊS</v>
      </c>
      <c r="C122" s="340">
        <v>1</v>
      </c>
      <c r="D122" s="337"/>
      <c r="E122" s="337">
        <f t="shared" si="70"/>
        <v>0</v>
      </c>
      <c r="F122" s="337">
        <f t="shared" si="63"/>
        <v>1.46</v>
      </c>
      <c r="G122" s="337">
        <f t="shared" si="64"/>
        <v>1.56</v>
      </c>
      <c r="H122" s="337">
        <f t="shared" si="58"/>
        <v>0</v>
      </c>
      <c r="I122" s="337">
        <f t="shared" si="65"/>
        <v>0</v>
      </c>
      <c r="J122" s="338">
        <f t="shared" si="66"/>
        <v>0</v>
      </c>
      <c r="K122" s="337">
        <f t="shared" si="59"/>
        <v>0</v>
      </c>
      <c r="L122" s="337">
        <f t="shared" si="67"/>
        <v>0</v>
      </c>
      <c r="M122" s="337">
        <f t="shared" si="60"/>
        <v>0</v>
      </c>
      <c r="N122" s="337">
        <f t="shared" si="68"/>
        <v>0</v>
      </c>
      <c r="O122" s="337">
        <f t="shared" si="69"/>
        <v>0</v>
      </c>
      <c r="P122" s="338">
        <f t="shared" si="71"/>
        <v>0</v>
      </c>
      <c r="Q122" s="338">
        <f t="shared" si="72"/>
        <v>0</v>
      </c>
      <c r="R122" s="337">
        <f t="shared" si="61"/>
        <v>0</v>
      </c>
      <c r="S122" s="410">
        <f t="shared" si="62"/>
        <v>0</v>
      </c>
      <c r="T122" s="339"/>
    </row>
    <row r="123" spans="1:20" s="327" customFormat="1" ht="45" customHeight="1">
      <c r="A123" s="334">
        <f t="shared" si="56"/>
        <v>18</v>
      </c>
      <c r="B123" s="335" t="str">
        <f t="shared" si="57"/>
        <v>PASS DA LUZ</v>
      </c>
      <c r="C123" s="340">
        <v>1</v>
      </c>
      <c r="D123" s="337"/>
      <c r="E123" s="337">
        <f t="shared" si="70"/>
        <v>0</v>
      </c>
      <c r="F123" s="337">
        <f t="shared" si="63"/>
        <v>1.46</v>
      </c>
      <c r="G123" s="337">
        <f t="shared" si="64"/>
        <v>1.56</v>
      </c>
      <c r="H123" s="337">
        <f t="shared" si="58"/>
        <v>0</v>
      </c>
      <c r="I123" s="337">
        <f t="shared" si="65"/>
        <v>0</v>
      </c>
      <c r="J123" s="338">
        <f t="shared" si="66"/>
        <v>0</v>
      </c>
      <c r="K123" s="337">
        <f t="shared" si="59"/>
        <v>0</v>
      </c>
      <c r="L123" s="337">
        <f t="shared" si="67"/>
        <v>0</v>
      </c>
      <c r="M123" s="337">
        <f t="shared" si="60"/>
        <v>0</v>
      </c>
      <c r="N123" s="337">
        <f t="shared" si="68"/>
        <v>0</v>
      </c>
      <c r="O123" s="337">
        <f t="shared" si="69"/>
        <v>0</v>
      </c>
      <c r="P123" s="338">
        <f t="shared" si="71"/>
        <v>0</v>
      </c>
      <c r="Q123" s="338">
        <f t="shared" si="72"/>
        <v>0</v>
      </c>
      <c r="R123" s="337">
        <f t="shared" si="61"/>
        <v>0</v>
      </c>
      <c r="S123" s="410">
        <f t="shared" si="62"/>
        <v>0</v>
      </c>
      <c r="T123" s="339"/>
    </row>
    <row r="124" spans="1:20" s="327" customFormat="1" ht="45" customHeight="1">
      <c r="A124" s="334">
        <f t="shared" si="56"/>
        <v>19</v>
      </c>
      <c r="B124" s="335" t="str">
        <f t="shared" si="57"/>
        <v>RUA FÉ EM DEUS</v>
      </c>
      <c r="C124" s="340">
        <v>1</v>
      </c>
      <c r="D124" s="337"/>
      <c r="E124" s="337">
        <f t="shared" si="70"/>
        <v>0</v>
      </c>
      <c r="F124" s="337">
        <f t="shared" si="63"/>
        <v>1.46</v>
      </c>
      <c r="G124" s="337">
        <f t="shared" si="64"/>
        <v>1.56</v>
      </c>
      <c r="H124" s="337">
        <f t="shared" si="58"/>
        <v>0</v>
      </c>
      <c r="I124" s="337">
        <f t="shared" si="65"/>
        <v>0</v>
      </c>
      <c r="J124" s="338">
        <f t="shared" si="66"/>
        <v>0</v>
      </c>
      <c r="K124" s="337">
        <f t="shared" si="59"/>
        <v>0</v>
      </c>
      <c r="L124" s="337">
        <f t="shared" si="67"/>
        <v>0</v>
      </c>
      <c r="M124" s="337">
        <f t="shared" si="60"/>
        <v>0</v>
      </c>
      <c r="N124" s="337">
        <f t="shared" si="68"/>
        <v>0</v>
      </c>
      <c r="O124" s="337">
        <f t="shared" si="69"/>
        <v>0</v>
      </c>
      <c r="P124" s="338">
        <f t="shared" si="71"/>
        <v>0</v>
      </c>
      <c r="Q124" s="338">
        <f t="shared" si="72"/>
        <v>0</v>
      </c>
      <c r="R124" s="337">
        <f t="shared" si="61"/>
        <v>0</v>
      </c>
      <c r="S124" s="410">
        <f t="shared" si="62"/>
        <v>0</v>
      </c>
      <c r="T124" s="339"/>
    </row>
    <row r="125" spans="1:20" s="327" customFormat="1" ht="45" customHeight="1">
      <c r="A125" s="334">
        <f t="shared" si="56"/>
        <v>20</v>
      </c>
      <c r="B125" s="335" t="str">
        <f t="shared" si="57"/>
        <v>PASS PRINCIPAL</v>
      </c>
      <c r="C125" s="340">
        <v>1</v>
      </c>
      <c r="D125" s="337"/>
      <c r="E125" s="337">
        <f t="shared" si="70"/>
        <v>0</v>
      </c>
      <c r="F125" s="337">
        <f t="shared" si="63"/>
        <v>1.46</v>
      </c>
      <c r="G125" s="337">
        <f t="shared" si="64"/>
        <v>1.56</v>
      </c>
      <c r="H125" s="337">
        <f t="shared" si="58"/>
        <v>0</v>
      </c>
      <c r="I125" s="337">
        <f t="shared" si="65"/>
        <v>0</v>
      </c>
      <c r="J125" s="338">
        <f t="shared" si="66"/>
        <v>0</v>
      </c>
      <c r="K125" s="337">
        <f t="shared" si="59"/>
        <v>0</v>
      </c>
      <c r="L125" s="337">
        <f t="shared" si="67"/>
        <v>0</v>
      </c>
      <c r="M125" s="337">
        <f t="shared" si="60"/>
        <v>0</v>
      </c>
      <c r="N125" s="337">
        <f t="shared" si="68"/>
        <v>0</v>
      </c>
      <c r="O125" s="337">
        <f t="shared" si="69"/>
        <v>0</v>
      </c>
      <c r="P125" s="338">
        <f t="shared" si="71"/>
        <v>0</v>
      </c>
      <c r="Q125" s="338">
        <f t="shared" si="72"/>
        <v>0</v>
      </c>
      <c r="R125" s="337">
        <f t="shared" si="61"/>
        <v>0</v>
      </c>
      <c r="S125" s="410">
        <f t="shared" si="62"/>
        <v>0</v>
      </c>
      <c r="T125" s="339"/>
    </row>
    <row r="126" spans="1:20" s="327" customFormat="1" ht="45" customHeight="1">
      <c r="A126" s="334">
        <f t="shared" si="56"/>
        <v>21</v>
      </c>
      <c r="B126" s="335" t="str">
        <f t="shared" si="57"/>
        <v>PASSAGEM BACELAR</v>
      </c>
      <c r="C126" s="340">
        <v>1</v>
      </c>
      <c r="D126" s="337"/>
      <c r="E126" s="337">
        <f t="shared" si="70"/>
        <v>0</v>
      </c>
      <c r="F126" s="337">
        <f t="shared" si="63"/>
        <v>1.46</v>
      </c>
      <c r="G126" s="337">
        <f t="shared" si="64"/>
        <v>1.56</v>
      </c>
      <c r="H126" s="337">
        <f t="shared" si="58"/>
        <v>0</v>
      </c>
      <c r="I126" s="337">
        <f t="shared" si="65"/>
        <v>0</v>
      </c>
      <c r="J126" s="338">
        <f t="shared" si="66"/>
        <v>0</v>
      </c>
      <c r="K126" s="337">
        <f t="shared" si="59"/>
        <v>0</v>
      </c>
      <c r="L126" s="337">
        <f t="shared" si="67"/>
        <v>0</v>
      </c>
      <c r="M126" s="337">
        <f t="shared" si="60"/>
        <v>0</v>
      </c>
      <c r="N126" s="337">
        <f t="shared" si="68"/>
        <v>0</v>
      </c>
      <c r="O126" s="337">
        <f t="shared" si="69"/>
        <v>0</v>
      </c>
      <c r="P126" s="338">
        <f t="shared" si="71"/>
        <v>0</v>
      </c>
      <c r="Q126" s="338">
        <f t="shared" si="72"/>
        <v>0</v>
      </c>
      <c r="R126" s="337">
        <f t="shared" si="61"/>
        <v>0</v>
      </c>
      <c r="S126" s="410">
        <f t="shared" si="62"/>
        <v>0</v>
      </c>
      <c r="T126" s="339"/>
    </row>
    <row r="127" spans="1:20" s="327" customFormat="1" ht="45" customHeight="1">
      <c r="A127" s="334">
        <f t="shared" si="56"/>
        <v>22</v>
      </c>
      <c r="B127" s="335" t="str">
        <f t="shared" si="57"/>
        <v>PASS DEUS TEM PODER</v>
      </c>
      <c r="C127" s="340">
        <v>1</v>
      </c>
      <c r="D127" s="337"/>
      <c r="E127" s="337">
        <f t="shared" si="70"/>
        <v>0</v>
      </c>
      <c r="F127" s="337">
        <f t="shared" si="63"/>
        <v>1.46</v>
      </c>
      <c r="G127" s="337">
        <f t="shared" si="64"/>
        <v>1.56</v>
      </c>
      <c r="H127" s="337">
        <f t="shared" si="58"/>
        <v>0</v>
      </c>
      <c r="I127" s="337">
        <f t="shared" si="65"/>
        <v>0</v>
      </c>
      <c r="J127" s="338">
        <f t="shared" si="66"/>
        <v>0</v>
      </c>
      <c r="K127" s="337">
        <f t="shared" si="59"/>
        <v>0</v>
      </c>
      <c r="L127" s="337">
        <f t="shared" si="67"/>
        <v>0</v>
      </c>
      <c r="M127" s="337">
        <f t="shared" si="60"/>
        <v>0</v>
      </c>
      <c r="N127" s="337">
        <f t="shared" si="68"/>
        <v>0</v>
      </c>
      <c r="O127" s="337">
        <f t="shared" si="69"/>
        <v>0</v>
      </c>
      <c r="P127" s="338">
        <f t="shared" si="71"/>
        <v>0</v>
      </c>
      <c r="Q127" s="338">
        <f t="shared" si="72"/>
        <v>0</v>
      </c>
      <c r="R127" s="337">
        <f t="shared" si="61"/>
        <v>0</v>
      </c>
      <c r="S127" s="410">
        <f t="shared" si="62"/>
        <v>0</v>
      </c>
      <c r="T127" s="339"/>
    </row>
    <row r="128" spans="1:20" s="327" customFormat="1" ht="45" customHeight="1">
      <c r="A128" s="334">
        <f t="shared" si="56"/>
        <v>23</v>
      </c>
      <c r="B128" s="335" t="str">
        <f t="shared" si="57"/>
        <v>PASS UNIÃO</v>
      </c>
      <c r="C128" s="340">
        <v>1</v>
      </c>
      <c r="D128" s="337">
        <v>42</v>
      </c>
      <c r="E128" s="337">
        <f t="shared" ref="E128:E143" si="73">C128*D128</f>
        <v>42</v>
      </c>
      <c r="F128" s="337">
        <f t="shared" si="63"/>
        <v>1.46</v>
      </c>
      <c r="G128" s="337">
        <f t="shared" ref="G128:G143" si="74">((0.96+0.6)+((0.96+0.6)+(E128*0.5%)))/2</f>
        <v>1.67</v>
      </c>
      <c r="H128" s="337">
        <f>(E128*F128*G128)-(E128*F128*0.5)</f>
        <v>71.739999999999995</v>
      </c>
      <c r="I128" s="337">
        <f t="shared" ref="I128:I143" si="75">M128</f>
        <v>21.1</v>
      </c>
      <c r="J128" s="338">
        <f t="shared" ref="J128:J143" si="76">I128*1.25*$J$19</f>
        <v>406.18</v>
      </c>
      <c r="K128" s="337">
        <f t="shared" ref="K128:K143" si="77">E128*F128</f>
        <v>61.32</v>
      </c>
      <c r="L128" s="337">
        <f t="shared" ref="L128:L143" si="78">K128</f>
        <v>61.32</v>
      </c>
      <c r="M128" s="337">
        <f t="shared" ref="M128:M143" si="79">(3.14*0.4^2)*E128</f>
        <v>21.1</v>
      </c>
      <c r="N128" s="337">
        <f t="shared" ref="N128:N143" si="80">(H128-M128)*70%</f>
        <v>35.450000000000003</v>
      </c>
      <c r="O128" s="337">
        <f t="shared" ref="O128:O143" si="81">(H128-M128)*30%</f>
        <v>15.19</v>
      </c>
      <c r="P128" s="338">
        <f t="shared" si="71"/>
        <v>1382.55</v>
      </c>
      <c r="Q128" s="338">
        <f t="shared" si="72"/>
        <v>336.42</v>
      </c>
      <c r="R128" s="337">
        <f t="shared" ref="R128:R143" si="82">IF(G128&gt;1.5,D128*G128*2,)</f>
        <v>140.28</v>
      </c>
      <c r="S128" s="410">
        <f t="shared" ref="S128:S143" si="83">E128</f>
        <v>42</v>
      </c>
      <c r="T128" s="339"/>
    </row>
    <row r="129" spans="1:20" s="327" customFormat="1" ht="45" customHeight="1">
      <c r="A129" s="334">
        <f t="shared" si="56"/>
        <v>24</v>
      </c>
      <c r="B129" s="335" t="str">
        <f t="shared" si="57"/>
        <v>PASS SÃO JORGE</v>
      </c>
      <c r="C129" s="340">
        <v>1</v>
      </c>
      <c r="D129" s="337"/>
      <c r="E129" s="337">
        <f t="shared" si="73"/>
        <v>0</v>
      </c>
      <c r="F129" s="337">
        <f t="shared" si="63"/>
        <v>1.46</v>
      </c>
      <c r="G129" s="337">
        <f t="shared" si="74"/>
        <v>1.56</v>
      </c>
      <c r="H129" s="337">
        <f t="shared" ref="H129:H143" si="84">E129*F129*G129</f>
        <v>0</v>
      </c>
      <c r="I129" s="337">
        <f t="shared" si="75"/>
        <v>0</v>
      </c>
      <c r="J129" s="338">
        <f t="shared" si="76"/>
        <v>0</v>
      </c>
      <c r="K129" s="337">
        <f t="shared" si="77"/>
        <v>0</v>
      </c>
      <c r="L129" s="337">
        <f t="shared" si="78"/>
        <v>0</v>
      </c>
      <c r="M129" s="337">
        <f t="shared" si="79"/>
        <v>0</v>
      </c>
      <c r="N129" s="337">
        <f t="shared" si="80"/>
        <v>0</v>
      </c>
      <c r="O129" s="337">
        <f t="shared" si="81"/>
        <v>0</v>
      </c>
      <c r="P129" s="338">
        <f t="shared" si="71"/>
        <v>0</v>
      </c>
      <c r="Q129" s="338">
        <f t="shared" si="72"/>
        <v>0</v>
      </c>
      <c r="R129" s="337">
        <f t="shared" si="82"/>
        <v>0</v>
      </c>
      <c r="S129" s="410">
        <f t="shared" si="83"/>
        <v>0</v>
      </c>
      <c r="T129" s="339"/>
    </row>
    <row r="130" spans="1:20" s="327" customFormat="1" ht="45" customHeight="1">
      <c r="A130" s="334">
        <f t="shared" si="56"/>
        <v>25</v>
      </c>
      <c r="B130" s="335" t="str">
        <f t="shared" si="57"/>
        <v>PASS AIRTON SENA</v>
      </c>
      <c r="C130" s="340">
        <v>1</v>
      </c>
      <c r="D130" s="337"/>
      <c r="E130" s="337">
        <f t="shared" si="73"/>
        <v>0</v>
      </c>
      <c r="F130" s="337">
        <f t="shared" si="63"/>
        <v>1.46</v>
      </c>
      <c r="G130" s="337">
        <f t="shared" si="74"/>
        <v>1.56</v>
      </c>
      <c r="H130" s="337">
        <f t="shared" si="84"/>
        <v>0</v>
      </c>
      <c r="I130" s="337">
        <f t="shared" si="75"/>
        <v>0</v>
      </c>
      <c r="J130" s="338">
        <f t="shared" si="76"/>
        <v>0</v>
      </c>
      <c r="K130" s="337">
        <f t="shared" si="77"/>
        <v>0</v>
      </c>
      <c r="L130" s="337">
        <f t="shared" si="78"/>
        <v>0</v>
      </c>
      <c r="M130" s="337">
        <f t="shared" si="79"/>
        <v>0</v>
      </c>
      <c r="N130" s="337">
        <f t="shared" si="80"/>
        <v>0</v>
      </c>
      <c r="O130" s="337">
        <f t="shared" si="81"/>
        <v>0</v>
      </c>
      <c r="P130" s="338">
        <f t="shared" si="71"/>
        <v>0</v>
      </c>
      <c r="Q130" s="338">
        <f t="shared" si="72"/>
        <v>0</v>
      </c>
      <c r="R130" s="337">
        <f t="shared" si="82"/>
        <v>0</v>
      </c>
      <c r="S130" s="410">
        <f t="shared" si="83"/>
        <v>0</v>
      </c>
      <c r="T130" s="339"/>
    </row>
    <row r="131" spans="1:20" s="327" customFormat="1" ht="45" customHeight="1">
      <c r="A131" s="334">
        <f t="shared" si="56"/>
        <v>26</v>
      </c>
      <c r="B131" s="335" t="str">
        <f t="shared" si="57"/>
        <v>RUA AMINTAS PINHEIRO</v>
      </c>
      <c r="C131" s="340">
        <v>1</v>
      </c>
      <c r="D131" s="337">
        <v>258</v>
      </c>
      <c r="E131" s="337">
        <f t="shared" si="73"/>
        <v>258</v>
      </c>
      <c r="F131" s="337">
        <f t="shared" si="63"/>
        <v>1.46</v>
      </c>
      <c r="G131" s="337">
        <f t="shared" si="74"/>
        <v>2.21</v>
      </c>
      <c r="H131" s="337">
        <f t="shared" si="84"/>
        <v>832.46</v>
      </c>
      <c r="I131" s="337">
        <f t="shared" si="75"/>
        <v>129.62</v>
      </c>
      <c r="J131" s="338">
        <f t="shared" si="76"/>
        <v>2495.19</v>
      </c>
      <c r="K131" s="337">
        <f t="shared" si="77"/>
        <v>376.68</v>
      </c>
      <c r="L131" s="337">
        <f t="shared" si="78"/>
        <v>376.68</v>
      </c>
      <c r="M131" s="337">
        <f t="shared" si="79"/>
        <v>129.62</v>
      </c>
      <c r="N131" s="337">
        <f t="shared" si="80"/>
        <v>491.99</v>
      </c>
      <c r="O131" s="337">
        <f t="shared" si="81"/>
        <v>210.85</v>
      </c>
      <c r="P131" s="338">
        <f>N131*1.3*$P$19</f>
        <v>19187.61</v>
      </c>
      <c r="Q131" s="338">
        <f>N131*1.3*$Q$19</f>
        <v>4668.99</v>
      </c>
      <c r="R131" s="337">
        <f t="shared" si="82"/>
        <v>1140.3599999999999</v>
      </c>
      <c r="S131" s="410">
        <f t="shared" si="83"/>
        <v>258</v>
      </c>
      <c r="T131" s="339"/>
    </row>
    <row r="132" spans="1:20" s="327" customFormat="1" ht="45" customHeight="1">
      <c r="A132" s="334">
        <f t="shared" si="56"/>
        <v>27</v>
      </c>
      <c r="B132" s="335" t="str">
        <f t="shared" si="57"/>
        <v>PASS PRINC ISABEL</v>
      </c>
      <c r="C132" s="340">
        <v>1</v>
      </c>
      <c r="D132" s="337"/>
      <c r="E132" s="337">
        <f t="shared" si="73"/>
        <v>0</v>
      </c>
      <c r="F132" s="337">
        <f t="shared" si="63"/>
        <v>1.46</v>
      </c>
      <c r="G132" s="337">
        <f t="shared" si="74"/>
        <v>1.56</v>
      </c>
      <c r="H132" s="337">
        <f t="shared" si="84"/>
        <v>0</v>
      </c>
      <c r="I132" s="337">
        <f t="shared" si="75"/>
        <v>0</v>
      </c>
      <c r="J132" s="338">
        <f t="shared" si="76"/>
        <v>0</v>
      </c>
      <c r="K132" s="337">
        <f t="shared" si="77"/>
        <v>0</v>
      </c>
      <c r="L132" s="337">
        <f t="shared" si="78"/>
        <v>0</v>
      </c>
      <c r="M132" s="337">
        <f t="shared" si="79"/>
        <v>0</v>
      </c>
      <c r="N132" s="337">
        <f t="shared" si="80"/>
        <v>0</v>
      </c>
      <c r="O132" s="337">
        <f t="shared" si="81"/>
        <v>0</v>
      </c>
      <c r="P132" s="338">
        <f t="shared" ref="P132:P144" si="85">N132*1.3*$P$19</f>
        <v>0</v>
      </c>
      <c r="Q132" s="338">
        <f t="shared" ref="Q132:Q144" si="86">N132*1.3*$Q$19</f>
        <v>0</v>
      </c>
      <c r="R132" s="337">
        <f t="shared" si="82"/>
        <v>0</v>
      </c>
      <c r="S132" s="410">
        <f t="shared" si="83"/>
        <v>0</v>
      </c>
      <c r="T132" s="339"/>
    </row>
    <row r="133" spans="1:20" s="327" customFormat="1" ht="45" customHeight="1">
      <c r="A133" s="334">
        <f t="shared" si="56"/>
        <v>28</v>
      </c>
      <c r="B133" s="335" t="str">
        <f t="shared" si="57"/>
        <v>PASS SANTA CLARA</v>
      </c>
      <c r="C133" s="340">
        <v>1</v>
      </c>
      <c r="D133" s="337"/>
      <c r="E133" s="337">
        <f t="shared" si="73"/>
        <v>0</v>
      </c>
      <c r="F133" s="337">
        <f t="shared" si="63"/>
        <v>1.46</v>
      </c>
      <c r="G133" s="337">
        <f t="shared" si="74"/>
        <v>1.56</v>
      </c>
      <c r="H133" s="337">
        <f t="shared" si="84"/>
        <v>0</v>
      </c>
      <c r="I133" s="337">
        <f t="shared" si="75"/>
        <v>0</v>
      </c>
      <c r="J133" s="338">
        <f t="shared" si="76"/>
        <v>0</v>
      </c>
      <c r="K133" s="337">
        <f t="shared" si="77"/>
        <v>0</v>
      </c>
      <c r="L133" s="337">
        <f t="shared" si="78"/>
        <v>0</v>
      </c>
      <c r="M133" s="337">
        <f t="shared" si="79"/>
        <v>0</v>
      </c>
      <c r="N133" s="337">
        <f t="shared" si="80"/>
        <v>0</v>
      </c>
      <c r="O133" s="337">
        <f t="shared" si="81"/>
        <v>0</v>
      </c>
      <c r="P133" s="338">
        <f t="shared" si="85"/>
        <v>0</v>
      </c>
      <c r="Q133" s="338">
        <f t="shared" si="86"/>
        <v>0</v>
      </c>
      <c r="R133" s="337">
        <f t="shared" si="82"/>
        <v>0</v>
      </c>
      <c r="S133" s="410">
        <f t="shared" si="83"/>
        <v>0</v>
      </c>
      <c r="T133" s="339"/>
    </row>
    <row r="134" spans="1:20" s="327" customFormat="1" ht="45" customHeight="1">
      <c r="A134" s="334">
        <f t="shared" si="56"/>
        <v>29</v>
      </c>
      <c r="B134" s="335" t="str">
        <f t="shared" si="57"/>
        <v>PASS AIRTON SENA 1</v>
      </c>
      <c r="C134" s="340">
        <v>1</v>
      </c>
      <c r="D134" s="337"/>
      <c r="E134" s="337">
        <f t="shared" si="73"/>
        <v>0</v>
      </c>
      <c r="F134" s="337">
        <f t="shared" si="63"/>
        <v>1.46</v>
      </c>
      <c r="G134" s="337">
        <f t="shared" si="74"/>
        <v>1.56</v>
      </c>
      <c r="H134" s="337">
        <f t="shared" si="84"/>
        <v>0</v>
      </c>
      <c r="I134" s="337">
        <f t="shared" si="75"/>
        <v>0</v>
      </c>
      <c r="J134" s="338">
        <f t="shared" si="76"/>
        <v>0</v>
      </c>
      <c r="K134" s="337">
        <f t="shared" si="77"/>
        <v>0</v>
      </c>
      <c r="L134" s="337">
        <f t="shared" si="78"/>
        <v>0</v>
      </c>
      <c r="M134" s="337">
        <f t="shared" si="79"/>
        <v>0</v>
      </c>
      <c r="N134" s="337">
        <f t="shared" si="80"/>
        <v>0</v>
      </c>
      <c r="O134" s="337">
        <f t="shared" si="81"/>
        <v>0</v>
      </c>
      <c r="P134" s="338">
        <f t="shared" si="85"/>
        <v>0</v>
      </c>
      <c r="Q134" s="338">
        <f t="shared" si="86"/>
        <v>0</v>
      </c>
      <c r="R134" s="337">
        <f t="shared" si="82"/>
        <v>0</v>
      </c>
      <c r="S134" s="410">
        <f t="shared" si="83"/>
        <v>0</v>
      </c>
      <c r="T134" s="339"/>
    </row>
    <row r="135" spans="1:20" s="327" customFormat="1" ht="45" customHeight="1" thickBot="1">
      <c r="A135" s="334">
        <f t="shared" si="56"/>
        <v>30</v>
      </c>
      <c r="B135" s="335" t="str">
        <f t="shared" si="57"/>
        <v>PASS TIM LOPES</v>
      </c>
      <c r="C135" s="340">
        <v>1</v>
      </c>
      <c r="D135" s="337"/>
      <c r="E135" s="337">
        <f t="shared" si="73"/>
        <v>0</v>
      </c>
      <c r="F135" s="337">
        <f t="shared" si="63"/>
        <v>1.46</v>
      </c>
      <c r="G135" s="337">
        <f t="shared" si="74"/>
        <v>1.56</v>
      </c>
      <c r="H135" s="337">
        <f t="shared" si="84"/>
        <v>0</v>
      </c>
      <c r="I135" s="337">
        <f t="shared" si="75"/>
        <v>0</v>
      </c>
      <c r="J135" s="338">
        <f t="shared" si="76"/>
        <v>0</v>
      </c>
      <c r="K135" s="337">
        <f t="shared" si="77"/>
        <v>0</v>
      </c>
      <c r="L135" s="337">
        <f t="shared" si="78"/>
        <v>0</v>
      </c>
      <c r="M135" s="337">
        <f t="shared" si="79"/>
        <v>0</v>
      </c>
      <c r="N135" s="337">
        <f t="shared" si="80"/>
        <v>0</v>
      </c>
      <c r="O135" s="337">
        <f t="shared" si="81"/>
        <v>0</v>
      </c>
      <c r="P135" s="338">
        <f t="shared" si="85"/>
        <v>0</v>
      </c>
      <c r="Q135" s="338">
        <f t="shared" si="86"/>
        <v>0</v>
      </c>
      <c r="R135" s="337">
        <f t="shared" si="82"/>
        <v>0</v>
      </c>
      <c r="S135" s="410">
        <f t="shared" si="83"/>
        <v>0</v>
      </c>
      <c r="T135" s="339"/>
    </row>
    <row r="136" spans="1:20" s="327" customFormat="1" ht="45" hidden="1" customHeight="1" thickBot="1">
      <c r="A136" s="334"/>
      <c r="B136" s="335"/>
      <c r="C136" s="340">
        <v>1</v>
      </c>
      <c r="D136" s="337"/>
      <c r="E136" s="337">
        <f t="shared" si="73"/>
        <v>0</v>
      </c>
      <c r="F136" s="337">
        <f t="shared" si="63"/>
        <v>1.46</v>
      </c>
      <c r="G136" s="337">
        <f t="shared" si="74"/>
        <v>1.56</v>
      </c>
      <c r="H136" s="337">
        <f t="shared" si="84"/>
        <v>0</v>
      </c>
      <c r="I136" s="337">
        <f t="shared" si="75"/>
        <v>0</v>
      </c>
      <c r="J136" s="338">
        <f t="shared" si="76"/>
        <v>0</v>
      </c>
      <c r="K136" s="337">
        <f t="shared" si="77"/>
        <v>0</v>
      </c>
      <c r="L136" s="337">
        <f t="shared" si="78"/>
        <v>0</v>
      </c>
      <c r="M136" s="337">
        <f t="shared" si="79"/>
        <v>0</v>
      </c>
      <c r="N136" s="337">
        <f t="shared" si="80"/>
        <v>0</v>
      </c>
      <c r="O136" s="337">
        <f t="shared" si="81"/>
        <v>0</v>
      </c>
      <c r="P136" s="338">
        <f t="shared" si="85"/>
        <v>0</v>
      </c>
      <c r="Q136" s="338">
        <f t="shared" si="86"/>
        <v>0</v>
      </c>
      <c r="R136" s="337">
        <f t="shared" si="82"/>
        <v>0</v>
      </c>
      <c r="S136" s="410">
        <f t="shared" si="83"/>
        <v>0</v>
      </c>
      <c r="T136" s="339"/>
    </row>
    <row r="137" spans="1:20" s="327" customFormat="1" ht="45" hidden="1" customHeight="1" thickBot="1">
      <c r="A137" s="334"/>
      <c r="B137" s="335"/>
      <c r="C137" s="340">
        <v>1</v>
      </c>
      <c r="D137" s="337"/>
      <c r="E137" s="337">
        <f t="shared" si="73"/>
        <v>0</v>
      </c>
      <c r="F137" s="337">
        <f t="shared" si="63"/>
        <v>1.46</v>
      </c>
      <c r="G137" s="337">
        <f t="shared" si="74"/>
        <v>1.56</v>
      </c>
      <c r="H137" s="337">
        <f t="shared" si="84"/>
        <v>0</v>
      </c>
      <c r="I137" s="337">
        <f t="shared" si="75"/>
        <v>0</v>
      </c>
      <c r="J137" s="338">
        <f t="shared" si="76"/>
        <v>0</v>
      </c>
      <c r="K137" s="337">
        <f t="shared" si="77"/>
        <v>0</v>
      </c>
      <c r="L137" s="337">
        <f t="shared" si="78"/>
        <v>0</v>
      </c>
      <c r="M137" s="337">
        <f t="shared" si="79"/>
        <v>0</v>
      </c>
      <c r="N137" s="337">
        <f t="shared" si="80"/>
        <v>0</v>
      </c>
      <c r="O137" s="337">
        <f t="shared" si="81"/>
        <v>0</v>
      </c>
      <c r="P137" s="338">
        <f t="shared" si="85"/>
        <v>0</v>
      </c>
      <c r="Q137" s="338">
        <f t="shared" si="86"/>
        <v>0</v>
      </c>
      <c r="R137" s="337">
        <f t="shared" si="82"/>
        <v>0</v>
      </c>
      <c r="S137" s="410">
        <f t="shared" si="83"/>
        <v>0</v>
      </c>
      <c r="T137" s="339"/>
    </row>
    <row r="138" spans="1:20" s="327" customFormat="1" ht="45" hidden="1" customHeight="1" thickBot="1">
      <c r="A138" s="334"/>
      <c r="B138" s="335"/>
      <c r="C138" s="340">
        <v>1</v>
      </c>
      <c r="D138" s="337"/>
      <c r="E138" s="337">
        <f t="shared" si="73"/>
        <v>0</v>
      </c>
      <c r="F138" s="337">
        <f t="shared" si="63"/>
        <v>1.46</v>
      </c>
      <c r="G138" s="337">
        <f t="shared" si="74"/>
        <v>1.56</v>
      </c>
      <c r="H138" s="337">
        <f t="shared" si="84"/>
        <v>0</v>
      </c>
      <c r="I138" s="337">
        <f t="shared" si="75"/>
        <v>0</v>
      </c>
      <c r="J138" s="338">
        <f t="shared" si="76"/>
        <v>0</v>
      </c>
      <c r="K138" s="337">
        <f t="shared" si="77"/>
        <v>0</v>
      </c>
      <c r="L138" s="337">
        <f t="shared" si="78"/>
        <v>0</v>
      </c>
      <c r="M138" s="337">
        <f t="shared" si="79"/>
        <v>0</v>
      </c>
      <c r="N138" s="337">
        <f t="shared" si="80"/>
        <v>0</v>
      </c>
      <c r="O138" s="337">
        <f t="shared" si="81"/>
        <v>0</v>
      </c>
      <c r="P138" s="338">
        <f t="shared" si="85"/>
        <v>0</v>
      </c>
      <c r="Q138" s="338">
        <f t="shared" si="86"/>
        <v>0</v>
      </c>
      <c r="R138" s="337">
        <f t="shared" si="82"/>
        <v>0</v>
      </c>
      <c r="S138" s="410">
        <f t="shared" si="83"/>
        <v>0</v>
      </c>
      <c r="T138" s="339"/>
    </row>
    <row r="139" spans="1:20" s="327" customFormat="1" ht="45" hidden="1" customHeight="1" thickBot="1">
      <c r="A139" s="334"/>
      <c r="B139" s="335"/>
      <c r="C139" s="340">
        <v>1</v>
      </c>
      <c r="D139" s="337"/>
      <c r="E139" s="337">
        <f t="shared" si="73"/>
        <v>0</v>
      </c>
      <c r="F139" s="337">
        <f t="shared" si="63"/>
        <v>1.46</v>
      </c>
      <c r="G139" s="337">
        <f t="shared" si="74"/>
        <v>1.56</v>
      </c>
      <c r="H139" s="337">
        <f t="shared" si="84"/>
        <v>0</v>
      </c>
      <c r="I139" s="337">
        <f t="shared" si="75"/>
        <v>0</v>
      </c>
      <c r="J139" s="338">
        <f t="shared" si="76"/>
        <v>0</v>
      </c>
      <c r="K139" s="337">
        <f t="shared" si="77"/>
        <v>0</v>
      </c>
      <c r="L139" s="337">
        <f t="shared" si="78"/>
        <v>0</v>
      </c>
      <c r="M139" s="337">
        <f t="shared" si="79"/>
        <v>0</v>
      </c>
      <c r="N139" s="337">
        <f t="shared" si="80"/>
        <v>0</v>
      </c>
      <c r="O139" s="337">
        <f t="shared" si="81"/>
        <v>0</v>
      </c>
      <c r="P139" s="338">
        <f t="shared" si="85"/>
        <v>0</v>
      </c>
      <c r="Q139" s="338">
        <f t="shared" si="86"/>
        <v>0</v>
      </c>
      <c r="R139" s="337">
        <f t="shared" si="82"/>
        <v>0</v>
      </c>
      <c r="S139" s="410">
        <f t="shared" si="83"/>
        <v>0</v>
      </c>
      <c r="T139" s="339"/>
    </row>
    <row r="140" spans="1:20" s="327" customFormat="1" ht="45" hidden="1" customHeight="1" thickBot="1">
      <c r="A140" s="334"/>
      <c r="B140" s="335"/>
      <c r="C140" s="340">
        <v>1</v>
      </c>
      <c r="D140" s="337"/>
      <c r="E140" s="337">
        <f t="shared" si="73"/>
        <v>0</v>
      </c>
      <c r="F140" s="337">
        <f t="shared" si="63"/>
        <v>1.46</v>
      </c>
      <c r="G140" s="337">
        <f t="shared" si="74"/>
        <v>1.56</v>
      </c>
      <c r="H140" s="337">
        <f t="shared" si="84"/>
        <v>0</v>
      </c>
      <c r="I140" s="337">
        <f t="shared" si="75"/>
        <v>0</v>
      </c>
      <c r="J140" s="338">
        <f t="shared" si="76"/>
        <v>0</v>
      </c>
      <c r="K140" s="337">
        <f t="shared" si="77"/>
        <v>0</v>
      </c>
      <c r="L140" s="337">
        <f t="shared" si="78"/>
        <v>0</v>
      </c>
      <c r="M140" s="337">
        <f t="shared" si="79"/>
        <v>0</v>
      </c>
      <c r="N140" s="337">
        <f t="shared" si="80"/>
        <v>0</v>
      </c>
      <c r="O140" s="337">
        <f t="shared" si="81"/>
        <v>0</v>
      </c>
      <c r="P140" s="338">
        <f t="shared" si="85"/>
        <v>0</v>
      </c>
      <c r="Q140" s="338">
        <f t="shared" si="86"/>
        <v>0</v>
      </c>
      <c r="R140" s="337">
        <f t="shared" si="82"/>
        <v>0</v>
      </c>
      <c r="S140" s="410">
        <f t="shared" si="83"/>
        <v>0</v>
      </c>
      <c r="T140" s="339"/>
    </row>
    <row r="141" spans="1:20" s="327" customFormat="1" ht="45" hidden="1" customHeight="1" thickBot="1">
      <c r="A141" s="334"/>
      <c r="B141" s="335"/>
      <c r="C141" s="340">
        <v>1</v>
      </c>
      <c r="D141" s="337"/>
      <c r="E141" s="337">
        <f t="shared" si="73"/>
        <v>0</v>
      </c>
      <c r="F141" s="337">
        <f t="shared" si="63"/>
        <v>1.46</v>
      </c>
      <c r="G141" s="337">
        <f t="shared" si="74"/>
        <v>1.56</v>
      </c>
      <c r="H141" s="337">
        <f t="shared" si="84"/>
        <v>0</v>
      </c>
      <c r="I141" s="337">
        <f t="shared" si="75"/>
        <v>0</v>
      </c>
      <c r="J141" s="338">
        <f t="shared" si="76"/>
        <v>0</v>
      </c>
      <c r="K141" s="337">
        <f t="shared" si="77"/>
        <v>0</v>
      </c>
      <c r="L141" s="337">
        <f t="shared" si="78"/>
        <v>0</v>
      </c>
      <c r="M141" s="337">
        <f t="shared" si="79"/>
        <v>0</v>
      </c>
      <c r="N141" s="337">
        <f t="shared" si="80"/>
        <v>0</v>
      </c>
      <c r="O141" s="337">
        <f t="shared" si="81"/>
        <v>0</v>
      </c>
      <c r="P141" s="338">
        <f t="shared" si="85"/>
        <v>0</v>
      </c>
      <c r="Q141" s="338">
        <f t="shared" si="86"/>
        <v>0</v>
      </c>
      <c r="R141" s="337">
        <f t="shared" si="82"/>
        <v>0</v>
      </c>
      <c r="S141" s="410">
        <f t="shared" si="83"/>
        <v>0</v>
      </c>
      <c r="T141" s="339"/>
    </row>
    <row r="142" spans="1:20" s="327" customFormat="1" ht="45" hidden="1" customHeight="1" thickBot="1">
      <c r="A142" s="334"/>
      <c r="B142" s="335"/>
      <c r="C142" s="340">
        <v>1</v>
      </c>
      <c r="D142" s="337"/>
      <c r="E142" s="337">
        <f t="shared" si="73"/>
        <v>0</v>
      </c>
      <c r="F142" s="337">
        <f t="shared" si="63"/>
        <v>1.46</v>
      </c>
      <c r="G142" s="337">
        <f t="shared" si="74"/>
        <v>1.56</v>
      </c>
      <c r="H142" s="337">
        <f t="shared" si="84"/>
        <v>0</v>
      </c>
      <c r="I142" s="337">
        <f t="shared" si="75"/>
        <v>0</v>
      </c>
      <c r="J142" s="338">
        <f t="shared" si="76"/>
        <v>0</v>
      </c>
      <c r="K142" s="337">
        <f t="shared" si="77"/>
        <v>0</v>
      </c>
      <c r="L142" s="337">
        <f t="shared" si="78"/>
        <v>0</v>
      </c>
      <c r="M142" s="337">
        <f t="shared" si="79"/>
        <v>0</v>
      </c>
      <c r="N142" s="337">
        <f t="shared" si="80"/>
        <v>0</v>
      </c>
      <c r="O142" s="337">
        <f t="shared" si="81"/>
        <v>0</v>
      </c>
      <c r="P142" s="338">
        <f t="shared" si="85"/>
        <v>0</v>
      </c>
      <c r="Q142" s="338">
        <f t="shared" si="86"/>
        <v>0</v>
      </c>
      <c r="R142" s="337">
        <f t="shared" si="82"/>
        <v>0</v>
      </c>
      <c r="S142" s="410">
        <f t="shared" si="83"/>
        <v>0</v>
      </c>
      <c r="T142" s="339"/>
    </row>
    <row r="143" spans="1:20" s="327" customFormat="1" ht="45" hidden="1" customHeight="1" thickBot="1">
      <c r="A143" s="334"/>
      <c r="B143" s="335"/>
      <c r="C143" s="340">
        <v>1</v>
      </c>
      <c r="D143" s="337"/>
      <c r="E143" s="337">
        <f t="shared" si="73"/>
        <v>0</v>
      </c>
      <c r="F143" s="337">
        <f t="shared" si="63"/>
        <v>1.46</v>
      </c>
      <c r="G143" s="337">
        <f t="shared" si="74"/>
        <v>1.56</v>
      </c>
      <c r="H143" s="337">
        <f t="shared" si="84"/>
        <v>0</v>
      </c>
      <c r="I143" s="337">
        <f t="shared" si="75"/>
        <v>0</v>
      </c>
      <c r="J143" s="338">
        <f t="shared" si="76"/>
        <v>0</v>
      </c>
      <c r="K143" s="337">
        <f t="shared" si="77"/>
        <v>0</v>
      </c>
      <c r="L143" s="337">
        <f t="shared" si="78"/>
        <v>0</v>
      </c>
      <c r="M143" s="337">
        <f t="shared" si="79"/>
        <v>0</v>
      </c>
      <c r="N143" s="337">
        <f t="shared" si="80"/>
        <v>0</v>
      </c>
      <c r="O143" s="337">
        <f t="shared" si="81"/>
        <v>0</v>
      </c>
      <c r="P143" s="338">
        <f t="shared" si="85"/>
        <v>0</v>
      </c>
      <c r="Q143" s="338">
        <f t="shared" si="86"/>
        <v>0</v>
      </c>
      <c r="R143" s="337">
        <f t="shared" si="82"/>
        <v>0</v>
      </c>
      <c r="S143" s="410">
        <f t="shared" si="83"/>
        <v>0</v>
      </c>
      <c r="T143" s="339"/>
    </row>
    <row r="144" spans="1:20" s="327" customFormat="1" ht="45" hidden="1" customHeight="1" thickBot="1">
      <c r="A144" s="334"/>
      <c r="B144" s="335"/>
      <c r="C144" s="340">
        <v>1</v>
      </c>
      <c r="D144" s="337"/>
      <c r="E144" s="337">
        <f t="shared" si="70"/>
        <v>0</v>
      </c>
      <c r="F144" s="337">
        <f t="shared" si="63"/>
        <v>1.46</v>
      </c>
      <c r="G144" s="337">
        <f t="shared" si="64"/>
        <v>1.56</v>
      </c>
      <c r="H144" s="337">
        <f t="shared" si="58"/>
        <v>0</v>
      </c>
      <c r="I144" s="337">
        <f t="shared" si="65"/>
        <v>0</v>
      </c>
      <c r="J144" s="338">
        <f t="shared" si="66"/>
        <v>0</v>
      </c>
      <c r="K144" s="337">
        <f t="shared" si="59"/>
        <v>0</v>
      </c>
      <c r="L144" s="337">
        <f t="shared" si="67"/>
        <v>0</v>
      </c>
      <c r="M144" s="337">
        <f t="shared" si="60"/>
        <v>0</v>
      </c>
      <c r="N144" s="337">
        <f t="shared" si="68"/>
        <v>0</v>
      </c>
      <c r="O144" s="337">
        <f t="shared" si="69"/>
        <v>0</v>
      </c>
      <c r="P144" s="338">
        <f t="shared" si="85"/>
        <v>0</v>
      </c>
      <c r="Q144" s="338">
        <f t="shared" si="86"/>
        <v>0</v>
      </c>
      <c r="R144" s="337">
        <f t="shared" si="61"/>
        <v>0</v>
      </c>
      <c r="S144" s="410">
        <f t="shared" si="62"/>
        <v>0</v>
      </c>
      <c r="T144" s="339"/>
    </row>
    <row r="145" spans="1:20" s="327" customFormat="1" ht="45" customHeight="1" thickBot="1">
      <c r="A145" s="1625" t="s">
        <v>21</v>
      </c>
      <c r="B145" s="1626"/>
      <c r="C145" s="341"/>
      <c r="D145" s="341"/>
      <c r="E145" s="341">
        <f>SUM(E109:E144)</f>
        <v>653</v>
      </c>
      <c r="F145" s="341"/>
      <c r="G145" s="341"/>
      <c r="H145" s="341">
        <f>SUM(H109:H144)</f>
        <v>1904.04</v>
      </c>
      <c r="I145" s="341">
        <f t="shared" ref="I145:S145" si="87">SUM(I109:I144)</f>
        <v>328.07</v>
      </c>
      <c r="J145" s="341">
        <f t="shared" si="87"/>
        <v>6315.36</v>
      </c>
      <c r="K145" s="341">
        <f t="shared" si="87"/>
        <v>953.38</v>
      </c>
      <c r="L145" s="341">
        <f t="shared" si="87"/>
        <v>953.38</v>
      </c>
      <c r="M145" s="341">
        <f t="shared" si="87"/>
        <v>328.07</v>
      </c>
      <c r="N145" s="341">
        <f t="shared" si="87"/>
        <v>1103.18</v>
      </c>
      <c r="O145" s="341">
        <f t="shared" si="87"/>
        <v>472.79</v>
      </c>
      <c r="P145" s="341">
        <f t="shared" si="87"/>
        <v>43024.02</v>
      </c>
      <c r="Q145" s="341">
        <f t="shared" si="87"/>
        <v>10469.18</v>
      </c>
      <c r="R145" s="341">
        <f t="shared" si="87"/>
        <v>3003.28</v>
      </c>
      <c r="S145" s="341">
        <f t="shared" si="87"/>
        <v>653</v>
      </c>
      <c r="T145" s="342"/>
    </row>
    <row r="146" spans="1:20" s="327" customFormat="1" ht="45" customHeight="1" thickBot="1">
      <c r="A146" s="413"/>
      <c r="C146" s="345"/>
      <c r="D146" s="345"/>
      <c r="E146" s="345"/>
      <c r="F146" s="345"/>
      <c r="G146" s="345"/>
      <c r="S146" s="412"/>
    </row>
    <row r="147" spans="1:20" s="327" customFormat="1" ht="45" customHeight="1" thickBot="1">
      <c r="A147" s="1627" t="s">
        <v>310</v>
      </c>
      <c r="B147" s="1628"/>
      <c r="C147" s="1628"/>
      <c r="D147" s="1628"/>
      <c r="E147" s="1628"/>
      <c r="F147" s="1628"/>
      <c r="G147" s="1628"/>
      <c r="H147" s="1628"/>
      <c r="I147" s="1628"/>
      <c r="J147" s="1628"/>
      <c r="K147" s="1628"/>
      <c r="L147" s="1628"/>
      <c r="M147" s="1628"/>
      <c r="N147" s="1628"/>
      <c r="O147" s="1628"/>
      <c r="P147" s="1628"/>
      <c r="Q147" s="1628"/>
      <c r="R147" s="1628"/>
      <c r="S147" s="1629"/>
      <c r="T147" s="326"/>
    </row>
    <row r="148" spans="1:20" s="327" customFormat="1" ht="45" customHeight="1">
      <c r="A148" s="1630" t="s">
        <v>6</v>
      </c>
      <c r="B148" s="1633" t="s">
        <v>311</v>
      </c>
      <c r="C148" s="1636" t="s">
        <v>462</v>
      </c>
      <c r="D148" s="1636"/>
      <c r="E148" s="1636"/>
      <c r="F148" s="1645" t="s">
        <v>446</v>
      </c>
      <c r="G148" s="1645"/>
      <c r="H148" s="1645"/>
      <c r="I148" s="1645" t="s">
        <v>447</v>
      </c>
      <c r="J148" s="1643" t="s">
        <v>450</v>
      </c>
      <c r="K148" s="1645" t="s">
        <v>303</v>
      </c>
      <c r="L148" s="1645" t="s">
        <v>305</v>
      </c>
      <c r="M148" s="1647" t="s">
        <v>304</v>
      </c>
      <c r="N148" s="1638" t="s">
        <v>448</v>
      </c>
      <c r="O148" s="1638" t="s">
        <v>497</v>
      </c>
      <c r="P148" s="1643" t="s">
        <v>943</v>
      </c>
      <c r="Q148" s="1643" t="s">
        <v>944</v>
      </c>
      <c r="R148" s="1638" t="s">
        <v>449</v>
      </c>
      <c r="S148" s="1641" t="s">
        <v>306</v>
      </c>
      <c r="T148" s="326"/>
    </row>
    <row r="149" spans="1:20" s="327" customFormat="1" ht="45" customHeight="1">
      <c r="A149" s="1631"/>
      <c r="B149" s="1634"/>
      <c r="C149" s="1637"/>
      <c r="D149" s="1637"/>
      <c r="E149" s="1637"/>
      <c r="F149" s="1646"/>
      <c r="G149" s="1646"/>
      <c r="H149" s="1646"/>
      <c r="I149" s="1646"/>
      <c r="J149" s="1644"/>
      <c r="K149" s="1646"/>
      <c r="L149" s="1646"/>
      <c r="M149" s="1648"/>
      <c r="N149" s="1640"/>
      <c r="O149" s="1640"/>
      <c r="P149" s="1644"/>
      <c r="Q149" s="1644"/>
      <c r="R149" s="1639"/>
      <c r="S149" s="1642"/>
      <c r="T149" s="326"/>
    </row>
    <row r="150" spans="1:20" s="327" customFormat="1" ht="45" customHeight="1">
      <c r="A150" s="1631"/>
      <c r="B150" s="1634"/>
      <c r="C150" s="328" t="s">
        <v>146</v>
      </c>
      <c r="D150" s="329" t="s">
        <v>316</v>
      </c>
      <c r="E150" s="328" t="s">
        <v>302</v>
      </c>
      <c r="F150" s="328" t="s">
        <v>296</v>
      </c>
      <c r="G150" s="328" t="s">
        <v>301</v>
      </c>
      <c r="H150" s="328" t="s">
        <v>21</v>
      </c>
      <c r="I150" s="1646"/>
      <c r="J150" s="1644"/>
      <c r="K150" s="1646"/>
      <c r="L150" s="1646"/>
      <c r="M150" s="1649"/>
      <c r="N150" s="328" t="s">
        <v>21</v>
      </c>
      <c r="O150" s="328" t="s">
        <v>21</v>
      </c>
      <c r="P150" s="1644"/>
      <c r="Q150" s="1644"/>
      <c r="R150" s="1640"/>
      <c r="S150" s="1642"/>
      <c r="T150" s="326"/>
    </row>
    <row r="151" spans="1:20" s="327" customFormat="1" ht="60" customHeight="1">
      <c r="A151" s="1631"/>
      <c r="B151" s="1634"/>
      <c r="C151" s="487"/>
      <c r="D151" s="487"/>
      <c r="E151" s="487" t="s">
        <v>49</v>
      </c>
      <c r="F151" s="487" t="s">
        <v>52</v>
      </c>
      <c r="G151" s="487" t="s">
        <v>14</v>
      </c>
      <c r="H151" s="487" t="s">
        <v>621</v>
      </c>
      <c r="I151" s="487" t="s">
        <v>626</v>
      </c>
      <c r="J151" s="486" t="s">
        <v>942</v>
      </c>
      <c r="K151" s="487" t="s">
        <v>623</v>
      </c>
      <c r="L151" s="487" t="s">
        <v>624</v>
      </c>
      <c r="M151" s="487" t="s">
        <v>625</v>
      </c>
      <c r="N151" s="487" t="s">
        <v>627</v>
      </c>
      <c r="O151" s="487" t="s">
        <v>628</v>
      </c>
      <c r="P151" s="486" t="s">
        <v>942</v>
      </c>
      <c r="Q151" s="486" t="s">
        <v>942</v>
      </c>
      <c r="R151" s="487" t="s">
        <v>629</v>
      </c>
      <c r="S151" s="485" t="s">
        <v>630</v>
      </c>
      <c r="T151" s="326"/>
    </row>
    <row r="152" spans="1:20" s="327" customFormat="1" ht="60" customHeight="1" thickBot="1">
      <c r="A152" s="1632"/>
      <c r="B152" s="1635"/>
      <c r="C152" s="330" t="s">
        <v>300</v>
      </c>
      <c r="D152" s="330" t="s">
        <v>297</v>
      </c>
      <c r="E152" s="330" t="s">
        <v>297</v>
      </c>
      <c r="F152" s="330" t="s">
        <v>478</v>
      </c>
      <c r="G152" s="332" t="s">
        <v>631</v>
      </c>
      <c r="H152" s="330"/>
      <c r="I152" s="330"/>
      <c r="J152" s="331">
        <v>15.4</v>
      </c>
      <c r="K152" s="330"/>
      <c r="L152" s="330"/>
      <c r="M152" s="330"/>
      <c r="N152" s="330"/>
      <c r="O152" s="332"/>
      <c r="P152" s="332">
        <v>30</v>
      </c>
      <c r="Q152" s="332">
        <v>7.3</v>
      </c>
      <c r="R152" s="332" t="s">
        <v>495</v>
      </c>
      <c r="S152" s="409"/>
      <c r="T152" s="333"/>
    </row>
    <row r="153" spans="1:20" s="327" customFormat="1" ht="45" customHeight="1">
      <c r="A153" s="334">
        <f t="shared" ref="A153:A179" si="88">A20</f>
        <v>1</v>
      </c>
      <c r="B153" s="346" t="str">
        <f t="shared" ref="B153:B179" si="89">B20</f>
        <v>R. DA PUPUNHEIRA</v>
      </c>
      <c r="C153" s="336">
        <v>1</v>
      </c>
      <c r="D153" s="336"/>
      <c r="E153" s="336">
        <f>C153*D153</f>
        <v>0</v>
      </c>
      <c r="F153" s="337">
        <f>1.2+0.5</f>
        <v>1.7</v>
      </c>
      <c r="G153" s="337">
        <f>((1.2+0.6)+((1.2+0.6)+(E153*0.5%)))/2</f>
        <v>1.8</v>
      </c>
      <c r="H153" s="337">
        <f t="shared" ref="H153:H187" si="90">E153*F153*G153</f>
        <v>0</v>
      </c>
      <c r="I153" s="337">
        <f>M153</f>
        <v>0</v>
      </c>
      <c r="J153" s="338">
        <f>I153*1.25*$J$19</f>
        <v>0</v>
      </c>
      <c r="K153" s="337">
        <f t="shared" ref="K153:K187" si="91">E153*F153</f>
        <v>0</v>
      </c>
      <c r="L153" s="337">
        <f>K153</f>
        <v>0</v>
      </c>
      <c r="M153" s="337">
        <f t="shared" ref="M153:M187" si="92">(3.14*0.5^2)*E153</f>
        <v>0</v>
      </c>
      <c r="N153" s="337">
        <f>(H153-M153)*70%</f>
        <v>0</v>
      </c>
      <c r="O153" s="337">
        <f>(H153-M153)*30%</f>
        <v>0</v>
      </c>
      <c r="P153" s="337"/>
      <c r="Q153" s="337"/>
      <c r="R153" s="337">
        <f t="shared" ref="R153:R187" si="93">IF(G153&gt;1.5,D153*G153*2,)</f>
        <v>0</v>
      </c>
      <c r="S153" s="410">
        <f t="shared" ref="S153:S187" si="94">E153</f>
        <v>0</v>
      </c>
      <c r="T153" s="339"/>
    </row>
    <row r="154" spans="1:20" s="327" customFormat="1" ht="45" customHeight="1">
      <c r="A154" s="334">
        <f t="shared" si="88"/>
        <v>2</v>
      </c>
      <c r="B154" s="346" t="str">
        <f t="shared" si="89"/>
        <v>R. TANGERINA</v>
      </c>
      <c r="C154" s="340">
        <v>1</v>
      </c>
      <c r="D154" s="337"/>
      <c r="E154" s="337">
        <f>C154*D154</f>
        <v>0</v>
      </c>
      <c r="F154" s="337">
        <f t="shared" ref="F154:F187" si="95">1.2+0.5</f>
        <v>1.7</v>
      </c>
      <c r="G154" s="337">
        <f t="shared" ref="G154:G187" si="96">((1.2+0.6)+((1.2+0.6)+(E154*0.5%)))/2</f>
        <v>1.8</v>
      </c>
      <c r="H154" s="337">
        <f t="shared" si="90"/>
        <v>0</v>
      </c>
      <c r="I154" s="337">
        <f t="shared" ref="I154:I187" si="97">M154</f>
        <v>0</v>
      </c>
      <c r="J154" s="338">
        <f t="shared" ref="J154:J187" si="98">I154*1.25*$J$19</f>
        <v>0</v>
      </c>
      <c r="K154" s="337">
        <f t="shared" si="91"/>
        <v>0</v>
      </c>
      <c r="L154" s="337">
        <f t="shared" ref="L154:L187" si="99">K154</f>
        <v>0</v>
      </c>
      <c r="M154" s="337">
        <f t="shared" si="92"/>
        <v>0</v>
      </c>
      <c r="N154" s="337">
        <f t="shared" ref="N154:N187" si="100">(H154-M154)*70%</f>
        <v>0</v>
      </c>
      <c r="O154" s="337">
        <f t="shared" ref="O154:O187" si="101">(H154-M154)*30%</f>
        <v>0</v>
      </c>
      <c r="P154" s="338">
        <f>N154*1.3*$P$19</f>
        <v>0</v>
      </c>
      <c r="Q154" s="338">
        <f>N154*1.3*$Q$19</f>
        <v>0</v>
      </c>
      <c r="R154" s="337">
        <f t="shared" si="93"/>
        <v>0</v>
      </c>
      <c r="S154" s="410">
        <f t="shared" si="94"/>
        <v>0</v>
      </c>
      <c r="T154" s="339"/>
    </row>
    <row r="155" spans="1:20" s="327" customFormat="1" ht="45" customHeight="1">
      <c r="A155" s="334">
        <f t="shared" si="88"/>
        <v>3</v>
      </c>
      <c r="B155" s="346" t="str">
        <f t="shared" si="89"/>
        <v>PASS. LARANJEIRA</v>
      </c>
      <c r="C155" s="340">
        <v>1</v>
      </c>
      <c r="D155" s="337"/>
      <c r="E155" s="337">
        <f t="shared" ref="E155:E187" si="102">C155*D155</f>
        <v>0</v>
      </c>
      <c r="F155" s="337">
        <f t="shared" si="95"/>
        <v>1.7</v>
      </c>
      <c r="G155" s="337">
        <f t="shared" si="96"/>
        <v>1.8</v>
      </c>
      <c r="H155" s="337">
        <f t="shared" si="90"/>
        <v>0</v>
      </c>
      <c r="I155" s="337">
        <f t="shared" si="97"/>
        <v>0</v>
      </c>
      <c r="J155" s="338">
        <f t="shared" si="98"/>
        <v>0</v>
      </c>
      <c r="K155" s="337">
        <f t="shared" si="91"/>
        <v>0</v>
      </c>
      <c r="L155" s="337">
        <f t="shared" si="99"/>
        <v>0</v>
      </c>
      <c r="M155" s="337">
        <f t="shared" si="92"/>
        <v>0</v>
      </c>
      <c r="N155" s="337">
        <f t="shared" si="100"/>
        <v>0</v>
      </c>
      <c r="O155" s="337">
        <f t="shared" si="101"/>
        <v>0</v>
      </c>
      <c r="P155" s="338">
        <f t="shared" ref="P155:P165" si="103">N155*1.3*$P$19</f>
        <v>0</v>
      </c>
      <c r="Q155" s="338">
        <f t="shared" ref="Q155:Q165" si="104">N155*1.3*$Q$19</f>
        <v>0</v>
      </c>
      <c r="R155" s="337">
        <f t="shared" si="93"/>
        <v>0</v>
      </c>
      <c r="S155" s="410">
        <f t="shared" si="94"/>
        <v>0</v>
      </c>
      <c r="T155" s="339"/>
    </row>
    <row r="156" spans="1:20" s="327" customFormat="1" ht="45" customHeight="1">
      <c r="A156" s="334">
        <f t="shared" si="88"/>
        <v>4</v>
      </c>
      <c r="B156" s="346" t="str">
        <f t="shared" si="89"/>
        <v xml:space="preserve">TV. FÉ EM DEUS </v>
      </c>
      <c r="C156" s="340">
        <v>1</v>
      </c>
      <c r="D156" s="337"/>
      <c r="E156" s="337">
        <f t="shared" si="102"/>
        <v>0</v>
      </c>
      <c r="F156" s="337">
        <f t="shared" si="95"/>
        <v>1.7</v>
      </c>
      <c r="G156" s="337">
        <f t="shared" si="96"/>
        <v>1.8</v>
      </c>
      <c r="H156" s="337">
        <f t="shared" si="90"/>
        <v>0</v>
      </c>
      <c r="I156" s="337">
        <f t="shared" si="97"/>
        <v>0</v>
      </c>
      <c r="J156" s="338">
        <f t="shared" si="98"/>
        <v>0</v>
      </c>
      <c r="K156" s="337">
        <f t="shared" si="91"/>
        <v>0</v>
      </c>
      <c r="L156" s="337">
        <f t="shared" si="99"/>
        <v>0</v>
      </c>
      <c r="M156" s="337">
        <f t="shared" si="92"/>
        <v>0</v>
      </c>
      <c r="N156" s="337">
        <f t="shared" si="100"/>
        <v>0</v>
      </c>
      <c r="O156" s="337">
        <f t="shared" si="101"/>
        <v>0</v>
      </c>
      <c r="P156" s="338">
        <f t="shared" si="103"/>
        <v>0</v>
      </c>
      <c r="Q156" s="338">
        <f t="shared" si="104"/>
        <v>0</v>
      </c>
      <c r="R156" s="337">
        <f t="shared" si="93"/>
        <v>0</v>
      </c>
      <c r="S156" s="410">
        <f t="shared" si="94"/>
        <v>0</v>
      </c>
      <c r="T156" s="339"/>
    </row>
    <row r="157" spans="1:20" s="327" customFormat="1" ht="45" customHeight="1">
      <c r="A157" s="334">
        <f t="shared" si="88"/>
        <v>5</v>
      </c>
      <c r="B157" s="346" t="str">
        <f t="shared" si="89"/>
        <v>RUA PAULO ASSUNÇÃO</v>
      </c>
      <c r="C157" s="340">
        <v>1</v>
      </c>
      <c r="D157" s="337"/>
      <c r="E157" s="337">
        <f t="shared" si="102"/>
        <v>0</v>
      </c>
      <c r="F157" s="337">
        <f t="shared" si="95"/>
        <v>1.7</v>
      </c>
      <c r="G157" s="337">
        <f t="shared" si="96"/>
        <v>1.8</v>
      </c>
      <c r="H157" s="337">
        <f t="shared" si="90"/>
        <v>0</v>
      </c>
      <c r="I157" s="337">
        <f t="shared" si="97"/>
        <v>0</v>
      </c>
      <c r="J157" s="338">
        <f t="shared" si="98"/>
        <v>0</v>
      </c>
      <c r="K157" s="337">
        <f t="shared" si="91"/>
        <v>0</v>
      </c>
      <c r="L157" s="337">
        <f t="shared" si="99"/>
        <v>0</v>
      </c>
      <c r="M157" s="337">
        <f t="shared" si="92"/>
        <v>0</v>
      </c>
      <c r="N157" s="337">
        <f t="shared" si="100"/>
        <v>0</v>
      </c>
      <c r="O157" s="337">
        <f t="shared" si="101"/>
        <v>0</v>
      </c>
      <c r="P157" s="338">
        <f t="shared" si="103"/>
        <v>0</v>
      </c>
      <c r="Q157" s="338">
        <f t="shared" si="104"/>
        <v>0</v>
      </c>
      <c r="R157" s="337">
        <f t="shared" si="93"/>
        <v>0</v>
      </c>
      <c r="S157" s="410">
        <f t="shared" si="94"/>
        <v>0</v>
      </c>
      <c r="T157" s="339"/>
    </row>
    <row r="158" spans="1:20" s="327" customFormat="1" ht="45" customHeight="1">
      <c r="A158" s="334">
        <f t="shared" si="88"/>
        <v>6</v>
      </c>
      <c r="B158" s="346" t="str">
        <f t="shared" si="89"/>
        <v>PASS PAULO ASSUNÇÃO</v>
      </c>
      <c r="C158" s="340">
        <v>1</v>
      </c>
      <c r="D158" s="337"/>
      <c r="E158" s="337">
        <f t="shared" si="102"/>
        <v>0</v>
      </c>
      <c r="F158" s="337">
        <f t="shared" si="95"/>
        <v>1.7</v>
      </c>
      <c r="G158" s="337">
        <f t="shared" si="96"/>
        <v>1.8</v>
      </c>
      <c r="H158" s="337">
        <f t="shared" si="90"/>
        <v>0</v>
      </c>
      <c r="I158" s="337">
        <f t="shared" si="97"/>
        <v>0</v>
      </c>
      <c r="J158" s="338">
        <f t="shared" si="98"/>
        <v>0</v>
      </c>
      <c r="K158" s="337">
        <f t="shared" si="91"/>
        <v>0</v>
      </c>
      <c r="L158" s="337">
        <f t="shared" si="99"/>
        <v>0</v>
      </c>
      <c r="M158" s="337">
        <f t="shared" si="92"/>
        <v>0</v>
      </c>
      <c r="N158" s="337">
        <f t="shared" si="100"/>
        <v>0</v>
      </c>
      <c r="O158" s="337">
        <f t="shared" si="101"/>
        <v>0</v>
      </c>
      <c r="P158" s="338">
        <f t="shared" si="103"/>
        <v>0</v>
      </c>
      <c r="Q158" s="338">
        <f t="shared" si="104"/>
        <v>0</v>
      </c>
      <c r="R158" s="337">
        <f t="shared" si="93"/>
        <v>0</v>
      </c>
      <c r="S158" s="410">
        <f t="shared" si="94"/>
        <v>0</v>
      </c>
      <c r="T158" s="339"/>
    </row>
    <row r="159" spans="1:20" s="327" customFormat="1" ht="45" customHeight="1">
      <c r="A159" s="334">
        <f t="shared" si="88"/>
        <v>7</v>
      </c>
      <c r="B159" s="346" t="str">
        <f t="shared" si="89"/>
        <v>RUA DO PISCINÃO</v>
      </c>
      <c r="C159" s="340">
        <v>1</v>
      </c>
      <c r="D159" s="337">
        <v>420</v>
      </c>
      <c r="E159" s="337">
        <f t="shared" si="102"/>
        <v>420</v>
      </c>
      <c r="F159" s="337">
        <f t="shared" si="95"/>
        <v>1.7</v>
      </c>
      <c r="G159" s="337">
        <f t="shared" si="96"/>
        <v>2.85</v>
      </c>
      <c r="H159" s="337">
        <f>(E159*F159*G159)-(E159*F159*0.5)</f>
        <v>1677.9</v>
      </c>
      <c r="I159" s="337">
        <f t="shared" si="97"/>
        <v>329.7</v>
      </c>
      <c r="J159" s="338">
        <f t="shared" si="98"/>
        <v>6346.73</v>
      </c>
      <c r="K159" s="337">
        <f t="shared" si="91"/>
        <v>714</v>
      </c>
      <c r="L159" s="337">
        <f t="shared" si="99"/>
        <v>714</v>
      </c>
      <c r="M159" s="337">
        <f t="shared" si="92"/>
        <v>329.7</v>
      </c>
      <c r="N159" s="337">
        <f t="shared" si="100"/>
        <v>943.74</v>
      </c>
      <c r="O159" s="337">
        <f t="shared" si="101"/>
        <v>404.46</v>
      </c>
      <c r="P159" s="338">
        <f t="shared" si="103"/>
        <v>36805.86</v>
      </c>
      <c r="Q159" s="338">
        <f t="shared" si="104"/>
        <v>8956.09</v>
      </c>
      <c r="R159" s="337">
        <f t="shared" si="93"/>
        <v>2394</v>
      </c>
      <c r="S159" s="410">
        <f t="shared" si="94"/>
        <v>420</v>
      </c>
      <c r="T159" s="339"/>
    </row>
    <row r="160" spans="1:20" s="327" customFormat="1" ht="45" customHeight="1">
      <c r="A160" s="334">
        <f t="shared" si="88"/>
        <v>8</v>
      </c>
      <c r="B160" s="346" t="str">
        <f t="shared" si="89"/>
        <v>TV DEUS PROVERÁ</v>
      </c>
      <c r="C160" s="340">
        <v>1</v>
      </c>
      <c r="D160" s="337"/>
      <c r="E160" s="337">
        <f t="shared" si="102"/>
        <v>0</v>
      </c>
      <c r="F160" s="337">
        <f t="shared" si="95"/>
        <v>1.7</v>
      </c>
      <c r="G160" s="337">
        <f t="shared" si="96"/>
        <v>1.8</v>
      </c>
      <c r="H160" s="337">
        <f t="shared" si="90"/>
        <v>0</v>
      </c>
      <c r="I160" s="337">
        <f t="shared" si="97"/>
        <v>0</v>
      </c>
      <c r="J160" s="338">
        <f t="shared" si="98"/>
        <v>0</v>
      </c>
      <c r="K160" s="337">
        <f t="shared" si="91"/>
        <v>0</v>
      </c>
      <c r="L160" s="337">
        <f t="shared" si="99"/>
        <v>0</v>
      </c>
      <c r="M160" s="337">
        <f t="shared" si="92"/>
        <v>0</v>
      </c>
      <c r="N160" s="337">
        <f t="shared" si="100"/>
        <v>0</v>
      </c>
      <c r="O160" s="337">
        <f t="shared" si="101"/>
        <v>0</v>
      </c>
      <c r="P160" s="338">
        <f t="shared" si="103"/>
        <v>0</v>
      </c>
      <c r="Q160" s="338">
        <f t="shared" si="104"/>
        <v>0</v>
      </c>
      <c r="R160" s="337">
        <f t="shared" si="93"/>
        <v>0</v>
      </c>
      <c r="S160" s="410">
        <f t="shared" si="94"/>
        <v>0</v>
      </c>
      <c r="T160" s="339"/>
    </row>
    <row r="161" spans="1:20" s="327" customFormat="1" ht="45" customHeight="1">
      <c r="A161" s="334">
        <f t="shared" si="88"/>
        <v>9</v>
      </c>
      <c r="B161" s="346" t="str">
        <f t="shared" si="89"/>
        <v>RUA A</v>
      </c>
      <c r="C161" s="340">
        <v>1</v>
      </c>
      <c r="D161" s="337"/>
      <c r="E161" s="337">
        <f t="shared" si="102"/>
        <v>0</v>
      </c>
      <c r="F161" s="337">
        <f t="shared" si="95"/>
        <v>1.7</v>
      </c>
      <c r="G161" s="337">
        <f t="shared" si="96"/>
        <v>1.8</v>
      </c>
      <c r="H161" s="337">
        <f t="shared" si="90"/>
        <v>0</v>
      </c>
      <c r="I161" s="337">
        <f t="shared" si="97"/>
        <v>0</v>
      </c>
      <c r="J161" s="338">
        <f t="shared" si="98"/>
        <v>0</v>
      </c>
      <c r="K161" s="337">
        <f t="shared" si="91"/>
        <v>0</v>
      </c>
      <c r="L161" s="337">
        <f t="shared" si="99"/>
        <v>0</v>
      </c>
      <c r="M161" s="337">
        <f t="shared" si="92"/>
        <v>0</v>
      </c>
      <c r="N161" s="337">
        <f t="shared" si="100"/>
        <v>0</v>
      </c>
      <c r="O161" s="337">
        <f t="shared" si="101"/>
        <v>0</v>
      </c>
      <c r="P161" s="338">
        <f t="shared" si="103"/>
        <v>0</v>
      </c>
      <c r="Q161" s="338">
        <f t="shared" si="104"/>
        <v>0</v>
      </c>
      <c r="R161" s="337">
        <f t="shared" si="93"/>
        <v>0</v>
      </c>
      <c r="S161" s="410">
        <f t="shared" si="94"/>
        <v>0</v>
      </c>
      <c r="T161" s="339"/>
    </row>
    <row r="162" spans="1:20" s="327" customFormat="1" ht="45" customHeight="1">
      <c r="A162" s="334">
        <f t="shared" si="88"/>
        <v>10</v>
      </c>
      <c r="B162" s="346" t="str">
        <f t="shared" si="89"/>
        <v>RUA B</v>
      </c>
      <c r="C162" s="340">
        <v>1</v>
      </c>
      <c r="D162" s="337"/>
      <c r="E162" s="337">
        <f t="shared" si="102"/>
        <v>0</v>
      </c>
      <c r="F162" s="337">
        <f t="shared" si="95"/>
        <v>1.7</v>
      </c>
      <c r="G162" s="337">
        <f t="shared" si="96"/>
        <v>1.8</v>
      </c>
      <c r="H162" s="337">
        <f t="shared" si="90"/>
        <v>0</v>
      </c>
      <c r="I162" s="337">
        <f t="shared" si="97"/>
        <v>0</v>
      </c>
      <c r="J162" s="338">
        <f t="shared" si="98"/>
        <v>0</v>
      </c>
      <c r="K162" s="337">
        <f t="shared" si="91"/>
        <v>0</v>
      </c>
      <c r="L162" s="337">
        <f t="shared" si="99"/>
        <v>0</v>
      </c>
      <c r="M162" s="337">
        <f t="shared" si="92"/>
        <v>0</v>
      </c>
      <c r="N162" s="337">
        <f t="shared" si="100"/>
        <v>0</v>
      </c>
      <c r="O162" s="337">
        <f t="shared" si="101"/>
        <v>0</v>
      </c>
      <c r="P162" s="338">
        <f t="shared" si="103"/>
        <v>0</v>
      </c>
      <c r="Q162" s="338">
        <f t="shared" si="104"/>
        <v>0</v>
      </c>
      <c r="R162" s="337">
        <f t="shared" si="93"/>
        <v>0</v>
      </c>
      <c r="S162" s="410">
        <f t="shared" si="94"/>
        <v>0</v>
      </c>
      <c r="T162" s="339"/>
    </row>
    <row r="163" spans="1:20" s="327" customFormat="1" ht="45" customHeight="1">
      <c r="A163" s="334">
        <f t="shared" si="88"/>
        <v>14</v>
      </c>
      <c r="B163" s="346" t="str">
        <f t="shared" si="89"/>
        <v>RUA DAS ORQUIDEAS</v>
      </c>
      <c r="C163" s="340">
        <v>1</v>
      </c>
      <c r="D163" s="337"/>
      <c r="E163" s="337">
        <f t="shared" si="102"/>
        <v>0</v>
      </c>
      <c r="F163" s="337">
        <f t="shared" si="95"/>
        <v>1.7</v>
      </c>
      <c r="G163" s="337">
        <f t="shared" si="96"/>
        <v>1.8</v>
      </c>
      <c r="H163" s="337">
        <f t="shared" si="90"/>
        <v>0</v>
      </c>
      <c r="I163" s="337">
        <f t="shared" si="97"/>
        <v>0</v>
      </c>
      <c r="J163" s="338">
        <f t="shared" si="98"/>
        <v>0</v>
      </c>
      <c r="K163" s="337">
        <f t="shared" si="91"/>
        <v>0</v>
      </c>
      <c r="L163" s="337">
        <f t="shared" si="99"/>
        <v>0</v>
      </c>
      <c r="M163" s="337">
        <f t="shared" si="92"/>
        <v>0</v>
      </c>
      <c r="N163" s="337">
        <f t="shared" si="100"/>
        <v>0</v>
      </c>
      <c r="O163" s="337">
        <f t="shared" si="101"/>
        <v>0</v>
      </c>
      <c r="P163" s="338">
        <f t="shared" si="103"/>
        <v>0</v>
      </c>
      <c r="Q163" s="338">
        <f t="shared" si="104"/>
        <v>0</v>
      </c>
      <c r="R163" s="337">
        <f t="shared" si="93"/>
        <v>0</v>
      </c>
      <c r="S163" s="410">
        <f t="shared" si="94"/>
        <v>0</v>
      </c>
      <c r="T163" s="339"/>
    </row>
    <row r="164" spans="1:20" s="327" customFormat="1" ht="45" customHeight="1">
      <c r="A164" s="334">
        <f t="shared" si="88"/>
        <v>15</v>
      </c>
      <c r="B164" s="346" t="str">
        <f t="shared" si="89"/>
        <v>RUA HUM</v>
      </c>
      <c r="C164" s="340">
        <v>1</v>
      </c>
      <c r="D164" s="337"/>
      <c r="E164" s="337">
        <f t="shared" si="102"/>
        <v>0</v>
      </c>
      <c r="F164" s="337">
        <f t="shared" si="95"/>
        <v>1.7</v>
      </c>
      <c r="G164" s="337">
        <f t="shared" si="96"/>
        <v>1.8</v>
      </c>
      <c r="H164" s="337">
        <f t="shared" si="90"/>
        <v>0</v>
      </c>
      <c r="I164" s="337">
        <f t="shared" si="97"/>
        <v>0</v>
      </c>
      <c r="J164" s="338">
        <f t="shared" si="98"/>
        <v>0</v>
      </c>
      <c r="K164" s="337">
        <f t="shared" si="91"/>
        <v>0</v>
      </c>
      <c r="L164" s="337">
        <f t="shared" si="99"/>
        <v>0</v>
      </c>
      <c r="M164" s="337">
        <f t="shared" si="92"/>
        <v>0</v>
      </c>
      <c r="N164" s="337">
        <f t="shared" si="100"/>
        <v>0</v>
      </c>
      <c r="O164" s="337">
        <f t="shared" si="101"/>
        <v>0</v>
      </c>
      <c r="P164" s="338">
        <f t="shared" si="103"/>
        <v>0</v>
      </c>
      <c r="Q164" s="338">
        <f t="shared" si="104"/>
        <v>0</v>
      </c>
      <c r="R164" s="337">
        <f t="shared" si="93"/>
        <v>0</v>
      </c>
      <c r="S164" s="410">
        <f t="shared" si="94"/>
        <v>0</v>
      </c>
      <c r="T164" s="339"/>
    </row>
    <row r="165" spans="1:20" s="327" customFormat="1" ht="45" customHeight="1">
      <c r="A165" s="334">
        <f t="shared" si="88"/>
        <v>16</v>
      </c>
      <c r="B165" s="346" t="str">
        <f t="shared" si="89"/>
        <v>RUA DOIS</v>
      </c>
      <c r="C165" s="340">
        <v>1</v>
      </c>
      <c r="D165" s="337"/>
      <c r="E165" s="337">
        <f t="shared" si="102"/>
        <v>0</v>
      </c>
      <c r="F165" s="337">
        <f t="shared" si="95"/>
        <v>1.7</v>
      </c>
      <c r="G165" s="337">
        <f t="shared" si="96"/>
        <v>1.8</v>
      </c>
      <c r="H165" s="337">
        <f t="shared" si="90"/>
        <v>0</v>
      </c>
      <c r="I165" s="337">
        <f t="shared" si="97"/>
        <v>0</v>
      </c>
      <c r="J165" s="338">
        <f t="shared" si="98"/>
        <v>0</v>
      </c>
      <c r="K165" s="337">
        <f t="shared" si="91"/>
        <v>0</v>
      </c>
      <c r="L165" s="337">
        <f t="shared" si="99"/>
        <v>0</v>
      </c>
      <c r="M165" s="337">
        <f t="shared" si="92"/>
        <v>0</v>
      </c>
      <c r="N165" s="337">
        <f t="shared" si="100"/>
        <v>0</v>
      </c>
      <c r="O165" s="337">
        <f t="shared" si="101"/>
        <v>0</v>
      </c>
      <c r="P165" s="338">
        <f t="shared" si="103"/>
        <v>0</v>
      </c>
      <c r="Q165" s="338">
        <f t="shared" si="104"/>
        <v>0</v>
      </c>
      <c r="R165" s="337">
        <f t="shared" si="93"/>
        <v>0</v>
      </c>
      <c r="S165" s="410">
        <f t="shared" si="94"/>
        <v>0</v>
      </c>
      <c r="T165" s="339"/>
    </row>
    <row r="166" spans="1:20" s="327" customFormat="1" ht="45" customHeight="1">
      <c r="A166" s="334">
        <f t="shared" si="88"/>
        <v>17</v>
      </c>
      <c r="B166" s="346" t="str">
        <f t="shared" si="89"/>
        <v>RUA TRÊS</v>
      </c>
      <c r="C166" s="340">
        <v>1</v>
      </c>
      <c r="D166" s="337"/>
      <c r="E166" s="337">
        <f t="shared" si="102"/>
        <v>0</v>
      </c>
      <c r="F166" s="337">
        <f t="shared" si="95"/>
        <v>1.7</v>
      </c>
      <c r="G166" s="337">
        <f t="shared" si="96"/>
        <v>1.8</v>
      </c>
      <c r="H166" s="337">
        <f t="shared" si="90"/>
        <v>0</v>
      </c>
      <c r="I166" s="337">
        <f t="shared" si="97"/>
        <v>0</v>
      </c>
      <c r="J166" s="338">
        <f t="shared" si="98"/>
        <v>0</v>
      </c>
      <c r="K166" s="337">
        <f t="shared" si="91"/>
        <v>0</v>
      </c>
      <c r="L166" s="337">
        <f t="shared" si="99"/>
        <v>0</v>
      </c>
      <c r="M166" s="337">
        <f t="shared" si="92"/>
        <v>0</v>
      </c>
      <c r="N166" s="337">
        <f t="shared" si="100"/>
        <v>0</v>
      </c>
      <c r="O166" s="337">
        <f t="shared" si="101"/>
        <v>0</v>
      </c>
      <c r="P166" s="338">
        <f>N166*1.3*$P$19</f>
        <v>0</v>
      </c>
      <c r="Q166" s="338">
        <f>N166*1.3*$Q$19</f>
        <v>0</v>
      </c>
      <c r="R166" s="337">
        <f t="shared" si="93"/>
        <v>0</v>
      </c>
      <c r="S166" s="410">
        <f t="shared" si="94"/>
        <v>0</v>
      </c>
      <c r="T166" s="339"/>
    </row>
    <row r="167" spans="1:20" s="327" customFormat="1" ht="45" customHeight="1">
      <c r="A167" s="334">
        <f t="shared" si="88"/>
        <v>18</v>
      </c>
      <c r="B167" s="346" t="str">
        <f t="shared" si="89"/>
        <v>PASS DA LUZ</v>
      </c>
      <c r="C167" s="340">
        <v>1</v>
      </c>
      <c r="D167" s="337"/>
      <c r="E167" s="337">
        <f t="shared" si="102"/>
        <v>0</v>
      </c>
      <c r="F167" s="337">
        <f t="shared" si="95"/>
        <v>1.7</v>
      </c>
      <c r="G167" s="337">
        <f t="shared" si="96"/>
        <v>1.8</v>
      </c>
      <c r="H167" s="337">
        <f t="shared" si="90"/>
        <v>0</v>
      </c>
      <c r="I167" s="337">
        <f t="shared" si="97"/>
        <v>0</v>
      </c>
      <c r="J167" s="338">
        <f t="shared" si="98"/>
        <v>0</v>
      </c>
      <c r="K167" s="337">
        <f t="shared" si="91"/>
        <v>0</v>
      </c>
      <c r="L167" s="337">
        <f t="shared" si="99"/>
        <v>0</v>
      </c>
      <c r="M167" s="337">
        <f t="shared" si="92"/>
        <v>0</v>
      </c>
      <c r="N167" s="337">
        <f t="shared" si="100"/>
        <v>0</v>
      </c>
      <c r="O167" s="337">
        <f t="shared" si="101"/>
        <v>0</v>
      </c>
      <c r="P167" s="338">
        <f t="shared" ref="P167:P176" si="105">N167*1.3*$P$19</f>
        <v>0</v>
      </c>
      <c r="Q167" s="338">
        <f t="shared" ref="Q167:Q176" si="106">N167*1.3*$Q$19</f>
        <v>0</v>
      </c>
      <c r="R167" s="337">
        <f t="shared" si="93"/>
        <v>0</v>
      </c>
      <c r="S167" s="410">
        <f t="shared" si="94"/>
        <v>0</v>
      </c>
      <c r="T167" s="339"/>
    </row>
    <row r="168" spans="1:20" s="327" customFormat="1" ht="45" customHeight="1">
      <c r="A168" s="334">
        <f t="shared" si="88"/>
        <v>19</v>
      </c>
      <c r="B168" s="346" t="str">
        <f t="shared" si="89"/>
        <v>RUA FÉ EM DEUS</v>
      </c>
      <c r="C168" s="340">
        <v>1</v>
      </c>
      <c r="D168" s="337"/>
      <c r="E168" s="337">
        <f t="shared" si="102"/>
        <v>0</v>
      </c>
      <c r="F168" s="337">
        <f t="shared" si="95"/>
        <v>1.7</v>
      </c>
      <c r="G168" s="337">
        <f t="shared" si="96"/>
        <v>1.8</v>
      </c>
      <c r="H168" s="337">
        <f t="shared" si="90"/>
        <v>0</v>
      </c>
      <c r="I168" s="337">
        <f t="shared" si="97"/>
        <v>0</v>
      </c>
      <c r="J168" s="338">
        <f t="shared" si="98"/>
        <v>0</v>
      </c>
      <c r="K168" s="337">
        <f t="shared" si="91"/>
        <v>0</v>
      </c>
      <c r="L168" s="337">
        <f t="shared" si="99"/>
        <v>0</v>
      </c>
      <c r="M168" s="337">
        <f t="shared" si="92"/>
        <v>0</v>
      </c>
      <c r="N168" s="337">
        <f t="shared" si="100"/>
        <v>0</v>
      </c>
      <c r="O168" s="337">
        <f t="shared" si="101"/>
        <v>0</v>
      </c>
      <c r="P168" s="338">
        <f t="shared" si="105"/>
        <v>0</v>
      </c>
      <c r="Q168" s="338">
        <f t="shared" si="106"/>
        <v>0</v>
      </c>
      <c r="R168" s="337">
        <f t="shared" si="93"/>
        <v>0</v>
      </c>
      <c r="S168" s="410">
        <f t="shared" si="94"/>
        <v>0</v>
      </c>
      <c r="T168" s="339"/>
    </row>
    <row r="169" spans="1:20" s="327" customFormat="1" ht="45" customHeight="1">
      <c r="A169" s="334">
        <f t="shared" si="88"/>
        <v>20</v>
      </c>
      <c r="B169" s="346" t="str">
        <f t="shared" si="89"/>
        <v>PASS PRINCIPAL</v>
      </c>
      <c r="C169" s="340">
        <v>1</v>
      </c>
      <c r="D169" s="337"/>
      <c r="E169" s="337">
        <f t="shared" si="102"/>
        <v>0</v>
      </c>
      <c r="F169" s="337">
        <f t="shared" si="95"/>
        <v>1.7</v>
      </c>
      <c r="G169" s="337">
        <f t="shared" si="96"/>
        <v>1.8</v>
      </c>
      <c r="H169" s="337">
        <f t="shared" si="90"/>
        <v>0</v>
      </c>
      <c r="I169" s="337">
        <f t="shared" si="97"/>
        <v>0</v>
      </c>
      <c r="J169" s="338">
        <f t="shared" si="98"/>
        <v>0</v>
      </c>
      <c r="K169" s="337">
        <f t="shared" si="91"/>
        <v>0</v>
      </c>
      <c r="L169" s="337">
        <f t="shared" si="99"/>
        <v>0</v>
      </c>
      <c r="M169" s="337">
        <f t="shared" si="92"/>
        <v>0</v>
      </c>
      <c r="N169" s="337">
        <f t="shared" si="100"/>
        <v>0</v>
      </c>
      <c r="O169" s="337">
        <f t="shared" si="101"/>
        <v>0</v>
      </c>
      <c r="P169" s="338">
        <f t="shared" si="105"/>
        <v>0</v>
      </c>
      <c r="Q169" s="338">
        <f t="shared" si="106"/>
        <v>0</v>
      </c>
      <c r="R169" s="337">
        <f t="shared" si="93"/>
        <v>0</v>
      </c>
      <c r="S169" s="410">
        <f t="shared" si="94"/>
        <v>0</v>
      </c>
      <c r="T169" s="339"/>
    </row>
    <row r="170" spans="1:20" s="327" customFormat="1" ht="45" customHeight="1">
      <c r="A170" s="334">
        <f t="shared" si="88"/>
        <v>21</v>
      </c>
      <c r="B170" s="346" t="str">
        <f t="shared" si="89"/>
        <v>PASSAGEM BACELAR</v>
      </c>
      <c r="C170" s="340">
        <v>1</v>
      </c>
      <c r="D170" s="337"/>
      <c r="E170" s="337">
        <f t="shared" si="102"/>
        <v>0</v>
      </c>
      <c r="F170" s="337">
        <f t="shared" si="95"/>
        <v>1.7</v>
      </c>
      <c r="G170" s="337">
        <f t="shared" si="96"/>
        <v>1.8</v>
      </c>
      <c r="H170" s="337">
        <f t="shared" si="90"/>
        <v>0</v>
      </c>
      <c r="I170" s="337">
        <f t="shared" si="97"/>
        <v>0</v>
      </c>
      <c r="J170" s="338">
        <f t="shared" si="98"/>
        <v>0</v>
      </c>
      <c r="K170" s="337">
        <f t="shared" si="91"/>
        <v>0</v>
      </c>
      <c r="L170" s="337">
        <f t="shared" si="99"/>
        <v>0</v>
      </c>
      <c r="M170" s="337">
        <f t="shared" si="92"/>
        <v>0</v>
      </c>
      <c r="N170" s="337">
        <f t="shared" si="100"/>
        <v>0</v>
      </c>
      <c r="O170" s="337">
        <f t="shared" si="101"/>
        <v>0</v>
      </c>
      <c r="P170" s="338">
        <f t="shared" si="105"/>
        <v>0</v>
      </c>
      <c r="Q170" s="338">
        <f t="shared" si="106"/>
        <v>0</v>
      </c>
      <c r="R170" s="337">
        <f t="shared" si="93"/>
        <v>0</v>
      </c>
      <c r="S170" s="410">
        <f t="shared" si="94"/>
        <v>0</v>
      </c>
      <c r="T170" s="339"/>
    </row>
    <row r="171" spans="1:20" s="327" customFormat="1" ht="45" customHeight="1">
      <c r="A171" s="334">
        <f t="shared" si="88"/>
        <v>22</v>
      </c>
      <c r="B171" s="346" t="str">
        <f t="shared" si="89"/>
        <v>PASS DEUS TEM PODER</v>
      </c>
      <c r="C171" s="340">
        <v>1</v>
      </c>
      <c r="D171" s="337"/>
      <c r="E171" s="337">
        <f t="shared" ref="E171:E185" si="107">C171*D171</f>
        <v>0</v>
      </c>
      <c r="F171" s="337">
        <f t="shared" si="95"/>
        <v>1.7</v>
      </c>
      <c r="G171" s="337">
        <f t="shared" ref="G171:G185" si="108">((1.2+0.6)+((1.2+0.6)+(E171*0.5%)))/2</f>
        <v>1.8</v>
      </c>
      <c r="H171" s="337">
        <f t="shared" ref="H171:H185" si="109">E171*F171*G171</f>
        <v>0</v>
      </c>
      <c r="I171" s="337">
        <f t="shared" ref="I171:I185" si="110">M171</f>
        <v>0</v>
      </c>
      <c r="J171" s="338">
        <f t="shared" ref="J171:J185" si="111">I171*1.25*$J$19</f>
        <v>0</v>
      </c>
      <c r="K171" s="337">
        <f t="shared" ref="K171:K185" si="112">E171*F171</f>
        <v>0</v>
      </c>
      <c r="L171" s="337">
        <f t="shared" ref="L171:L185" si="113">K171</f>
        <v>0</v>
      </c>
      <c r="M171" s="337">
        <f t="shared" ref="M171:M185" si="114">(3.14*0.5^2)*E171</f>
        <v>0</v>
      </c>
      <c r="N171" s="337">
        <f t="shared" ref="N171:N185" si="115">(H171-M171)*70%</f>
        <v>0</v>
      </c>
      <c r="O171" s="337">
        <f t="shared" ref="O171:O185" si="116">(H171-M171)*30%</f>
        <v>0</v>
      </c>
      <c r="P171" s="338">
        <f t="shared" si="105"/>
        <v>0</v>
      </c>
      <c r="Q171" s="338">
        <f t="shared" si="106"/>
        <v>0</v>
      </c>
      <c r="R171" s="337">
        <f t="shared" ref="R171:R185" si="117">IF(G171&gt;1.5,D171*G171*2,)</f>
        <v>0</v>
      </c>
      <c r="S171" s="410">
        <f t="shared" ref="S171:S185" si="118">E171</f>
        <v>0</v>
      </c>
      <c r="T171" s="339"/>
    </row>
    <row r="172" spans="1:20" s="327" customFormat="1" ht="45" customHeight="1">
      <c r="A172" s="334">
        <f t="shared" si="88"/>
        <v>23</v>
      </c>
      <c r="B172" s="346" t="str">
        <f t="shared" si="89"/>
        <v>PASS UNIÃO</v>
      </c>
      <c r="C172" s="340">
        <v>1</v>
      </c>
      <c r="D172" s="337"/>
      <c r="E172" s="337">
        <f t="shared" si="107"/>
        <v>0</v>
      </c>
      <c r="F172" s="337">
        <f t="shared" si="95"/>
        <v>1.7</v>
      </c>
      <c r="G172" s="337">
        <f t="shared" si="108"/>
        <v>1.8</v>
      </c>
      <c r="H172" s="337">
        <f t="shared" si="109"/>
        <v>0</v>
      </c>
      <c r="I172" s="337">
        <f t="shared" si="110"/>
        <v>0</v>
      </c>
      <c r="J172" s="338">
        <f t="shared" si="111"/>
        <v>0</v>
      </c>
      <c r="K172" s="337">
        <f t="shared" si="112"/>
        <v>0</v>
      </c>
      <c r="L172" s="337">
        <f t="shared" si="113"/>
        <v>0</v>
      </c>
      <c r="M172" s="337">
        <f t="shared" si="114"/>
        <v>0</v>
      </c>
      <c r="N172" s="337">
        <f t="shared" si="115"/>
        <v>0</v>
      </c>
      <c r="O172" s="337">
        <f t="shared" si="116"/>
        <v>0</v>
      </c>
      <c r="P172" s="338">
        <f t="shared" si="105"/>
        <v>0</v>
      </c>
      <c r="Q172" s="338">
        <f t="shared" si="106"/>
        <v>0</v>
      </c>
      <c r="R172" s="337">
        <f t="shared" si="117"/>
        <v>0</v>
      </c>
      <c r="S172" s="410">
        <f t="shared" si="118"/>
        <v>0</v>
      </c>
      <c r="T172" s="339"/>
    </row>
    <row r="173" spans="1:20" s="327" customFormat="1" ht="45" customHeight="1">
      <c r="A173" s="334">
        <f t="shared" si="88"/>
        <v>24</v>
      </c>
      <c r="B173" s="346" t="str">
        <f t="shared" si="89"/>
        <v>PASS SÃO JORGE</v>
      </c>
      <c r="C173" s="340">
        <v>1</v>
      </c>
      <c r="D173" s="337"/>
      <c r="E173" s="337">
        <f t="shared" si="107"/>
        <v>0</v>
      </c>
      <c r="F173" s="337">
        <f t="shared" si="95"/>
        <v>1.7</v>
      </c>
      <c r="G173" s="337">
        <f t="shared" si="108"/>
        <v>1.8</v>
      </c>
      <c r="H173" s="337">
        <f t="shared" si="109"/>
        <v>0</v>
      </c>
      <c r="I173" s="337">
        <f t="shared" si="110"/>
        <v>0</v>
      </c>
      <c r="J173" s="338">
        <f t="shared" si="111"/>
        <v>0</v>
      </c>
      <c r="K173" s="337">
        <f t="shared" si="112"/>
        <v>0</v>
      </c>
      <c r="L173" s="337">
        <f t="shared" si="113"/>
        <v>0</v>
      </c>
      <c r="M173" s="337">
        <f t="shared" si="114"/>
        <v>0</v>
      </c>
      <c r="N173" s="337">
        <f t="shared" si="115"/>
        <v>0</v>
      </c>
      <c r="O173" s="337">
        <f t="shared" si="116"/>
        <v>0</v>
      </c>
      <c r="P173" s="338">
        <f t="shared" si="105"/>
        <v>0</v>
      </c>
      <c r="Q173" s="338">
        <f t="shared" si="106"/>
        <v>0</v>
      </c>
      <c r="R173" s="337">
        <f t="shared" si="117"/>
        <v>0</v>
      </c>
      <c r="S173" s="410">
        <f t="shared" si="118"/>
        <v>0</v>
      </c>
      <c r="T173" s="339"/>
    </row>
    <row r="174" spans="1:20" s="327" customFormat="1" ht="45" customHeight="1">
      <c r="A174" s="334">
        <f t="shared" si="88"/>
        <v>25</v>
      </c>
      <c r="B174" s="346" t="str">
        <f t="shared" si="89"/>
        <v>PASS AIRTON SENA</v>
      </c>
      <c r="C174" s="340">
        <v>1</v>
      </c>
      <c r="D174" s="337"/>
      <c r="E174" s="337">
        <f t="shared" si="107"/>
        <v>0</v>
      </c>
      <c r="F174" s="337">
        <f t="shared" si="95"/>
        <v>1.7</v>
      </c>
      <c r="G174" s="337">
        <f t="shared" si="108"/>
        <v>1.8</v>
      </c>
      <c r="H174" s="337">
        <f t="shared" si="109"/>
        <v>0</v>
      </c>
      <c r="I174" s="337">
        <f t="shared" si="110"/>
        <v>0</v>
      </c>
      <c r="J174" s="338">
        <f t="shared" si="111"/>
        <v>0</v>
      </c>
      <c r="K174" s="337">
        <f t="shared" si="112"/>
        <v>0</v>
      </c>
      <c r="L174" s="337">
        <f t="shared" si="113"/>
        <v>0</v>
      </c>
      <c r="M174" s="337">
        <f t="shared" si="114"/>
        <v>0</v>
      </c>
      <c r="N174" s="337">
        <f t="shared" si="115"/>
        <v>0</v>
      </c>
      <c r="O174" s="337">
        <f t="shared" si="116"/>
        <v>0</v>
      </c>
      <c r="P174" s="338">
        <f t="shared" si="105"/>
        <v>0</v>
      </c>
      <c r="Q174" s="338">
        <f t="shared" si="106"/>
        <v>0</v>
      </c>
      <c r="R174" s="337">
        <f t="shared" si="117"/>
        <v>0</v>
      </c>
      <c r="S174" s="410">
        <f t="shared" si="118"/>
        <v>0</v>
      </c>
      <c r="T174" s="339"/>
    </row>
    <row r="175" spans="1:20" s="327" customFormat="1" ht="45" customHeight="1">
      <c r="A175" s="334">
        <f t="shared" si="88"/>
        <v>26</v>
      </c>
      <c r="B175" s="346" t="str">
        <f t="shared" si="89"/>
        <v>RUA AMINTAS PINHEIRO</v>
      </c>
      <c r="C175" s="340">
        <v>1</v>
      </c>
      <c r="D175" s="337"/>
      <c r="E175" s="337">
        <f t="shared" si="107"/>
        <v>0</v>
      </c>
      <c r="F175" s="337">
        <f t="shared" si="95"/>
        <v>1.7</v>
      </c>
      <c r="G175" s="337">
        <f t="shared" si="108"/>
        <v>1.8</v>
      </c>
      <c r="H175" s="337">
        <f t="shared" si="109"/>
        <v>0</v>
      </c>
      <c r="I175" s="337">
        <f t="shared" si="110"/>
        <v>0</v>
      </c>
      <c r="J175" s="338">
        <f t="shared" si="111"/>
        <v>0</v>
      </c>
      <c r="K175" s="337">
        <f t="shared" si="112"/>
        <v>0</v>
      </c>
      <c r="L175" s="337">
        <f t="shared" si="113"/>
        <v>0</v>
      </c>
      <c r="M175" s="337">
        <f t="shared" si="114"/>
        <v>0</v>
      </c>
      <c r="N175" s="337">
        <f t="shared" si="115"/>
        <v>0</v>
      </c>
      <c r="O175" s="337">
        <f t="shared" si="116"/>
        <v>0</v>
      </c>
      <c r="P175" s="338">
        <f t="shared" si="105"/>
        <v>0</v>
      </c>
      <c r="Q175" s="338">
        <f t="shared" si="106"/>
        <v>0</v>
      </c>
      <c r="R175" s="337">
        <f t="shared" si="117"/>
        <v>0</v>
      </c>
      <c r="S175" s="410">
        <f t="shared" si="118"/>
        <v>0</v>
      </c>
      <c r="T175" s="339"/>
    </row>
    <row r="176" spans="1:20" s="327" customFormat="1" ht="45" customHeight="1">
      <c r="A176" s="334">
        <f t="shared" si="88"/>
        <v>27</v>
      </c>
      <c r="B176" s="346" t="str">
        <f t="shared" si="89"/>
        <v>PASS PRINC ISABEL</v>
      </c>
      <c r="C176" s="340">
        <v>1</v>
      </c>
      <c r="D176" s="337"/>
      <c r="E176" s="337">
        <f t="shared" si="107"/>
        <v>0</v>
      </c>
      <c r="F176" s="337">
        <f t="shared" si="95"/>
        <v>1.7</v>
      </c>
      <c r="G176" s="337">
        <f t="shared" si="108"/>
        <v>1.8</v>
      </c>
      <c r="H176" s="337">
        <f t="shared" si="109"/>
        <v>0</v>
      </c>
      <c r="I176" s="337">
        <f t="shared" si="110"/>
        <v>0</v>
      </c>
      <c r="J176" s="338">
        <f t="shared" si="111"/>
        <v>0</v>
      </c>
      <c r="K176" s="337">
        <f t="shared" si="112"/>
        <v>0</v>
      </c>
      <c r="L176" s="337">
        <f t="shared" si="113"/>
        <v>0</v>
      </c>
      <c r="M176" s="337">
        <f t="shared" si="114"/>
        <v>0</v>
      </c>
      <c r="N176" s="337">
        <f t="shared" si="115"/>
        <v>0</v>
      </c>
      <c r="O176" s="337">
        <f t="shared" si="116"/>
        <v>0</v>
      </c>
      <c r="P176" s="338">
        <f t="shared" si="105"/>
        <v>0</v>
      </c>
      <c r="Q176" s="338">
        <f t="shared" si="106"/>
        <v>0</v>
      </c>
      <c r="R176" s="337">
        <f t="shared" si="117"/>
        <v>0</v>
      </c>
      <c r="S176" s="410">
        <f t="shared" si="118"/>
        <v>0</v>
      </c>
      <c r="T176" s="339"/>
    </row>
    <row r="177" spans="1:20" s="327" customFormat="1" ht="45" customHeight="1">
      <c r="A177" s="334">
        <f t="shared" si="88"/>
        <v>28</v>
      </c>
      <c r="B177" s="346" t="str">
        <f t="shared" si="89"/>
        <v>PASS SANTA CLARA</v>
      </c>
      <c r="C177" s="340">
        <v>1</v>
      </c>
      <c r="D177" s="337"/>
      <c r="E177" s="337">
        <f t="shared" si="107"/>
        <v>0</v>
      </c>
      <c r="F177" s="337">
        <f t="shared" si="95"/>
        <v>1.7</v>
      </c>
      <c r="G177" s="337">
        <f t="shared" si="108"/>
        <v>1.8</v>
      </c>
      <c r="H177" s="337">
        <f t="shared" si="109"/>
        <v>0</v>
      </c>
      <c r="I177" s="337">
        <f t="shared" si="110"/>
        <v>0</v>
      </c>
      <c r="J177" s="338">
        <f t="shared" si="111"/>
        <v>0</v>
      </c>
      <c r="K177" s="337">
        <f t="shared" si="112"/>
        <v>0</v>
      </c>
      <c r="L177" s="337">
        <f t="shared" si="113"/>
        <v>0</v>
      </c>
      <c r="M177" s="337">
        <f t="shared" si="114"/>
        <v>0</v>
      </c>
      <c r="N177" s="337">
        <f t="shared" si="115"/>
        <v>0</v>
      </c>
      <c r="O177" s="337">
        <f t="shared" si="116"/>
        <v>0</v>
      </c>
      <c r="P177" s="338">
        <f>N177*1.3*$P$19</f>
        <v>0</v>
      </c>
      <c r="Q177" s="338">
        <f>N177*1.3*$Q$19</f>
        <v>0</v>
      </c>
      <c r="R177" s="337">
        <f t="shared" si="117"/>
        <v>0</v>
      </c>
      <c r="S177" s="410">
        <f t="shared" si="118"/>
        <v>0</v>
      </c>
      <c r="T177" s="339"/>
    </row>
    <row r="178" spans="1:20" s="327" customFormat="1" ht="45" customHeight="1">
      <c r="A178" s="334">
        <f t="shared" si="88"/>
        <v>29</v>
      </c>
      <c r="B178" s="346" t="str">
        <f t="shared" si="89"/>
        <v>PASS AIRTON SENA 1</v>
      </c>
      <c r="C178" s="340">
        <v>1</v>
      </c>
      <c r="D178" s="337"/>
      <c r="E178" s="337">
        <f t="shared" si="107"/>
        <v>0</v>
      </c>
      <c r="F178" s="337">
        <f t="shared" si="95"/>
        <v>1.7</v>
      </c>
      <c r="G178" s="337">
        <f t="shared" si="108"/>
        <v>1.8</v>
      </c>
      <c r="H178" s="337">
        <f t="shared" si="109"/>
        <v>0</v>
      </c>
      <c r="I178" s="337">
        <f t="shared" si="110"/>
        <v>0</v>
      </c>
      <c r="J178" s="338">
        <f t="shared" si="111"/>
        <v>0</v>
      </c>
      <c r="K178" s="337">
        <f t="shared" si="112"/>
        <v>0</v>
      </c>
      <c r="L178" s="337">
        <f t="shared" si="113"/>
        <v>0</v>
      </c>
      <c r="M178" s="337">
        <f t="shared" si="114"/>
        <v>0</v>
      </c>
      <c r="N178" s="337">
        <f t="shared" si="115"/>
        <v>0</v>
      </c>
      <c r="O178" s="337">
        <f t="shared" si="116"/>
        <v>0</v>
      </c>
      <c r="P178" s="338">
        <f t="shared" ref="P178:P187" si="119">N178*1.3*$P$19</f>
        <v>0</v>
      </c>
      <c r="Q178" s="338">
        <f t="shared" ref="Q178:Q187" si="120">N178*1.3*$Q$19</f>
        <v>0</v>
      </c>
      <c r="R178" s="337">
        <f t="shared" si="117"/>
        <v>0</v>
      </c>
      <c r="S178" s="410">
        <f t="shared" si="118"/>
        <v>0</v>
      </c>
      <c r="T178" s="339"/>
    </row>
    <row r="179" spans="1:20" s="327" customFormat="1" ht="45" customHeight="1" thickBot="1">
      <c r="A179" s="334">
        <f t="shared" si="88"/>
        <v>30</v>
      </c>
      <c r="B179" s="346" t="str">
        <f t="shared" si="89"/>
        <v>PASS TIM LOPES</v>
      </c>
      <c r="C179" s="340">
        <v>1</v>
      </c>
      <c r="D179" s="337"/>
      <c r="E179" s="337">
        <f t="shared" si="107"/>
        <v>0</v>
      </c>
      <c r="F179" s="337">
        <f t="shared" si="95"/>
        <v>1.7</v>
      </c>
      <c r="G179" s="337">
        <f t="shared" si="108"/>
        <v>1.8</v>
      </c>
      <c r="H179" s="337">
        <f t="shared" si="109"/>
        <v>0</v>
      </c>
      <c r="I179" s="337">
        <f t="shared" si="110"/>
        <v>0</v>
      </c>
      <c r="J179" s="338">
        <f t="shared" si="111"/>
        <v>0</v>
      </c>
      <c r="K179" s="337">
        <f t="shared" si="112"/>
        <v>0</v>
      </c>
      <c r="L179" s="337">
        <f t="shared" si="113"/>
        <v>0</v>
      </c>
      <c r="M179" s="337">
        <f t="shared" si="114"/>
        <v>0</v>
      </c>
      <c r="N179" s="337">
        <f t="shared" si="115"/>
        <v>0</v>
      </c>
      <c r="O179" s="337">
        <f t="shared" si="116"/>
        <v>0</v>
      </c>
      <c r="P179" s="338">
        <f t="shared" si="119"/>
        <v>0</v>
      </c>
      <c r="Q179" s="338">
        <f t="shared" si="120"/>
        <v>0</v>
      </c>
      <c r="R179" s="337">
        <f t="shared" si="117"/>
        <v>0</v>
      </c>
      <c r="S179" s="410">
        <f t="shared" si="118"/>
        <v>0</v>
      </c>
      <c r="T179" s="339"/>
    </row>
    <row r="180" spans="1:20" s="327" customFormat="1" ht="45" hidden="1" customHeight="1" thickBot="1">
      <c r="A180" s="334"/>
      <c r="B180" s="346"/>
      <c r="C180" s="340">
        <v>1</v>
      </c>
      <c r="D180" s="337"/>
      <c r="E180" s="337">
        <f t="shared" si="107"/>
        <v>0</v>
      </c>
      <c r="F180" s="337">
        <f t="shared" si="95"/>
        <v>1.7</v>
      </c>
      <c r="G180" s="337">
        <f t="shared" si="108"/>
        <v>1.8</v>
      </c>
      <c r="H180" s="337">
        <f t="shared" si="109"/>
        <v>0</v>
      </c>
      <c r="I180" s="337">
        <f t="shared" si="110"/>
        <v>0</v>
      </c>
      <c r="J180" s="338">
        <f t="shared" si="111"/>
        <v>0</v>
      </c>
      <c r="K180" s="337">
        <f t="shared" si="112"/>
        <v>0</v>
      </c>
      <c r="L180" s="337">
        <f t="shared" si="113"/>
        <v>0</v>
      </c>
      <c r="M180" s="337">
        <f t="shared" si="114"/>
        <v>0</v>
      </c>
      <c r="N180" s="337">
        <f t="shared" si="115"/>
        <v>0</v>
      </c>
      <c r="O180" s="337">
        <f t="shared" si="116"/>
        <v>0</v>
      </c>
      <c r="P180" s="338">
        <f t="shared" si="119"/>
        <v>0</v>
      </c>
      <c r="Q180" s="338">
        <f t="shared" si="120"/>
        <v>0</v>
      </c>
      <c r="R180" s="337">
        <f t="shared" si="117"/>
        <v>0</v>
      </c>
      <c r="S180" s="410">
        <f t="shared" si="118"/>
        <v>0</v>
      </c>
      <c r="T180" s="339"/>
    </row>
    <row r="181" spans="1:20" s="327" customFormat="1" ht="45" hidden="1" customHeight="1" thickBot="1">
      <c r="A181" s="334"/>
      <c r="B181" s="346"/>
      <c r="C181" s="340">
        <v>1</v>
      </c>
      <c r="D181" s="337"/>
      <c r="E181" s="337">
        <f t="shared" si="107"/>
        <v>0</v>
      </c>
      <c r="F181" s="337">
        <f t="shared" si="95"/>
        <v>1.7</v>
      </c>
      <c r="G181" s="337">
        <f t="shared" si="108"/>
        <v>1.8</v>
      </c>
      <c r="H181" s="337">
        <f t="shared" si="109"/>
        <v>0</v>
      </c>
      <c r="I181" s="337">
        <f t="shared" si="110"/>
        <v>0</v>
      </c>
      <c r="J181" s="338">
        <f t="shared" si="111"/>
        <v>0</v>
      </c>
      <c r="K181" s="337">
        <f t="shared" si="112"/>
        <v>0</v>
      </c>
      <c r="L181" s="337">
        <f t="shared" si="113"/>
        <v>0</v>
      </c>
      <c r="M181" s="337">
        <f t="shared" si="114"/>
        <v>0</v>
      </c>
      <c r="N181" s="337">
        <f t="shared" si="115"/>
        <v>0</v>
      </c>
      <c r="O181" s="337">
        <f t="shared" si="116"/>
        <v>0</v>
      </c>
      <c r="P181" s="338">
        <f t="shared" si="119"/>
        <v>0</v>
      </c>
      <c r="Q181" s="338">
        <f t="shared" si="120"/>
        <v>0</v>
      </c>
      <c r="R181" s="337">
        <f t="shared" si="117"/>
        <v>0</v>
      </c>
      <c r="S181" s="410">
        <f t="shared" si="118"/>
        <v>0</v>
      </c>
      <c r="T181" s="339"/>
    </row>
    <row r="182" spans="1:20" s="327" customFormat="1" ht="45" hidden="1" customHeight="1" thickBot="1">
      <c r="A182" s="334"/>
      <c r="B182" s="346"/>
      <c r="C182" s="340">
        <v>1</v>
      </c>
      <c r="D182" s="337"/>
      <c r="E182" s="337">
        <f t="shared" si="107"/>
        <v>0</v>
      </c>
      <c r="F182" s="337">
        <f t="shared" si="95"/>
        <v>1.7</v>
      </c>
      <c r="G182" s="337">
        <f t="shared" si="108"/>
        <v>1.8</v>
      </c>
      <c r="H182" s="337">
        <f t="shared" si="109"/>
        <v>0</v>
      </c>
      <c r="I182" s="337">
        <f t="shared" si="110"/>
        <v>0</v>
      </c>
      <c r="J182" s="338">
        <f t="shared" si="111"/>
        <v>0</v>
      </c>
      <c r="K182" s="337">
        <f t="shared" si="112"/>
        <v>0</v>
      </c>
      <c r="L182" s="337">
        <f t="shared" si="113"/>
        <v>0</v>
      </c>
      <c r="M182" s="337">
        <f t="shared" si="114"/>
        <v>0</v>
      </c>
      <c r="N182" s="337">
        <f t="shared" si="115"/>
        <v>0</v>
      </c>
      <c r="O182" s="337">
        <f t="shared" si="116"/>
        <v>0</v>
      </c>
      <c r="P182" s="338">
        <f t="shared" si="119"/>
        <v>0</v>
      </c>
      <c r="Q182" s="338">
        <f t="shared" si="120"/>
        <v>0</v>
      </c>
      <c r="R182" s="337">
        <f t="shared" si="117"/>
        <v>0</v>
      </c>
      <c r="S182" s="410">
        <f t="shared" si="118"/>
        <v>0</v>
      </c>
      <c r="T182" s="339"/>
    </row>
    <row r="183" spans="1:20" s="327" customFormat="1" ht="45" hidden="1" customHeight="1" thickBot="1">
      <c r="A183" s="334"/>
      <c r="B183" s="346"/>
      <c r="C183" s="340">
        <v>1</v>
      </c>
      <c r="D183" s="337"/>
      <c r="E183" s="337">
        <f t="shared" si="107"/>
        <v>0</v>
      </c>
      <c r="F183" s="337">
        <f t="shared" si="95"/>
        <v>1.7</v>
      </c>
      <c r="G183" s="337">
        <f t="shared" si="108"/>
        <v>1.8</v>
      </c>
      <c r="H183" s="337">
        <f t="shared" si="109"/>
        <v>0</v>
      </c>
      <c r="I183" s="337">
        <f t="shared" si="110"/>
        <v>0</v>
      </c>
      <c r="J183" s="338">
        <f t="shared" si="111"/>
        <v>0</v>
      </c>
      <c r="K183" s="337">
        <f t="shared" si="112"/>
        <v>0</v>
      </c>
      <c r="L183" s="337">
        <f t="shared" si="113"/>
        <v>0</v>
      </c>
      <c r="M183" s="337">
        <f t="shared" si="114"/>
        <v>0</v>
      </c>
      <c r="N183" s="337">
        <f t="shared" si="115"/>
        <v>0</v>
      </c>
      <c r="O183" s="337">
        <f t="shared" si="116"/>
        <v>0</v>
      </c>
      <c r="P183" s="338">
        <f t="shared" si="119"/>
        <v>0</v>
      </c>
      <c r="Q183" s="338">
        <f t="shared" si="120"/>
        <v>0</v>
      </c>
      <c r="R183" s="337">
        <f t="shared" si="117"/>
        <v>0</v>
      </c>
      <c r="S183" s="410">
        <f t="shared" si="118"/>
        <v>0</v>
      </c>
      <c r="T183" s="339"/>
    </row>
    <row r="184" spans="1:20" s="327" customFormat="1" ht="45" hidden="1" customHeight="1" thickBot="1">
      <c r="A184" s="334"/>
      <c r="B184" s="346"/>
      <c r="C184" s="340">
        <v>1</v>
      </c>
      <c r="D184" s="337"/>
      <c r="E184" s="337">
        <f t="shared" si="107"/>
        <v>0</v>
      </c>
      <c r="F184" s="337">
        <f t="shared" si="95"/>
        <v>1.7</v>
      </c>
      <c r="G184" s="337">
        <f t="shared" si="108"/>
        <v>1.8</v>
      </c>
      <c r="H184" s="337">
        <f t="shared" si="109"/>
        <v>0</v>
      </c>
      <c r="I184" s="337">
        <f t="shared" si="110"/>
        <v>0</v>
      </c>
      <c r="J184" s="338">
        <f t="shared" si="111"/>
        <v>0</v>
      </c>
      <c r="K184" s="337">
        <f t="shared" si="112"/>
        <v>0</v>
      </c>
      <c r="L184" s="337">
        <f t="shared" si="113"/>
        <v>0</v>
      </c>
      <c r="M184" s="337">
        <f t="shared" si="114"/>
        <v>0</v>
      </c>
      <c r="N184" s="337">
        <f t="shared" si="115"/>
        <v>0</v>
      </c>
      <c r="O184" s="337">
        <f t="shared" si="116"/>
        <v>0</v>
      </c>
      <c r="P184" s="338">
        <f t="shared" si="119"/>
        <v>0</v>
      </c>
      <c r="Q184" s="338">
        <f t="shared" si="120"/>
        <v>0</v>
      </c>
      <c r="R184" s="337">
        <f t="shared" si="117"/>
        <v>0</v>
      </c>
      <c r="S184" s="410">
        <f t="shared" si="118"/>
        <v>0</v>
      </c>
      <c r="T184" s="339"/>
    </row>
    <row r="185" spans="1:20" s="327" customFormat="1" ht="45" hidden="1" customHeight="1" thickBot="1">
      <c r="A185" s="334"/>
      <c r="B185" s="346"/>
      <c r="C185" s="340">
        <v>1</v>
      </c>
      <c r="D185" s="337"/>
      <c r="E185" s="337">
        <f t="shared" si="107"/>
        <v>0</v>
      </c>
      <c r="F185" s="337">
        <f t="shared" si="95"/>
        <v>1.7</v>
      </c>
      <c r="G185" s="337">
        <f t="shared" si="108"/>
        <v>1.8</v>
      </c>
      <c r="H185" s="337">
        <f t="shared" si="109"/>
        <v>0</v>
      </c>
      <c r="I185" s="337">
        <f t="shared" si="110"/>
        <v>0</v>
      </c>
      <c r="J185" s="338">
        <f t="shared" si="111"/>
        <v>0</v>
      </c>
      <c r="K185" s="337">
        <f t="shared" si="112"/>
        <v>0</v>
      </c>
      <c r="L185" s="337">
        <f t="shared" si="113"/>
        <v>0</v>
      </c>
      <c r="M185" s="337">
        <f t="shared" si="114"/>
        <v>0</v>
      </c>
      <c r="N185" s="337">
        <f t="shared" si="115"/>
        <v>0</v>
      </c>
      <c r="O185" s="337">
        <f t="shared" si="116"/>
        <v>0</v>
      </c>
      <c r="P185" s="338">
        <f t="shared" si="119"/>
        <v>0</v>
      </c>
      <c r="Q185" s="338">
        <f t="shared" si="120"/>
        <v>0</v>
      </c>
      <c r="R185" s="337">
        <f t="shared" si="117"/>
        <v>0</v>
      </c>
      <c r="S185" s="410">
        <f t="shared" si="118"/>
        <v>0</v>
      </c>
      <c r="T185" s="339"/>
    </row>
    <row r="186" spans="1:20" s="327" customFormat="1" ht="45" hidden="1" customHeight="1" thickBot="1">
      <c r="A186" s="334"/>
      <c r="B186" s="346"/>
      <c r="C186" s="340">
        <v>1</v>
      </c>
      <c r="D186" s="337"/>
      <c r="E186" s="337">
        <f t="shared" si="102"/>
        <v>0</v>
      </c>
      <c r="F186" s="337">
        <f t="shared" si="95"/>
        <v>1.7</v>
      </c>
      <c r="G186" s="337">
        <f t="shared" si="96"/>
        <v>1.8</v>
      </c>
      <c r="H186" s="337">
        <f t="shared" si="90"/>
        <v>0</v>
      </c>
      <c r="I186" s="337">
        <f t="shared" si="97"/>
        <v>0</v>
      </c>
      <c r="J186" s="338">
        <f t="shared" si="98"/>
        <v>0</v>
      </c>
      <c r="K186" s="337">
        <f t="shared" si="91"/>
        <v>0</v>
      </c>
      <c r="L186" s="337">
        <f t="shared" si="99"/>
        <v>0</v>
      </c>
      <c r="M186" s="337">
        <f t="shared" si="92"/>
        <v>0</v>
      </c>
      <c r="N186" s="337">
        <f t="shared" si="100"/>
        <v>0</v>
      </c>
      <c r="O186" s="337">
        <f t="shared" si="101"/>
        <v>0</v>
      </c>
      <c r="P186" s="338">
        <f t="shared" si="119"/>
        <v>0</v>
      </c>
      <c r="Q186" s="338">
        <f t="shared" si="120"/>
        <v>0</v>
      </c>
      <c r="R186" s="337">
        <f t="shared" si="93"/>
        <v>0</v>
      </c>
      <c r="S186" s="410">
        <f t="shared" si="94"/>
        <v>0</v>
      </c>
      <c r="T186" s="339"/>
    </row>
    <row r="187" spans="1:20" s="327" customFormat="1" ht="45" hidden="1" customHeight="1" thickBot="1">
      <c r="A187" s="334"/>
      <c r="B187" s="346"/>
      <c r="C187" s="340">
        <v>1</v>
      </c>
      <c r="D187" s="337"/>
      <c r="E187" s="337">
        <f t="shared" si="102"/>
        <v>0</v>
      </c>
      <c r="F187" s="337">
        <f t="shared" si="95"/>
        <v>1.7</v>
      </c>
      <c r="G187" s="337">
        <f t="shared" si="96"/>
        <v>1.8</v>
      </c>
      <c r="H187" s="337">
        <f t="shared" si="90"/>
        <v>0</v>
      </c>
      <c r="I187" s="337">
        <f t="shared" si="97"/>
        <v>0</v>
      </c>
      <c r="J187" s="338">
        <f t="shared" si="98"/>
        <v>0</v>
      </c>
      <c r="K187" s="337">
        <f t="shared" si="91"/>
        <v>0</v>
      </c>
      <c r="L187" s="337">
        <f t="shared" si="99"/>
        <v>0</v>
      </c>
      <c r="M187" s="337">
        <f t="shared" si="92"/>
        <v>0</v>
      </c>
      <c r="N187" s="337">
        <f t="shared" si="100"/>
        <v>0</v>
      </c>
      <c r="O187" s="337">
        <f t="shared" si="101"/>
        <v>0</v>
      </c>
      <c r="P187" s="338">
        <f t="shared" si="119"/>
        <v>0</v>
      </c>
      <c r="Q187" s="338">
        <f t="shared" si="120"/>
        <v>0</v>
      </c>
      <c r="R187" s="337">
        <f t="shared" si="93"/>
        <v>0</v>
      </c>
      <c r="S187" s="410">
        <f t="shared" si="94"/>
        <v>0</v>
      </c>
      <c r="T187" s="339"/>
    </row>
    <row r="188" spans="1:20" s="327" customFormat="1" ht="45" customHeight="1" thickBot="1">
      <c r="A188" s="1625" t="s">
        <v>21</v>
      </c>
      <c r="B188" s="1626"/>
      <c r="C188" s="341"/>
      <c r="D188" s="341"/>
      <c r="E188" s="341">
        <f>SUM(E153:E187)</f>
        <v>420</v>
      </c>
      <c r="F188" s="341"/>
      <c r="G188" s="341"/>
      <c r="H188" s="341">
        <f>SUM(H153:H187)</f>
        <v>1677.9</v>
      </c>
      <c r="I188" s="341">
        <f t="shared" ref="I188:S188" si="121">SUM(I153:I187)</f>
        <v>329.7</v>
      </c>
      <c r="J188" s="341">
        <f t="shared" si="121"/>
        <v>6346.73</v>
      </c>
      <c r="K188" s="341">
        <f t="shared" si="121"/>
        <v>714</v>
      </c>
      <c r="L188" s="341">
        <f t="shared" si="121"/>
        <v>714</v>
      </c>
      <c r="M188" s="341">
        <f t="shared" si="121"/>
        <v>329.7</v>
      </c>
      <c r="N188" s="341">
        <f t="shared" si="121"/>
        <v>943.74</v>
      </c>
      <c r="O188" s="341">
        <f t="shared" si="121"/>
        <v>404.46</v>
      </c>
      <c r="P188" s="341">
        <f t="shared" si="121"/>
        <v>36805.86</v>
      </c>
      <c r="Q188" s="341">
        <f t="shared" si="121"/>
        <v>8956.09</v>
      </c>
      <c r="R188" s="341">
        <f t="shared" si="121"/>
        <v>2394</v>
      </c>
      <c r="S188" s="341">
        <f t="shared" si="121"/>
        <v>420</v>
      </c>
      <c r="T188" s="342"/>
    </row>
    <row r="189" spans="1:20" s="327" customFormat="1" ht="45" customHeight="1">
      <c r="A189" s="413"/>
      <c r="C189" s="345"/>
      <c r="D189" s="345"/>
      <c r="E189" s="345"/>
      <c r="F189" s="345"/>
      <c r="G189" s="345"/>
      <c r="S189" s="412"/>
    </row>
    <row r="190" spans="1:20" s="327" customFormat="1" ht="45" hidden="1" customHeight="1">
      <c r="A190" s="1627" t="s">
        <v>406</v>
      </c>
      <c r="B190" s="1628"/>
      <c r="C190" s="1628"/>
      <c r="D190" s="1628"/>
      <c r="E190" s="1628"/>
      <c r="F190" s="1628"/>
      <c r="G190" s="1628"/>
      <c r="H190" s="1628"/>
      <c r="I190" s="1628"/>
      <c r="J190" s="1628"/>
      <c r="K190" s="1628"/>
      <c r="L190" s="1628"/>
      <c r="M190" s="1628"/>
      <c r="N190" s="1628"/>
      <c r="O190" s="1628"/>
      <c r="P190" s="1628"/>
      <c r="Q190" s="1628"/>
      <c r="R190" s="1628"/>
      <c r="S190" s="1629"/>
      <c r="T190" s="326"/>
    </row>
    <row r="191" spans="1:20" s="327" customFormat="1" ht="45" hidden="1" customHeight="1">
      <c r="A191" s="1630" t="s">
        <v>6</v>
      </c>
      <c r="B191" s="1633" t="s">
        <v>311</v>
      </c>
      <c r="C191" s="1636" t="s">
        <v>461</v>
      </c>
      <c r="D191" s="1636"/>
      <c r="E191" s="1636"/>
      <c r="F191" s="1645" t="s">
        <v>446</v>
      </c>
      <c r="G191" s="1645"/>
      <c r="H191" s="1645"/>
      <c r="I191" s="1645" t="s">
        <v>447</v>
      </c>
      <c r="J191" s="1643" t="s">
        <v>450</v>
      </c>
      <c r="K191" s="1645" t="s">
        <v>303</v>
      </c>
      <c r="L191" s="1645" t="s">
        <v>305</v>
      </c>
      <c r="M191" s="1647" t="s">
        <v>304</v>
      </c>
      <c r="N191" s="1638" t="s">
        <v>448</v>
      </c>
      <c r="O191" s="1638" t="s">
        <v>497</v>
      </c>
      <c r="P191" s="1643" t="s">
        <v>943</v>
      </c>
      <c r="Q191" s="1643" t="s">
        <v>944</v>
      </c>
      <c r="R191" s="1638" t="s">
        <v>449</v>
      </c>
      <c r="S191" s="1641" t="s">
        <v>306</v>
      </c>
      <c r="T191" s="326"/>
    </row>
    <row r="192" spans="1:20" s="327" customFormat="1" ht="45" hidden="1" customHeight="1">
      <c r="A192" s="1631"/>
      <c r="B192" s="1634"/>
      <c r="C192" s="1637"/>
      <c r="D192" s="1637"/>
      <c r="E192" s="1637"/>
      <c r="F192" s="1646"/>
      <c r="G192" s="1646"/>
      <c r="H192" s="1646"/>
      <c r="I192" s="1646"/>
      <c r="J192" s="1644"/>
      <c r="K192" s="1646"/>
      <c r="L192" s="1646"/>
      <c r="M192" s="1648"/>
      <c r="N192" s="1640"/>
      <c r="O192" s="1640"/>
      <c r="P192" s="1644"/>
      <c r="Q192" s="1644"/>
      <c r="R192" s="1639"/>
      <c r="S192" s="1642"/>
      <c r="T192" s="326"/>
    </row>
    <row r="193" spans="1:20" s="327" customFormat="1" ht="45" hidden="1" customHeight="1">
      <c r="A193" s="1631"/>
      <c r="B193" s="1634"/>
      <c r="C193" s="328" t="s">
        <v>146</v>
      </c>
      <c r="D193" s="329" t="s">
        <v>316</v>
      </c>
      <c r="E193" s="328" t="s">
        <v>302</v>
      </c>
      <c r="F193" s="328" t="s">
        <v>296</v>
      </c>
      <c r="G193" s="328" t="s">
        <v>301</v>
      </c>
      <c r="H193" s="328" t="s">
        <v>21</v>
      </c>
      <c r="I193" s="1646"/>
      <c r="J193" s="1644"/>
      <c r="K193" s="1646"/>
      <c r="L193" s="1646"/>
      <c r="M193" s="1649"/>
      <c r="N193" s="328" t="s">
        <v>21</v>
      </c>
      <c r="O193" s="328" t="s">
        <v>21</v>
      </c>
      <c r="P193" s="1644"/>
      <c r="Q193" s="1644"/>
      <c r="R193" s="1640"/>
      <c r="S193" s="1642"/>
      <c r="T193" s="326"/>
    </row>
    <row r="194" spans="1:20" s="327" customFormat="1" ht="62.1" hidden="1" customHeight="1">
      <c r="A194" s="1631"/>
      <c r="B194" s="1634"/>
      <c r="C194" s="487"/>
      <c r="D194" s="487"/>
      <c r="E194" s="487" t="s">
        <v>49</v>
      </c>
      <c r="F194" s="487" t="s">
        <v>52</v>
      </c>
      <c r="G194" s="487" t="s">
        <v>14</v>
      </c>
      <c r="H194" s="487" t="s">
        <v>621</v>
      </c>
      <c r="I194" s="487" t="s">
        <v>626</v>
      </c>
      <c r="J194" s="486" t="s">
        <v>942</v>
      </c>
      <c r="K194" s="487" t="s">
        <v>623</v>
      </c>
      <c r="L194" s="487" t="s">
        <v>624</v>
      </c>
      <c r="M194" s="487" t="s">
        <v>625</v>
      </c>
      <c r="N194" s="487" t="s">
        <v>627</v>
      </c>
      <c r="O194" s="487" t="s">
        <v>628</v>
      </c>
      <c r="P194" s="486" t="s">
        <v>942</v>
      </c>
      <c r="Q194" s="486" t="s">
        <v>942</v>
      </c>
      <c r="R194" s="487" t="s">
        <v>629</v>
      </c>
      <c r="S194" s="485" t="s">
        <v>630</v>
      </c>
      <c r="T194" s="326"/>
    </row>
    <row r="195" spans="1:20" s="327" customFormat="1" ht="62.1" hidden="1" customHeight="1">
      <c r="A195" s="1632"/>
      <c r="B195" s="1635"/>
      <c r="C195" s="330" t="s">
        <v>300</v>
      </c>
      <c r="D195" s="330" t="s">
        <v>297</v>
      </c>
      <c r="E195" s="330" t="s">
        <v>297</v>
      </c>
      <c r="F195" s="330" t="s">
        <v>478</v>
      </c>
      <c r="G195" s="332" t="s">
        <v>631</v>
      </c>
      <c r="H195" s="330"/>
      <c r="I195" s="330"/>
      <c r="J195" s="331">
        <v>10</v>
      </c>
      <c r="K195" s="330"/>
      <c r="L195" s="330"/>
      <c r="M195" s="330"/>
      <c r="N195" s="330"/>
      <c r="O195" s="332"/>
      <c r="P195" s="332">
        <v>30</v>
      </c>
      <c r="Q195" s="332">
        <v>7.4</v>
      </c>
      <c r="R195" s="332" t="s">
        <v>495</v>
      </c>
      <c r="S195" s="409"/>
      <c r="T195" s="333"/>
    </row>
    <row r="196" spans="1:20" s="327" customFormat="1" ht="45" hidden="1" customHeight="1">
      <c r="A196" s="334">
        <f t="shared" ref="A196:A222" si="122">A20</f>
        <v>1</v>
      </c>
      <c r="B196" s="346" t="str">
        <f t="shared" ref="B196:B222" si="123">B20</f>
        <v>R. DA PUPUNHEIRA</v>
      </c>
      <c r="C196" s="336">
        <v>1</v>
      </c>
      <c r="D196" s="336"/>
      <c r="E196" s="336">
        <f>C196*D196</f>
        <v>0</v>
      </c>
      <c r="F196" s="337">
        <f>1.44+0.5</f>
        <v>1.94</v>
      </c>
      <c r="G196" s="337">
        <f>((1.44+0.6)+((1.44+0.6)+(E196*0.5%)))/2</f>
        <v>2.04</v>
      </c>
      <c r="H196" s="337">
        <f t="shared" ref="H196:H228" si="124">E196*F196*G196</f>
        <v>0</v>
      </c>
      <c r="I196" s="337">
        <f>M196</f>
        <v>0</v>
      </c>
      <c r="J196" s="338">
        <f>I196*1.25*$J$19</f>
        <v>0</v>
      </c>
      <c r="K196" s="337">
        <f t="shared" ref="K196:K228" si="125">E196*F196</f>
        <v>0</v>
      </c>
      <c r="L196" s="337">
        <f>K196</f>
        <v>0</v>
      </c>
      <c r="M196" s="337">
        <f t="shared" ref="M196:M228" si="126">(3.14*0.6^2)*E196</f>
        <v>0</v>
      </c>
      <c r="N196" s="337">
        <f>(H196-M196)*70%</f>
        <v>0</v>
      </c>
      <c r="O196" s="337">
        <f>(H196-M196)*30%</f>
        <v>0</v>
      </c>
      <c r="P196" s="337"/>
      <c r="Q196" s="337"/>
      <c r="R196" s="337">
        <f t="shared" ref="R196:R228" si="127">IF(G196&gt;1.5,D196*G196*2,)</f>
        <v>0</v>
      </c>
      <c r="S196" s="410">
        <f t="shared" ref="S196:S228" si="128">E196</f>
        <v>0</v>
      </c>
      <c r="T196" s="339"/>
    </row>
    <row r="197" spans="1:20" s="327" customFormat="1" ht="45" hidden="1" customHeight="1">
      <c r="A197" s="334">
        <f t="shared" si="122"/>
        <v>2</v>
      </c>
      <c r="B197" s="346" t="str">
        <f t="shared" si="123"/>
        <v>R. TANGERINA</v>
      </c>
      <c r="C197" s="340">
        <v>1</v>
      </c>
      <c r="D197" s="337"/>
      <c r="E197" s="337">
        <f>C197*D197</f>
        <v>0</v>
      </c>
      <c r="F197" s="337">
        <f t="shared" ref="F197:F228" si="129">1.44+0.5</f>
        <v>1.94</v>
      </c>
      <c r="G197" s="337">
        <f t="shared" ref="G197:G228" si="130">((1.44+0.6)+((1.44+0.6)+(E197*0.5%)))/2</f>
        <v>2.04</v>
      </c>
      <c r="H197" s="337">
        <f t="shared" si="124"/>
        <v>0</v>
      </c>
      <c r="I197" s="337">
        <f t="shared" ref="I197:I228" si="131">M197</f>
        <v>0</v>
      </c>
      <c r="J197" s="338">
        <f t="shared" ref="J197:J228" si="132">I197*1.25*$J$19</f>
        <v>0</v>
      </c>
      <c r="K197" s="337">
        <f t="shared" si="125"/>
        <v>0</v>
      </c>
      <c r="L197" s="337">
        <f t="shared" ref="L197:L228" si="133">K197</f>
        <v>0</v>
      </c>
      <c r="M197" s="337">
        <f t="shared" si="126"/>
        <v>0</v>
      </c>
      <c r="N197" s="337">
        <f t="shared" ref="N197:N228" si="134">(H197-M197)*70%</f>
        <v>0</v>
      </c>
      <c r="O197" s="337">
        <f t="shared" ref="O197:O228" si="135">(H197-M197)*30%</f>
        <v>0</v>
      </c>
      <c r="P197" s="338">
        <f>N197*1.3*$P$19</f>
        <v>0</v>
      </c>
      <c r="Q197" s="338">
        <f>N197*1.3*$Q$19</f>
        <v>0</v>
      </c>
      <c r="R197" s="337">
        <f t="shared" si="127"/>
        <v>0</v>
      </c>
      <c r="S197" s="410">
        <f t="shared" si="128"/>
        <v>0</v>
      </c>
      <c r="T197" s="339"/>
    </row>
    <row r="198" spans="1:20" s="327" customFormat="1" ht="45" hidden="1" customHeight="1">
      <c r="A198" s="334">
        <f t="shared" si="122"/>
        <v>3</v>
      </c>
      <c r="B198" s="346" t="str">
        <f t="shared" si="123"/>
        <v>PASS. LARANJEIRA</v>
      </c>
      <c r="C198" s="340">
        <v>1</v>
      </c>
      <c r="D198" s="337"/>
      <c r="E198" s="337">
        <f t="shared" ref="E198:E228" si="136">C198*D198</f>
        <v>0</v>
      </c>
      <c r="F198" s="337">
        <f t="shared" si="129"/>
        <v>1.94</v>
      </c>
      <c r="G198" s="337">
        <f t="shared" si="130"/>
        <v>2.04</v>
      </c>
      <c r="H198" s="337">
        <f t="shared" si="124"/>
        <v>0</v>
      </c>
      <c r="I198" s="337">
        <f t="shared" si="131"/>
        <v>0</v>
      </c>
      <c r="J198" s="338">
        <f t="shared" si="132"/>
        <v>0</v>
      </c>
      <c r="K198" s="337">
        <f t="shared" si="125"/>
        <v>0</v>
      </c>
      <c r="L198" s="337">
        <f t="shared" si="133"/>
        <v>0</v>
      </c>
      <c r="M198" s="337">
        <f t="shared" si="126"/>
        <v>0</v>
      </c>
      <c r="N198" s="337">
        <f t="shared" si="134"/>
        <v>0</v>
      </c>
      <c r="O198" s="337">
        <f t="shared" si="135"/>
        <v>0</v>
      </c>
      <c r="P198" s="337"/>
      <c r="Q198" s="337"/>
      <c r="R198" s="337">
        <f t="shared" si="127"/>
        <v>0</v>
      </c>
      <c r="S198" s="410">
        <f t="shared" si="128"/>
        <v>0</v>
      </c>
      <c r="T198" s="339"/>
    </row>
    <row r="199" spans="1:20" s="327" customFormat="1" ht="45" hidden="1" customHeight="1">
      <c r="A199" s="334">
        <f t="shared" si="122"/>
        <v>4</v>
      </c>
      <c r="B199" s="346" t="str">
        <f t="shared" si="123"/>
        <v xml:space="preserve">TV. FÉ EM DEUS </v>
      </c>
      <c r="C199" s="340">
        <v>1</v>
      </c>
      <c r="D199" s="337"/>
      <c r="E199" s="337">
        <f t="shared" si="136"/>
        <v>0</v>
      </c>
      <c r="F199" s="337">
        <f t="shared" si="129"/>
        <v>1.94</v>
      </c>
      <c r="G199" s="337">
        <f t="shared" si="130"/>
        <v>2.04</v>
      </c>
      <c r="H199" s="337">
        <f t="shared" si="124"/>
        <v>0</v>
      </c>
      <c r="I199" s="337">
        <f t="shared" si="131"/>
        <v>0</v>
      </c>
      <c r="J199" s="338">
        <f t="shared" si="132"/>
        <v>0</v>
      </c>
      <c r="K199" s="337">
        <f t="shared" si="125"/>
        <v>0</v>
      </c>
      <c r="L199" s="337">
        <f t="shared" si="133"/>
        <v>0</v>
      </c>
      <c r="M199" s="337">
        <f t="shared" si="126"/>
        <v>0</v>
      </c>
      <c r="N199" s="337">
        <f t="shared" si="134"/>
        <v>0</v>
      </c>
      <c r="O199" s="337">
        <f t="shared" si="135"/>
        <v>0</v>
      </c>
      <c r="P199" s="337"/>
      <c r="Q199" s="337"/>
      <c r="R199" s="337">
        <f t="shared" si="127"/>
        <v>0</v>
      </c>
      <c r="S199" s="410">
        <f t="shared" si="128"/>
        <v>0</v>
      </c>
      <c r="T199" s="339"/>
    </row>
    <row r="200" spans="1:20" s="327" customFormat="1" ht="45" hidden="1" customHeight="1">
      <c r="A200" s="334">
        <f t="shared" si="122"/>
        <v>5</v>
      </c>
      <c r="B200" s="346" t="str">
        <f t="shared" si="123"/>
        <v>RUA PAULO ASSUNÇÃO</v>
      </c>
      <c r="C200" s="340">
        <v>1</v>
      </c>
      <c r="D200" s="337"/>
      <c r="E200" s="337">
        <f t="shared" si="136"/>
        <v>0</v>
      </c>
      <c r="F200" s="337">
        <f t="shared" si="129"/>
        <v>1.94</v>
      </c>
      <c r="G200" s="337">
        <f t="shared" si="130"/>
        <v>2.04</v>
      </c>
      <c r="H200" s="337">
        <f t="shared" si="124"/>
        <v>0</v>
      </c>
      <c r="I200" s="337">
        <f t="shared" si="131"/>
        <v>0</v>
      </c>
      <c r="J200" s="338">
        <f t="shared" si="132"/>
        <v>0</v>
      </c>
      <c r="K200" s="337">
        <f t="shared" si="125"/>
        <v>0</v>
      </c>
      <c r="L200" s="337">
        <f t="shared" si="133"/>
        <v>0</v>
      </c>
      <c r="M200" s="337">
        <f t="shared" si="126"/>
        <v>0</v>
      </c>
      <c r="N200" s="337">
        <f t="shared" si="134"/>
        <v>0</v>
      </c>
      <c r="O200" s="337">
        <f t="shared" si="135"/>
        <v>0</v>
      </c>
      <c r="P200" s="337"/>
      <c r="Q200" s="337"/>
      <c r="R200" s="337">
        <f t="shared" si="127"/>
        <v>0</v>
      </c>
      <c r="S200" s="410">
        <f t="shared" si="128"/>
        <v>0</v>
      </c>
      <c r="T200" s="339"/>
    </row>
    <row r="201" spans="1:20" s="327" customFormat="1" ht="45" hidden="1" customHeight="1">
      <c r="A201" s="334">
        <f t="shared" si="122"/>
        <v>6</v>
      </c>
      <c r="B201" s="346" t="str">
        <f t="shared" si="123"/>
        <v>PASS PAULO ASSUNÇÃO</v>
      </c>
      <c r="C201" s="340">
        <v>1</v>
      </c>
      <c r="D201" s="337"/>
      <c r="E201" s="337">
        <f t="shared" si="136"/>
        <v>0</v>
      </c>
      <c r="F201" s="337">
        <f t="shared" si="129"/>
        <v>1.94</v>
      </c>
      <c r="G201" s="337">
        <f t="shared" si="130"/>
        <v>2.04</v>
      </c>
      <c r="H201" s="337">
        <f t="shared" si="124"/>
        <v>0</v>
      </c>
      <c r="I201" s="337">
        <f t="shared" si="131"/>
        <v>0</v>
      </c>
      <c r="J201" s="338">
        <f t="shared" si="132"/>
        <v>0</v>
      </c>
      <c r="K201" s="337">
        <f t="shared" si="125"/>
        <v>0</v>
      </c>
      <c r="L201" s="337">
        <f t="shared" si="133"/>
        <v>0</v>
      </c>
      <c r="M201" s="337">
        <f t="shared" si="126"/>
        <v>0</v>
      </c>
      <c r="N201" s="337">
        <f t="shared" si="134"/>
        <v>0</v>
      </c>
      <c r="O201" s="337">
        <f t="shared" si="135"/>
        <v>0</v>
      </c>
      <c r="P201" s="337"/>
      <c r="Q201" s="337"/>
      <c r="R201" s="337">
        <f t="shared" si="127"/>
        <v>0</v>
      </c>
      <c r="S201" s="410">
        <f t="shared" si="128"/>
        <v>0</v>
      </c>
      <c r="T201" s="339"/>
    </row>
    <row r="202" spans="1:20" s="327" customFormat="1" ht="45" hidden="1" customHeight="1">
      <c r="A202" s="334">
        <f t="shared" si="122"/>
        <v>7</v>
      </c>
      <c r="B202" s="346" t="str">
        <f t="shared" si="123"/>
        <v>RUA DO PISCINÃO</v>
      </c>
      <c r="C202" s="340">
        <v>1</v>
      </c>
      <c r="D202" s="337"/>
      <c r="E202" s="337">
        <f t="shared" si="136"/>
        <v>0</v>
      </c>
      <c r="F202" s="337">
        <f t="shared" si="129"/>
        <v>1.94</v>
      </c>
      <c r="G202" s="337">
        <f t="shared" si="130"/>
        <v>2.04</v>
      </c>
      <c r="H202" s="337">
        <f t="shared" si="124"/>
        <v>0</v>
      </c>
      <c r="I202" s="337">
        <f t="shared" si="131"/>
        <v>0</v>
      </c>
      <c r="J202" s="338">
        <f t="shared" si="132"/>
        <v>0</v>
      </c>
      <c r="K202" s="337">
        <f t="shared" si="125"/>
        <v>0</v>
      </c>
      <c r="L202" s="337">
        <f t="shared" si="133"/>
        <v>0</v>
      </c>
      <c r="M202" s="337">
        <f t="shared" si="126"/>
        <v>0</v>
      </c>
      <c r="N202" s="337">
        <f t="shared" si="134"/>
        <v>0</v>
      </c>
      <c r="O202" s="337">
        <f t="shared" si="135"/>
        <v>0</v>
      </c>
      <c r="P202" s="337"/>
      <c r="Q202" s="337"/>
      <c r="R202" s="337">
        <f t="shared" si="127"/>
        <v>0</v>
      </c>
      <c r="S202" s="410">
        <f t="shared" si="128"/>
        <v>0</v>
      </c>
      <c r="T202" s="339"/>
    </row>
    <row r="203" spans="1:20" s="327" customFormat="1" ht="45" hidden="1" customHeight="1">
      <c r="A203" s="334">
        <f t="shared" si="122"/>
        <v>8</v>
      </c>
      <c r="B203" s="346" t="str">
        <f t="shared" si="123"/>
        <v>TV DEUS PROVERÁ</v>
      </c>
      <c r="C203" s="340">
        <v>1</v>
      </c>
      <c r="D203" s="337"/>
      <c r="E203" s="337">
        <f t="shared" si="136"/>
        <v>0</v>
      </c>
      <c r="F203" s="337">
        <f t="shared" si="129"/>
        <v>1.94</v>
      </c>
      <c r="G203" s="337">
        <f t="shared" si="130"/>
        <v>2.04</v>
      </c>
      <c r="H203" s="337">
        <f t="shared" si="124"/>
        <v>0</v>
      </c>
      <c r="I203" s="337">
        <f t="shared" si="131"/>
        <v>0</v>
      </c>
      <c r="J203" s="338">
        <f t="shared" si="132"/>
        <v>0</v>
      </c>
      <c r="K203" s="337">
        <f t="shared" si="125"/>
        <v>0</v>
      </c>
      <c r="L203" s="337">
        <f t="shared" si="133"/>
        <v>0</v>
      </c>
      <c r="M203" s="337">
        <f t="shared" si="126"/>
        <v>0</v>
      </c>
      <c r="N203" s="337">
        <f t="shared" si="134"/>
        <v>0</v>
      </c>
      <c r="O203" s="337">
        <f t="shared" si="135"/>
        <v>0</v>
      </c>
      <c r="P203" s="337"/>
      <c r="Q203" s="337"/>
      <c r="R203" s="337">
        <f t="shared" si="127"/>
        <v>0</v>
      </c>
      <c r="S203" s="410">
        <f t="shared" si="128"/>
        <v>0</v>
      </c>
      <c r="T203" s="339"/>
    </row>
    <row r="204" spans="1:20" s="327" customFormat="1" ht="45" hidden="1" customHeight="1">
      <c r="A204" s="334">
        <f t="shared" si="122"/>
        <v>9</v>
      </c>
      <c r="B204" s="346" t="str">
        <f t="shared" si="123"/>
        <v>RUA A</v>
      </c>
      <c r="C204" s="340">
        <v>1</v>
      </c>
      <c r="D204" s="337"/>
      <c r="E204" s="337">
        <f t="shared" si="136"/>
        <v>0</v>
      </c>
      <c r="F204" s="337">
        <f t="shared" si="129"/>
        <v>1.94</v>
      </c>
      <c r="G204" s="337">
        <f t="shared" si="130"/>
        <v>2.04</v>
      </c>
      <c r="H204" s="337">
        <f t="shared" si="124"/>
        <v>0</v>
      </c>
      <c r="I204" s="337">
        <f t="shared" si="131"/>
        <v>0</v>
      </c>
      <c r="J204" s="338">
        <f t="shared" si="132"/>
        <v>0</v>
      </c>
      <c r="K204" s="337">
        <f t="shared" si="125"/>
        <v>0</v>
      </c>
      <c r="L204" s="337">
        <f t="shared" si="133"/>
        <v>0</v>
      </c>
      <c r="M204" s="337">
        <f t="shared" si="126"/>
        <v>0</v>
      </c>
      <c r="N204" s="337">
        <f t="shared" si="134"/>
        <v>0</v>
      </c>
      <c r="O204" s="337">
        <f t="shared" si="135"/>
        <v>0</v>
      </c>
      <c r="P204" s="337"/>
      <c r="Q204" s="337"/>
      <c r="R204" s="337">
        <f t="shared" si="127"/>
        <v>0</v>
      </c>
      <c r="S204" s="410">
        <f t="shared" si="128"/>
        <v>0</v>
      </c>
      <c r="T204" s="339"/>
    </row>
    <row r="205" spans="1:20" s="327" customFormat="1" ht="45" hidden="1" customHeight="1">
      <c r="A205" s="334">
        <f t="shared" si="122"/>
        <v>10</v>
      </c>
      <c r="B205" s="346" t="str">
        <f t="shared" si="123"/>
        <v>RUA B</v>
      </c>
      <c r="C205" s="340">
        <v>1</v>
      </c>
      <c r="D205" s="337"/>
      <c r="E205" s="337">
        <f t="shared" si="136"/>
        <v>0</v>
      </c>
      <c r="F205" s="337">
        <f t="shared" si="129"/>
        <v>1.94</v>
      </c>
      <c r="G205" s="337">
        <f t="shared" si="130"/>
        <v>2.04</v>
      </c>
      <c r="H205" s="337">
        <f t="shared" si="124"/>
        <v>0</v>
      </c>
      <c r="I205" s="337">
        <f t="shared" si="131"/>
        <v>0</v>
      </c>
      <c r="J205" s="338">
        <f t="shared" si="132"/>
        <v>0</v>
      </c>
      <c r="K205" s="337">
        <f t="shared" si="125"/>
        <v>0</v>
      </c>
      <c r="L205" s="337">
        <f t="shared" si="133"/>
        <v>0</v>
      </c>
      <c r="M205" s="337">
        <f t="shared" si="126"/>
        <v>0</v>
      </c>
      <c r="N205" s="337">
        <f t="shared" si="134"/>
        <v>0</v>
      </c>
      <c r="O205" s="337">
        <f t="shared" si="135"/>
        <v>0</v>
      </c>
      <c r="P205" s="337"/>
      <c r="Q205" s="337"/>
      <c r="R205" s="337">
        <f t="shared" si="127"/>
        <v>0</v>
      </c>
      <c r="S205" s="410">
        <f t="shared" si="128"/>
        <v>0</v>
      </c>
      <c r="T205" s="339"/>
    </row>
    <row r="206" spans="1:20" s="327" customFormat="1" ht="45" hidden="1" customHeight="1">
      <c r="A206" s="334">
        <f t="shared" si="122"/>
        <v>14</v>
      </c>
      <c r="B206" s="346" t="str">
        <f t="shared" si="123"/>
        <v>RUA DAS ORQUIDEAS</v>
      </c>
      <c r="C206" s="340">
        <v>1</v>
      </c>
      <c r="D206" s="337"/>
      <c r="E206" s="337">
        <f t="shared" si="136"/>
        <v>0</v>
      </c>
      <c r="F206" s="337">
        <f t="shared" si="129"/>
        <v>1.94</v>
      </c>
      <c r="G206" s="337">
        <f t="shared" si="130"/>
        <v>2.04</v>
      </c>
      <c r="H206" s="337">
        <f t="shared" si="124"/>
        <v>0</v>
      </c>
      <c r="I206" s="337">
        <f t="shared" si="131"/>
        <v>0</v>
      </c>
      <c r="J206" s="338">
        <f t="shared" si="132"/>
        <v>0</v>
      </c>
      <c r="K206" s="337">
        <f t="shared" si="125"/>
        <v>0</v>
      </c>
      <c r="L206" s="337">
        <f t="shared" si="133"/>
        <v>0</v>
      </c>
      <c r="M206" s="337">
        <f t="shared" si="126"/>
        <v>0</v>
      </c>
      <c r="N206" s="337">
        <f t="shared" si="134"/>
        <v>0</v>
      </c>
      <c r="O206" s="337">
        <f t="shared" si="135"/>
        <v>0</v>
      </c>
      <c r="P206" s="337"/>
      <c r="Q206" s="337"/>
      <c r="R206" s="337">
        <f t="shared" si="127"/>
        <v>0</v>
      </c>
      <c r="S206" s="410">
        <f t="shared" si="128"/>
        <v>0</v>
      </c>
      <c r="T206" s="339"/>
    </row>
    <row r="207" spans="1:20" s="327" customFormat="1" ht="45" hidden="1" customHeight="1">
      <c r="A207" s="334">
        <f t="shared" si="122"/>
        <v>15</v>
      </c>
      <c r="B207" s="346" t="str">
        <f t="shared" si="123"/>
        <v>RUA HUM</v>
      </c>
      <c r="C207" s="340">
        <v>1</v>
      </c>
      <c r="D207" s="337"/>
      <c r="E207" s="337">
        <f t="shared" si="136"/>
        <v>0</v>
      </c>
      <c r="F207" s="337">
        <f t="shared" si="129"/>
        <v>1.94</v>
      </c>
      <c r="G207" s="337">
        <f t="shared" si="130"/>
        <v>2.04</v>
      </c>
      <c r="H207" s="337">
        <f t="shared" si="124"/>
        <v>0</v>
      </c>
      <c r="I207" s="337">
        <f t="shared" si="131"/>
        <v>0</v>
      </c>
      <c r="J207" s="338">
        <f t="shared" si="132"/>
        <v>0</v>
      </c>
      <c r="K207" s="337">
        <f t="shared" si="125"/>
        <v>0</v>
      </c>
      <c r="L207" s="337">
        <f t="shared" si="133"/>
        <v>0</v>
      </c>
      <c r="M207" s="337">
        <f t="shared" si="126"/>
        <v>0</v>
      </c>
      <c r="N207" s="337">
        <f t="shared" si="134"/>
        <v>0</v>
      </c>
      <c r="O207" s="337">
        <f t="shared" si="135"/>
        <v>0</v>
      </c>
      <c r="P207" s="337"/>
      <c r="Q207" s="337"/>
      <c r="R207" s="337">
        <f t="shared" si="127"/>
        <v>0</v>
      </c>
      <c r="S207" s="410">
        <f t="shared" si="128"/>
        <v>0</v>
      </c>
      <c r="T207" s="339"/>
    </row>
    <row r="208" spans="1:20" s="327" customFormat="1" ht="45" hidden="1" customHeight="1">
      <c r="A208" s="334">
        <f t="shared" si="122"/>
        <v>16</v>
      </c>
      <c r="B208" s="346" t="str">
        <f t="shared" si="123"/>
        <v>RUA DOIS</v>
      </c>
      <c r="C208" s="340">
        <v>1</v>
      </c>
      <c r="D208" s="337"/>
      <c r="E208" s="337">
        <f t="shared" si="136"/>
        <v>0</v>
      </c>
      <c r="F208" s="337">
        <f t="shared" si="129"/>
        <v>1.94</v>
      </c>
      <c r="G208" s="337">
        <f t="shared" si="130"/>
        <v>2.04</v>
      </c>
      <c r="H208" s="337">
        <f t="shared" si="124"/>
        <v>0</v>
      </c>
      <c r="I208" s="337">
        <f t="shared" si="131"/>
        <v>0</v>
      </c>
      <c r="J208" s="338">
        <f t="shared" si="132"/>
        <v>0</v>
      </c>
      <c r="K208" s="337">
        <f t="shared" si="125"/>
        <v>0</v>
      </c>
      <c r="L208" s="337">
        <f t="shared" si="133"/>
        <v>0</v>
      </c>
      <c r="M208" s="337">
        <f t="shared" si="126"/>
        <v>0</v>
      </c>
      <c r="N208" s="337">
        <f t="shared" si="134"/>
        <v>0</v>
      </c>
      <c r="O208" s="337">
        <f t="shared" si="135"/>
        <v>0</v>
      </c>
      <c r="P208" s="337"/>
      <c r="Q208" s="337"/>
      <c r="R208" s="337">
        <f t="shared" si="127"/>
        <v>0</v>
      </c>
      <c r="S208" s="410">
        <f t="shared" si="128"/>
        <v>0</v>
      </c>
      <c r="T208" s="339"/>
    </row>
    <row r="209" spans="1:20" s="327" customFormat="1" ht="45" hidden="1" customHeight="1">
      <c r="A209" s="334">
        <f t="shared" si="122"/>
        <v>17</v>
      </c>
      <c r="B209" s="346" t="str">
        <f t="shared" si="123"/>
        <v>RUA TRÊS</v>
      </c>
      <c r="C209" s="340">
        <v>1</v>
      </c>
      <c r="D209" s="337"/>
      <c r="E209" s="337">
        <f t="shared" si="136"/>
        <v>0</v>
      </c>
      <c r="F209" s="337">
        <f t="shared" si="129"/>
        <v>1.94</v>
      </c>
      <c r="G209" s="337">
        <f t="shared" si="130"/>
        <v>2.04</v>
      </c>
      <c r="H209" s="337">
        <f t="shared" si="124"/>
        <v>0</v>
      </c>
      <c r="I209" s="337">
        <f t="shared" si="131"/>
        <v>0</v>
      </c>
      <c r="J209" s="338">
        <f t="shared" si="132"/>
        <v>0</v>
      </c>
      <c r="K209" s="337">
        <f t="shared" si="125"/>
        <v>0</v>
      </c>
      <c r="L209" s="337">
        <f t="shared" si="133"/>
        <v>0</v>
      </c>
      <c r="M209" s="337">
        <f t="shared" si="126"/>
        <v>0</v>
      </c>
      <c r="N209" s="337">
        <f t="shared" si="134"/>
        <v>0</v>
      </c>
      <c r="O209" s="337">
        <f t="shared" si="135"/>
        <v>0</v>
      </c>
      <c r="P209" s="337"/>
      <c r="Q209" s="337"/>
      <c r="R209" s="337">
        <f t="shared" si="127"/>
        <v>0</v>
      </c>
      <c r="S209" s="410">
        <f t="shared" si="128"/>
        <v>0</v>
      </c>
      <c r="T209" s="339"/>
    </row>
    <row r="210" spans="1:20" s="327" customFormat="1" ht="45" hidden="1" customHeight="1">
      <c r="A210" s="334">
        <f t="shared" si="122"/>
        <v>18</v>
      </c>
      <c r="B210" s="346" t="str">
        <f t="shared" si="123"/>
        <v>PASS DA LUZ</v>
      </c>
      <c r="C210" s="340">
        <v>1</v>
      </c>
      <c r="D210" s="337"/>
      <c r="E210" s="337">
        <f t="shared" si="136"/>
        <v>0</v>
      </c>
      <c r="F210" s="337">
        <f t="shared" si="129"/>
        <v>1.94</v>
      </c>
      <c r="G210" s="337">
        <f t="shared" si="130"/>
        <v>2.04</v>
      </c>
      <c r="H210" s="337">
        <f t="shared" si="124"/>
        <v>0</v>
      </c>
      <c r="I210" s="337">
        <f t="shared" si="131"/>
        <v>0</v>
      </c>
      <c r="J210" s="338">
        <f t="shared" si="132"/>
        <v>0</v>
      </c>
      <c r="K210" s="337">
        <f t="shared" si="125"/>
        <v>0</v>
      </c>
      <c r="L210" s="337">
        <f t="shared" si="133"/>
        <v>0</v>
      </c>
      <c r="M210" s="337">
        <f t="shared" si="126"/>
        <v>0</v>
      </c>
      <c r="N210" s="337">
        <f t="shared" si="134"/>
        <v>0</v>
      </c>
      <c r="O210" s="337">
        <f t="shared" si="135"/>
        <v>0</v>
      </c>
      <c r="P210" s="337"/>
      <c r="Q210" s="337"/>
      <c r="R210" s="337">
        <f t="shared" si="127"/>
        <v>0</v>
      </c>
      <c r="S210" s="410">
        <f t="shared" si="128"/>
        <v>0</v>
      </c>
      <c r="T210" s="339"/>
    </row>
    <row r="211" spans="1:20" s="327" customFormat="1" ht="45" hidden="1" customHeight="1">
      <c r="A211" s="334">
        <f t="shared" si="122"/>
        <v>19</v>
      </c>
      <c r="B211" s="346" t="str">
        <f t="shared" si="123"/>
        <v>RUA FÉ EM DEUS</v>
      </c>
      <c r="C211" s="340">
        <v>1</v>
      </c>
      <c r="D211" s="337"/>
      <c r="E211" s="337">
        <f t="shared" si="136"/>
        <v>0</v>
      </c>
      <c r="F211" s="337">
        <f t="shared" si="129"/>
        <v>1.94</v>
      </c>
      <c r="G211" s="337">
        <f t="shared" si="130"/>
        <v>2.04</v>
      </c>
      <c r="H211" s="337">
        <f t="shared" si="124"/>
        <v>0</v>
      </c>
      <c r="I211" s="337">
        <f t="shared" si="131"/>
        <v>0</v>
      </c>
      <c r="J211" s="338">
        <f t="shared" si="132"/>
        <v>0</v>
      </c>
      <c r="K211" s="337">
        <f t="shared" si="125"/>
        <v>0</v>
      </c>
      <c r="L211" s="337">
        <f t="shared" si="133"/>
        <v>0</v>
      </c>
      <c r="M211" s="337">
        <f t="shared" si="126"/>
        <v>0</v>
      </c>
      <c r="N211" s="337">
        <f t="shared" si="134"/>
        <v>0</v>
      </c>
      <c r="O211" s="337">
        <f t="shared" si="135"/>
        <v>0</v>
      </c>
      <c r="P211" s="337"/>
      <c r="Q211" s="337"/>
      <c r="R211" s="337">
        <f t="shared" si="127"/>
        <v>0</v>
      </c>
      <c r="S211" s="410">
        <f t="shared" si="128"/>
        <v>0</v>
      </c>
      <c r="T211" s="339"/>
    </row>
    <row r="212" spans="1:20" s="327" customFormat="1" ht="45" hidden="1" customHeight="1">
      <c r="A212" s="334">
        <f t="shared" si="122"/>
        <v>20</v>
      </c>
      <c r="B212" s="346" t="str">
        <f t="shared" si="123"/>
        <v>PASS PRINCIPAL</v>
      </c>
      <c r="C212" s="340">
        <v>1</v>
      </c>
      <c r="D212" s="337"/>
      <c r="E212" s="337">
        <f t="shared" si="136"/>
        <v>0</v>
      </c>
      <c r="F212" s="337">
        <f t="shared" si="129"/>
        <v>1.94</v>
      </c>
      <c r="G212" s="337">
        <f t="shared" si="130"/>
        <v>2.04</v>
      </c>
      <c r="H212" s="337">
        <f t="shared" si="124"/>
        <v>0</v>
      </c>
      <c r="I212" s="337">
        <f t="shared" si="131"/>
        <v>0</v>
      </c>
      <c r="J212" s="338">
        <f t="shared" si="132"/>
        <v>0</v>
      </c>
      <c r="K212" s="337">
        <f t="shared" si="125"/>
        <v>0</v>
      </c>
      <c r="L212" s="337">
        <f t="shared" si="133"/>
        <v>0</v>
      </c>
      <c r="M212" s="337">
        <f t="shared" si="126"/>
        <v>0</v>
      </c>
      <c r="N212" s="337">
        <f t="shared" si="134"/>
        <v>0</v>
      </c>
      <c r="O212" s="337">
        <f t="shared" si="135"/>
        <v>0</v>
      </c>
      <c r="P212" s="337"/>
      <c r="Q212" s="337"/>
      <c r="R212" s="337">
        <f t="shared" si="127"/>
        <v>0</v>
      </c>
      <c r="S212" s="410">
        <f t="shared" si="128"/>
        <v>0</v>
      </c>
      <c r="T212" s="339"/>
    </row>
    <row r="213" spans="1:20" s="327" customFormat="1" ht="45" hidden="1" customHeight="1">
      <c r="A213" s="334">
        <f t="shared" si="122"/>
        <v>21</v>
      </c>
      <c r="B213" s="346" t="str">
        <f t="shared" si="123"/>
        <v>PASSAGEM BACELAR</v>
      </c>
      <c r="C213" s="340">
        <v>1</v>
      </c>
      <c r="D213" s="337"/>
      <c r="E213" s="337">
        <f t="shared" si="136"/>
        <v>0</v>
      </c>
      <c r="F213" s="337">
        <f t="shared" si="129"/>
        <v>1.94</v>
      </c>
      <c r="G213" s="337">
        <f t="shared" si="130"/>
        <v>2.04</v>
      </c>
      <c r="H213" s="337">
        <f t="shared" si="124"/>
        <v>0</v>
      </c>
      <c r="I213" s="337">
        <f t="shared" si="131"/>
        <v>0</v>
      </c>
      <c r="J213" s="338">
        <f t="shared" si="132"/>
        <v>0</v>
      </c>
      <c r="K213" s="337">
        <f t="shared" si="125"/>
        <v>0</v>
      </c>
      <c r="L213" s="337">
        <f t="shared" si="133"/>
        <v>0</v>
      </c>
      <c r="M213" s="337">
        <f t="shared" si="126"/>
        <v>0</v>
      </c>
      <c r="N213" s="337">
        <f t="shared" si="134"/>
        <v>0</v>
      </c>
      <c r="O213" s="337">
        <f t="shared" si="135"/>
        <v>0</v>
      </c>
      <c r="P213" s="337"/>
      <c r="Q213" s="337"/>
      <c r="R213" s="337">
        <f t="shared" si="127"/>
        <v>0</v>
      </c>
      <c r="S213" s="410">
        <f t="shared" si="128"/>
        <v>0</v>
      </c>
      <c r="T213" s="339"/>
    </row>
    <row r="214" spans="1:20" s="327" customFormat="1" ht="45" hidden="1" customHeight="1">
      <c r="A214" s="334">
        <f t="shared" si="122"/>
        <v>22</v>
      </c>
      <c r="B214" s="346" t="str">
        <f t="shared" si="123"/>
        <v>PASS DEUS TEM PODER</v>
      </c>
      <c r="C214" s="340">
        <v>1</v>
      </c>
      <c r="D214" s="337"/>
      <c r="E214" s="337">
        <f t="shared" ref="E214:E226" si="137">C214*D214</f>
        <v>0</v>
      </c>
      <c r="F214" s="337">
        <f t="shared" si="129"/>
        <v>1.94</v>
      </c>
      <c r="G214" s="337">
        <f t="shared" ref="G214:G226" si="138">((1.44+0.6)+((1.44+0.6)+(E214*0.5%)))/2</f>
        <v>2.04</v>
      </c>
      <c r="H214" s="337">
        <f t="shared" ref="H214:H226" si="139">E214*F214*G214</f>
        <v>0</v>
      </c>
      <c r="I214" s="337">
        <f t="shared" ref="I214:I226" si="140">M214</f>
        <v>0</v>
      </c>
      <c r="J214" s="338">
        <f t="shared" ref="J214:J226" si="141">I214*1.25*$J$19</f>
        <v>0</v>
      </c>
      <c r="K214" s="337">
        <f t="shared" ref="K214:K226" si="142">E214*F214</f>
        <v>0</v>
      </c>
      <c r="L214" s="337">
        <f t="shared" ref="L214:L226" si="143">K214</f>
        <v>0</v>
      </c>
      <c r="M214" s="337">
        <f t="shared" ref="M214:M226" si="144">(3.14*0.6^2)*E214</f>
        <v>0</v>
      </c>
      <c r="N214" s="337">
        <f t="shared" ref="N214:N226" si="145">(H214-M214)*70%</f>
        <v>0</v>
      </c>
      <c r="O214" s="337">
        <f t="shared" ref="O214:O226" si="146">(H214-M214)*30%</f>
        <v>0</v>
      </c>
      <c r="P214" s="337"/>
      <c r="Q214" s="337"/>
      <c r="R214" s="337">
        <f t="shared" ref="R214:R226" si="147">IF(G214&gt;1.5,D214*G214*2,)</f>
        <v>0</v>
      </c>
      <c r="S214" s="410">
        <f t="shared" ref="S214:S226" si="148">E214</f>
        <v>0</v>
      </c>
      <c r="T214" s="339"/>
    </row>
    <row r="215" spans="1:20" s="327" customFormat="1" ht="45" hidden="1" customHeight="1">
      <c r="A215" s="334">
        <f t="shared" si="122"/>
        <v>23</v>
      </c>
      <c r="B215" s="346" t="str">
        <f t="shared" si="123"/>
        <v>PASS UNIÃO</v>
      </c>
      <c r="C215" s="340">
        <v>1</v>
      </c>
      <c r="D215" s="337"/>
      <c r="E215" s="337">
        <f t="shared" si="137"/>
        <v>0</v>
      </c>
      <c r="F215" s="337">
        <f t="shared" si="129"/>
        <v>1.94</v>
      </c>
      <c r="G215" s="337">
        <f t="shared" si="138"/>
        <v>2.04</v>
      </c>
      <c r="H215" s="337">
        <f t="shared" si="139"/>
        <v>0</v>
      </c>
      <c r="I215" s="337">
        <f t="shared" si="140"/>
        <v>0</v>
      </c>
      <c r="J215" s="338">
        <f t="shared" si="141"/>
        <v>0</v>
      </c>
      <c r="K215" s="337">
        <f t="shared" si="142"/>
        <v>0</v>
      </c>
      <c r="L215" s="337">
        <f t="shared" si="143"/>
        <v>0</v>
      </c>
      <c r="M215" s="337">
        <f t="shared" si="144"/>
        <v>0</v>
      </c>
      <c r="N215" s="337">
        <f t="shared" si="145"/>
        <v>0</v>
      </c>
      <c r="O215" s="337">
        <f t="shared" si="146"/>
        <v>0</v>
      </c>
      <c r="P215" s="337"/>
      <c r="Q215" s="337"/>
      <c r="R215" s="337">
        <f t="shared" si="147"/>
        <v>0</v>
      </c>
      <c r="S215" s="410">
        <f t="shared" si="148"/>
        <v>0</v>
      </c>
      <c r="T215" s="339"/>
    </row>
    <row r="216" spans="1:20" s="327" customFormat="1" ht="45" hidden="1" customHeight="1">
      <c r="A216" s="334">
        <f t="shared" si="122"/>
        <v>24</v>
      </c>
      <c r="B216" s="346" t="str">
        <f t="shared" si="123"/>
        <v>PASS SÃO JORGE</v>
      </c>
      <c r="C216" s="340">
        <v>1</v>
      </c>
      <c r="D216" s="337"/>
      <c r="E216" s="337">
        <f t="shared" si="137"/>
        <v>0</v>
      </c>
      <c r="F216" s="337">
        <f t="shared" si="129"/>
        <v>1.94</v>
      </c>
      <c r="G216" s="337">
        <f t="shared" si="138"/>
        <v>2.04</v>
      </c>
      <c r="H216" s="337">
        <f t="shared" si="139"/>
        <v>0</v>
      </c>
      <c r="I216" s="337">
        <f t="shared" si="140"/>
        <v>0</v>
      </c>
      <c r="J216" s="338">
        <f t="shared" si="141"/>
        <v>0</v>
      </c>
      <c r="K216" s="337">
        <f t="shared" si="142"/>
        <v>0</v>
      </c>
      <c r="L216" s="337">
        <f t="shared" si="143"/>
        <v>0</v>
      </c>
      <c r="M216" s="337">
        <f t="shared" si="144"/>
        <v>0</v>
      </c>
      <c r="N216" s="337">
        <f t="shared" si="145"/>
        <v>0</v>
      </c>
      <c r="O216" s="337">
        <f t="shared" si="146"/>
        <v>0</v>
      </c>
      <c r="P216" s="337"/>
      <c r="Q216" s="337"/>
      <c r="R216" s="337">
        <f t="shared" si="147"/>
        <v>0</v>
      </c>
      <c r="S216" s="410">
        <f t="shared" si="148"/>
        <v>0</v>
      </c>
      <c r="T216" s="339"/>
    </row>
    <row r="217" spans="1:20" s="327" customFormat="1" ht="45" hidden="1" customHeight="1">
      <c r="A217" s="334">
        <f t="shared" si="122"/>
        <v>25</v>
      </c>
      <c r="B217" s="346" t="str">
        <f t="shared" si="123"/>
        <v>PASS AIRTON SENA</v>
      </c>
      <c r="C217" s="340">
        <v>1</v>
      </c>
      <c r="D217" s="337"/>
      <c r="E217" s="337">
        <f t="shared" si="137"/>
        <v>0</v>
      </c>
      <c r="F217" s="337">
        <f t="shared" si="129"/>
        <v>1.94</v>
      </c>
      <c r="G217" s="337">
        <f t="shared" si="138"/>
        <v>2.04</v>
      </c>
      <c r="H217" s="337">
        <f t="shared" si="139"/>
        <v>0</v>
      </c>
      <c r="I217" s="337">
        <f t="shared" si="140"/>
        <v>0</v>
      </c>
      <c r="J217" s="338">
        <f t="shared" si="141"/>
        <v>0</v>
      </c>
      <c r="K217" s="337">
        <f t="shared" si="142"/>
        <v>0</v>
      </c>
      <c r="L217" s="337">
        <f t="shared" si="143"/>
        <v>0</v>
      </c>
      <c r="M217" s="337">
        <f t="shared" si="144"/>
        <v>0</v>
      </c>
      <c r="N217" s="337">
        <f t="shared" si="145"/>
        <v>0</v>
      </c>
      <c r="O217" s="337">
        <f t="shared" si="146"/>
        <v>0</v>
      </c>
      <c r="P217" s="337"/>
      <c r="Q217" s="337"/>
      <c r="R217" s="337">
        <f t="shared" si="147"/>
        <v>0</v>
      </c>
      <c r="S217" s="410">
        <f t="shared" si="148"/>
        <v>0</v>
      </c>
      <c r="T217" s="339"/>
    </row>
    <row r="218" spans="1:20" s="327" customFormat="1" ht="45" hidden="1" customHeight="1">
      <c r="A218" s="334">
        <f t="shared" si="122"/>
        <v>26</v>
      </c>
      <c r="B218" s="346" t="str">
        <f t="shared" si="123"/>
        <v>RUA AMINTAS PINHEIRO</v>
      </c>
      <c r="C218" s="340">
        <v>1</v>
      </c>
      <c r="D218" s="337"/>
      <c r="E218" s="337">
        <f t="shared" si="137"/>
        <v>0</v>
      </c>
      <c r="F218" s="337">
        <f t="shared" si="129"/>
        <v>1.94</v>
      </c>
      <c r="G218" s="337">
        <f t="shared" si="138"/>
        <v>2.04</v>
      </c>
      <c r="H218" s="337">
        <f t="shared" si="139"/>
        <v>0</v>
      </c>
      <c r="I218" s="337">
        <f t="shared" si="140"/>
        <v>0</v>
      </c>
      <c r="J218" s="338">
        <f t="shared" si="141"/>
        <v>0</v>
      </c>
      <c r="K218" s="337">
        <f t="shared" si="142"/>
        <v>0</v>
      </c>
      <c r="L218" s="337">
        <f t="shared" si="143"/>
        <v>0</v>
      </c>
      <c r="M218" s="337">
        <f t="shared" si="144"/>
        <v>0</v>
      </c>
      <c r="N218" s="337">
        <f t="shared" si="145"/>
        <v>0</v>
      </c>
      <c r="O218" s="337">
        <f t="shared" si="146"/>
        <v>0</v>
      </c>
      <c r="P218" s="337"/>
      <c r="Q218" s="337"/>
      <c r="R218" s="337">
        <f t="shared" si="147"/>
        <v>0</v>
      </c>
      <c r="S218" s="410">
        <f t="shared" si="148"/>
        <v>0</v>
      </c>
      <c r="T218" s="339"/>
    </row>
    <row r="219" spans="1:20" s="327" customFormat="1" ht="45" hidden="1" customHeight="1">
      <c r="A219" s="334">
        <f t="shared" si="122"/>
        <v>27</v>
      </c>
      <c r="B219" s="346" t="str">
        <f t="shared" si="123"/>
        <v>PASS PRINC ISABEL</v>
      </c>
      <c r="C219" s="340">
        <v>1</v>
      </c>
      <c r="D219" s="337"/>
      <c r="E219" s="337">
        <f t="shared" si="137"/>
        <v>0</v>
      </c>
      <c r="F219" s="337">
        <f t="shared" si="129"/>
        <v>1.94</v>
      </c>
      <c r="G219" s="337">
        <f t="shared" si="138"/>
        <v>2.04</v>
      </c>
      <c r="H219" s="337">
        <f t="shared" si="139"/>
        <v>0</v>
      </c>
      <c r="I219" s="337">
        <f t="shared" si="140"/>
        <v>0</v>
      </c>
      <c r="J219" s="338">
        <f t="shared" si="141"/>
        <v>0</v>
      </c>
      <c r="K219" s="337">
        <f t="shared" si="142"/>
        <v>0</v>
      </c>
      <c r="L219" s="337">
        <f t="shared" si="143"/>
        <v>0</v>
      </c>
      <c r="M219" s="337">
        <f t="shared" si="144"/>
        <v>0</v>
      </c>
      <c r="N219" s="337">
        <f t="shared" si="145"/>
        <v>0</v>
      </c>
      <c r="O219" s="337">
        <f t="shared" si="146"/>
        <v>0</v>
      </c>
      <c r="P219" s="337"/>
      <c r="Q219" s="337"/>
      <c r="R219" s="337">
        <f t="shared" si="147"/>
        <v>0</v>
      </c>
      <c r="S219" s="410">
        <f t="shared" si="148"/>
        <v>0</v>
      </c>
      <c r="T219" s="339"/>
    </row>
    <row r="220" spans="1:20" s="327" customFormat="1" ht="45" hidden="1" customHeight="1">
      <c r="A220" s="334">
        <f t="shared" si="122"/>
        <v>28</v>
      </c>
      <c r="B220" s="346" t="str">
        <f t="shared" si="123"/>
        <v>PASS SANTA CLARA</v>
      </c>
      <c r="C220" s="340">
        <v>1</v>
      </c>
      <c r="D220" s="337"/>
      <c r="E220" s="337">
        <f t="shared" si="137"/>
        <v>0</v>
      </c>
      <c r="F220" s="337">
        <f t="shared" si="129"/>
        <v>1.94</v>
      </c>
      <c r="G220" s="337">
        <f t="shared" si="138"/>
        <v>2.04</v>
      </c>
      <c r="H220" s="337">
        <f t="shared" si="139"/>
        <v>0</v>
      </c>
      <c r="I220" s="337">
        <f t="shared" si="140"/>
        <v>0</v>
      </c>
      <c r="J220" s="338">
        <f t="shared" si="141"/>
        <v>0</v>
      </c>
      <c r="K220" s="337">
        <f t="shared" si="142"/>
        <v>0</v>
      </c>
      <c r="L220" s="337">
        <f t="shared" si="143"/>
        <v>0</v>
      </c>
      <c r="M220" s="337">
        <f t="shared" si="144"/>
        <v>0</v>
      </c>
      <c r="N220" s="337">
        <f t="shared" si="145"/>
        <v>0</v>
      </c>
      <c r="O220" s="337">
        <f t="shared" si="146"/>
        <v>0</v>
      </c>
      <c r="P220" s="337"/>
      <c r="Q220" s="337"/>
      <c r="R220" s="337">
        <f t="shared" si="147"/>
        <v>0</v>
      </c>
      <c r="S220" s="410">
        <f t="shared" si="148"/>
        <v>0</v>
      </c>
      <c r="T220" s="339"/>
    </row>
    <row r="221" spans="1:20" s="327" customFormat="1" ht="45" hidden="1" customHeight="1">
      <c r="A221" s="334">
        <f t="shared" si="122"/>
        <v>29</v>
      </c>
      <c r="B221" s="346" t="str">
        <f t="shared" si="123"/>
        <v>PASS AIRTON SENA 1</v>
      </c>
      <c r="C221" s="340">
        <v>1</v>
      </c>
      <c r="D221" s="337"/>
      <c r="E221" s="337">
        <f t="shared" si="137"/>
        <v>0</v>
      </c>
      <c r="F221" s="337">
        <f t="shared" si="129"/>
        <v>1.94</v>
      </c>
      <c r="G221" s="337">
        <f t="shared" si="138"/>
        <v>2.04</v>
      </c>
      <c r="H221" s="337">
        <f t="shared" si="139"/>
        <v>0</v>
      </c>
      <c r="I221" s="337">
        <f t="shared" si="140"/>
        <v>0</v>
      </c>
      <c r="J221" s="338">
        <f t="shared" si="141"/>
        <v>0</v>
      </c>
      <c r="K221" s="337">
        <f t="shared" si="142"/>
        <v>0</v>
      </c>
      <c r="L221" s="337">
        <f t="shared" si="143"/>
        <v>0</v>
      </c>
      <c r="M221" s="337">
        <f t="shared" si="144"/>
        <v>0</v>
      </c>
      <c r="N221" s="337">
        <f t="shared" si="145"/>
        <v>0</v>
      </c>
      <c r="O221" s="337">
        <f t="shared" si="146"/>
        <v>0</v>
      </c>
      <c r="P221" s="337"/>
      <c r="Q221" s="337"/>
      <c r="R221" s="337">
        <f t="shared" si="147"/>
        <v>0</v>
      </c>
      <c r="S221" s="410">
        <f t="shared" si="148"/>
        <v>0</v>
      </c>
      <c r="T221" s="339"/>
    </row>
    <row r="222" spans="1:20" s="327" customFormat="1" ht="45" hidden="1" customHeight="1">
      <c r="A222" s="334">
        <f t="shared" si="122"/>
        <v>30</v>
      </c>
      <c r="B222" s="346" t="str">
        <f t="shared" si="123"/>
        <v>PASS TIM LOPES</v>
      </c>
      <c r="C222" s="340">
        <v>1</v>
      </c>
      <c r="D222" s="337"/>
      <c r="E222" s="337">
        <f t="shared" si="137"/>
        <v>0</v>
      </c>
      <c r="F222" s="337">
        <f t="shared" si="129"/>
        <v>1.94</v>
      </c>
      <c r="G222" s="337">
        <f t="shared" si="138"/>
        <v>2.04</v>
      </c>
      <c r="H222" s="337">
        <f t="shared" si="139"/>
        <v>0</v>
      </c>
      <c r="I222" s="337">
        <f t="shared" si="140"/>
        <v>0</v>
      </c>
      <c r="J222" s="338">
        <f t="shared" si="141"/>
        <v>0</v>
      </c>
      <c r="K222" s="337">
        <f t="shared" si="142"/>
        <v>0</v>
      </c>
      <c r="L222" s="337">
        <f t="shared" si="143"/>
        <v>0</v>
      </c>
      <c r="M222" s="337">
        <f t="shared" si="144"/>
        <v>0</v>
      </c>
      <c r="N222" s="337">
        <f t="shared" si="145"/>
        <v>0</v>
      </c>
      <c r="O222" s="337">
        <f t="shared" si="146"/>
        <v>0</v>
      </c>
      <c r="P222" s="337"/>
      <c r="Q222" s="337"/>
      <c r="R222" s="337">
        <f t="shared" si="147"/>
        <v>0</v>
      </c>
      <c r="S222" s="410">
        <f t="shared" si="148"/>
        <v>0</v>
      </c>
      <c r="T222" s="339"/>
    </row>
    <row r="223" spans="1:20" s="327" customFormat="1" ht="45" hidden="1" customHeight="1">
      <c r="A223" s="334"/>
      <c r="B223" s="346"/>
      <c r="C223" s="340">
        <v>1</v>
      </c>
      <c r="D223" s="337"/>
      <c r="E223" s="337">
        <f t="shared" si="137"/>
        <v>0</v>
      </c>
      <c r="F223" s="337">
        <f t="shared" si="129"/>
        <v>1.94</v>
      </c>
      <c r="G223" s="337">
        <f t="shared" si="138"/>
        <v>2.04</v>
      </c>
      <c r="H223" s="337">
        <f t="shared" si="139"/>
        <v>0</v>
      </c>
      <c r="I223" s="337">
        <f t="shared" si="140"/>
        <v>0</v>
      </c>
      <c r="J223" s="338">
        <f t="shared" si="141"/>
        <v>0</v>
      </c>
      <c r="K223" s="337">
        <f t="shared" si="142"/>
        <v>0</v>
      </c>
      <c r="L223" s="337">
        <f t="shared" si="143"/>
        <v>0</v>
      </c>
      <c r="M223" s="337">
        <f t="shared" si="144"/>
        <v>0</v>
      </c>
      <c r="N223" s="337">
        <f t="shared" si="145"/>
        <v>0</v>
      </c>
      <c r="O223" s="337">
        <f t="shared" si="146"/>
        <v>0</v>
      </c>
      <c r="P223" s="337"/>
      <c r="Q223" s="337"/>
      <c r="R223" s="337">
        <f t="shared" si="147"/>
        <v>0</v>
      </c>
      <c r="S223" s="410">
        <f t="shared" si="148"/>
        <v>0</v>
      </c>
      <c r="T223" s="339"/>
    </row>
    <row r="224" spans="1:20" s="327" customFormat="1" ht="45" hidden="1" customHeight="1">
      <c r="A224" s="334"/>
      <c r="B224" s="346"/>
      <c r="C224" s="340">
        <v>1</v>
      </c>
      <c r="D224" s="337"/>
      <c r="E224" s="337">
        <f t="shared" si="137"/>
        <v>0</v>
      </c>
      <c r="F224" s="337">
        <f t="shared" si="129"/>
        <v>1.94</v>
      </c>
      <c r="G224" s="337">
        <f t="shared" si="138"/>
        <v>2.04</v>
      </c>
      <c r="H224" s="337">
        <f t="shared" si="139"/>
        <v>0</v>
      </c>
      <c r="I224" s="337">
        <f t="shared" si="140"/>
        <v>0</v>
      </c>
      <c r="J224" s="338">
        <f t="shared" si="141"/>
        <v>0</v>
      </c>
      <c r="K224" s="337">
        <f t="shared" si="142"/>
        <v>0</v>
      </c>
      <c r="L224" s="337">
        <f t="shared" si="143"/>
        <v>0</v>
      </c>
      <c r="M224" s="337">
        <f t="shared" si="144"/>
        <v>0</v>
      </c>
      <c r="N224" s="337">
        <f t="shared" si="145"/>
        <v>0</v>
      </c>
      <c r="O224" s="337">
        <f t="shared" si="146"/>
        <v>0</v>
      </c>
      <c r="P224" s="337"/>
      <c r="Q224" s="337"/>
      <c r="R224" s="337">
        <f t="shared" si="147"/>
        <v>0</v>
      </c>
      <c r="S224" s="410">
        <f t="shared" si="148"/>
        <v>0</v>
      </c>
      <c r="T224" s="339"/>
    </row>
    <row r="225" spans="1:20" s="327" customFormat="1" ht="45" hidden="1" customHeight="1">
      <c r="A225" s="334"/>
      <c r="B225" s="346"/>
      <c r="C225" s="340">
        <v>1</v>
      </c>
      <c r="D225" s="337"/>
      <c r="E225" s="337">
        <f t="shared" si="137"/>
        <v>0</v>
      </c>
      <c r="F225" s="337">
        <f t="shared" si="129"/>
        <v>1.94</v>
      </c>
      <c r="G225" s="337">
        <f t="shared" si="138"/>
        <v>2.04</v>
      </c>
      <c r="H225" s="337">
        <f t="shared" si="139"/>
        <v>0</v>
      </c>
      <c r="I225" s="337">
        <f t="shared" si="140"/>
        <v>0</v>
      </c>
      <c r="J225" s="338">
        <f t="shared" si="141"/>
        <v>0</v>
      </c>
      <c r="K225" s="337">
        <f t="shared" si="142"/>
        <v>0</v>
      </c>
      <c r="L225" s="337">
        <f t="shared" si="143"/>
        <v>0</v>
      </c>
      <c r="M225" s="337">
        <f t="shared" si="144"/>
        <v>0</v>
      </c>
      <c r="N225" s="337">
        <f t="shared" si="145"/>
        <v>0</v>
      </c>
      <c r="O225" s="337">
        <f t="shared" si="146"/>
        <v>0</v>
      </c>
      <c r="P225" s="337"/>
      <c r="Q225" s="337"/>
      <c r="R225" s="337">
        <f t="shared" si="147"/>
        <v>0</v>
      </c>
      <c r="S225" s="410">
        <f t="shared" si="148"/>
        <v>0</v>
      </c>
      <c r="T225" s="339"/>
    </row>
    <row r="226" spans="1:20" s="327" customFormat="1" ht="45" hidden="1" customHeight="1">
      <c r="A226" s="334"/>
      <c r="B226" s="346"/>
      <c r="C226" s="340">
        <v>1</v>
      </c>
      <c r="D226" s="337"/>
      <c r="E226" s="337">
        <f t="shared" si="137"/>
        <v>0</v>
      </c>
      <c r="F226" s="337">
        <f t="shared" si="129"/>
        <v>1.94</v>
      </c>
      <c r="G226" s="337">
        <f t="shared" si="138"/>
        <v>2.04</v>
      </c>
      <c r="H226" s="337">
        <f t="shared" si="139"/>
        <v>0</v>
      </c>
      <c r="I226" s="337">
        <f t="shared" si="140"/>
        <v>0</v>
      </c>
      <c r="J226" s="338">
        <f t="shared" si="141"/>
        <v>0</v>
      </c>
      <c r="K226" s="337">
        <f t="shared" si="142"/>
        <v>0</v>
      </c>
      <c r="L226" s="337">
        <f t="shared" si="143"/>
        <v>0</v>
      </c>
      <c r="M226" s="337">
        <f t="shared" si="144"/>
        <v>0</v>
      </c>
      <c r="N226" s="337">
        <f t="shared" si="145"/>
        <v>0</v>
      </c>
      <c r="O226" s="337">
        <f t="shared" si="146"/>
        <v>0</v>
      </c>
      <c r="P226" s="337"/>
      <c r="Q226" s="337"/>
      <c r="R226" s="337">
        <f t="shared" si="147"/>
        <v>0</v>
      </c>
      <c r="S226" s="410">
        <f t="shared" si="148"/>
        <v>0</v>
      </c>
      <c r="T226" s="339"/>
    </row>
    <row r="227" spans="1:20" s="327" customFormat="1" ht="45" hidden="1" customHeight="1">
      <c r="A227" s="334"/>
      <c r="B227" s="346"/>
      <c r="C227" s="340">
        <v>1</v>
      </c>
      <c r="D227" s="337"/>
      <c r="E227" s="337">
        <f t="shared" si="136"/>
        <v>0</v>
      </c>
      <c r="F227" s="337">
        <f t="shared" si="129"/>
        <v>1.94</v>
      </c>
      <c r="G227" s="337">
        <f t="shared" si="130"/>
        <v>2.04</v>
      </c>
      <c r="H227" s="337">
        <f t="shared" si="124"/>
        <v>0</v>
      </c>
      <c r="I227" s="337">
        <f t="shared" si="131"/>
        <v>0</v>
      </c>
      <c r="J227" s="338">
        <f t="shared" si="132"/>
        <v>0</v>
      </c>
      <c r="K227" s="337">
        <f t="shared" si="125"/>
        <v>0</v>
      </c>
      <c r="L227" s="337">
        <f t="shared" si="133"/>
        <v>0</v>
      </c>
      <c r="M227" s="337">
        <f t="shared" si="126"/>
        <v>0</v>
      </c>
      <c r="N227" s="337">
        <f t="shared" si="134"/>
        <v>0</v>
      </c>
      <c r="O227" s="337">
        <f t="shared" si="135"/>
        <v>0</v>
      </c>
      <c r="P227" s="337"/>
      <c r="Q227" s="337"/>
      <c r="R227" s="337">
        <f t="shared" si="127"/>
        <v>0</v>
      </c>
      <c r="S227" s="410">
        <f t="shared" si="128"/>
        <v>0</v>
      </c>
      <c r="T227" s="339"/>
    </row>
    <row r="228" spans="1:20" s="327" customFormat="1" ht="45" hidden="1" customHeight="1">
      <c r="A228" s="334"/>
      <c r="B228" s="346"/>
      <c r="C228" s="340">
        <v>1</v>
      </c>
      <c r="D228" s="337"/>
      <c r="E228" s="337">
        <f t="shared" si="136"/>
        <v>0</v>
      </c>
      <c r="F228" s="337">
        <f t="shared" si="129"/>
        <v>1.94</v>
      </c>
      <c r="G228" s="337">
        <f t="shared" si="130"/>
        <v>2.04</v>
      </c>
      <c r="H228" s="337">
        <f t="shared" si="124"/>
        <v>0</v>
      </c>
      <c r="I228" s="337">
        <f t="shared" si="131"/>
        <v>0</v>
      </c>
      <c r="J228" s="338">
        <f t="shared" si="132"/>
        <v>0</v>
      </c>
      <c r="K228" s="337">
        <f t="shared" si="125"/>
        <v>0</v>
      </c>
      <c r="L228" s="337">
        <f t="shared" si="133"/>
        <v>0</v>
      </c>
      <c r="M228" s="337">
        <f t="shared" si="126"/>
        <v>0</v>
      </c>
      <c r="N228" s="337">
        <f t="shared" si="134"/>
        <v>0</v>
      </c>
      <c r="O228" s="337">
        <f t="shared" si="135"/>
        <v>0</v>
      </c>
      <c r="P228" s="337"/>
      <c r="Q228" s="337"/>
      <c r="R228" s="337">
        <f t="shared" si="127"/>
        <v>0</v>
      </c>
      <c r="S228" s="410">
        <f t="shared" si="128"/>
        <v>0</v>
      </c>
      <c r="T228" s="339"/>
    </row>
    <row r="229" spans="1:20" s="327" customFormat="1" ht="45" hidden="1" customHeight="1">
      <c r="A229" s="1625" t="s">
        <v>21</v>
      </c>
      <c r="B229" s="1626"/>
      <c r="C229" s="341"/>
      <c r="D229" s="341"/>
      <c r="E229" s="341">
        <f>SUM(E196:E228)</f>
        <v>0</v>
      </c>
      <c r="F229" s="341"/>
      <c r="G229" s="341"/>
      <c r="H229" s="341">
        <f>SUM(H196:H228)</f>
        <v>0</v>
      </c>
      <c r="I229" s="341">
        <f t="shared" ref="I229:S229" si="149">SUM(I196:I228)</f>
        <v>0</v>
      </c>
      <c r="J229" s="341">
        <f t="shared" si="149"/>
        <v>0</v>
      </c>
      <c r="K229" s="341">
        <f t="shared" si="149"/>
        <v>0</v>
      </c>
      <c r="L229" s="341">
        <f t="shared" si="149"/>
        <v>0</v>
      </c>
      <c r="M229" s="341">
        <f t="shared" si="149"/>
        <v>0</v>
      </c>
      <c r="N229" s="341">
        <f t="shared" si="149"/>
        <v>0</v>
      </c>
      <c r="O229" s="341">
        <f t="shared" si="149"/>
        <v>0</v>
      </c>
      <c r="P229" s="341">
        <f t="shared" si="149"/>
        <v>0</v>
      </c>
      <c r="Q229" s="341">
        <f t="shared" si="149"/>
        <v>0</v>
      </c>
      <c r="R229" s="341">
        <f t="shared" si="149"/>
        <v>0</v>
      </c>
      <c r="S229" s="341">
        <f t="shared" si="149"/>
        <v>0</v>
      </c>
      <c r="T229" s="342"/>
    </row>
    <row r="230" spans="1:20" s="327" customFormat="1" ht="45" hidden="1" customHeight="1">
      <c r="A230" s="413"/>
      <c r="C230" s="345"/>
      <c r="D230" s="345"/>
      <c r="E230" s="345"/>
      <c r="F230" s="345"/>
      <c r="G230" s="345"/>
      <c r="S230" s="412"/>
    </row>
    <row r="231" spans="1:20" s="327" customFormat="1" ht="45" hidden="1" customHeight="1">
      <c r="A231" s="1627" t="s">
        <v>407</v>
      </c>
      <c r="B231" s="1628"/>
      <c r="C231" s="1628"/>
      <c r="D231" s="1628"/>
      <c r="E231" s="1628"/>
      <c r="F231" s="1628"/>
      <c r="G231" s="1628"/>
      <c r="H231" s="1628"/>
      <c r="I231" s="1628"/>
      <c r="J231" s="1628"/>
      <c r="K231" s="1628"/>
      <c r="L231" s="1628"/>
      <c r="M231" s="1628"/>
      <c r="N231" s="1628"/>
      <c r="O231" s="1628"/>
      <c r="P231" s="1628"/>
      <c r="Q231" s="1628"/>
      <c r="R231" s="1628"/>
      <c r="S231" s="1629"/>
      <c r="T231" s="326"/>
    </row>
    <row r="232" spans="1:20" s="327" customFormat="1" ht="45" hidden="1" customHeight="1">
      <c r="A232" s="1630" t="s">
        <v>6</v>
      </c>
      <c r="B232" s="1633" t="s">
        <v>311</v>
      </c>
      <c r="C232" s="1636" t="s">
        <v>460</v>
      </c>
      <c r="D232" s="1636"/>
      <c r="E232" s="1636"/>
      <c r="F232" s="1645" t="s">
        <v>446</v>
      </c>
      <c r="G232" s="1645"/>
      <c r="H232" s="1645"/>
      <c r="I232" s="1645" t="s">
        <v>447</v>
      </c>
      <c r="J232" s="1643" t="s">
        <v>450</v>
      </c>
      <c r="K232" s="1645" t="s">
        <v>303</v>
      </c>
      <c r="L232" s="1645" t="s">
        <v>305</v>
      </c>
      <c r="M232" s="1647" t="s">
        <v>304</v>
      </c>
      <c r="N232" s="1638" t="s">
        <v>448</v>
      </c>
      <c r="O232" s="1638" t="s">
        <v>497</v>
      </c>
      <c r="P232" s="1643" t="s">
        <v>943</v>
      </c>
      <c r="Q232" s="1643" t="s">
        <v>944</v>
      </c>
      <c r="R232" s="1638" t="s">
        <v>449</v>
      </c>
      <c r="S232" s="1641" t="s">
        <v>306</v>
      </c>
      <c r="T232" s="326"/>
    </row>
    <row r="233" spans="1:20" s="327" customFormat="1" ht="45" hidden="1" customHeight="1">
      <c r="A233" s="1631"/>
      <c r="B233" s="1634"/>
      <c r="C233" s="1637"/>
      <c r="D233" s="1637"/>
      <c r="E233" s="1637"/>
      <c r="F233" s="1646"/>
      <c r="G233" s="1646"/>
      <c r="H233" s="1646"/>
      <c r="I233" s="1646"/>
      <c r="J233" s="1644"/>
      <c r="K233" s="1646"/>
      <c r="L233" s="1646"/>
      <c r="M233" s="1648"/>
      <c r="N233" s="1640"/>
      <c r="O233" s="1640"/>
      <c r="P233" s="1644"/>
      <c r="Q233" s="1644"/>
      <c r="R233" s="1639"/>
      <c r="S233" s="1642"/>
      <c r="T233" s="326"/>
    </row>
    <row r="234" spans="1:20" s="327" customFormat="1" ht="45" hidden="1" customHeight="1">
      <c r="A234" s="1631"/>
      <c r="B234" s="1634"/>
      <c r="C234" s="328" t="s">
        <v>146</v>
      </c>
      <c r="D234" s="329" t="s">
        <v>316</v>
      </c>
      <c r="E234" s="328" t="s">
        <v>302</v>
      </c>
      <c r="F234" s="328" t="s">
        <v>296</v>
      </c>
      <c r="G234" s="328" t="s">
        <v>301</v>
      </c>
      <c r="H234" s="328" t="s">
        <v>21</v>
      </c>
      <c r="I234" s="1646"/>
      <c r="J234" s="1644"/>
      <c r="K234" s="1646"/>
      <c r="L234" s="1646"/>
      <c r="M234" s="1649"/>
      <c r="N234" s="328" t="s">
        <v>21</v>
      </c>
      <c r="O234" s="328" t="s">
        <v>21</v>
      </c>
      <c r="P234" s="1644"/>
      <c r="Q234" s="1644"/>
      <c r="R234" s="1640"/>
      <c r="S234" s="1642"/>
      <c r="T234" s="326"/>
    </row>
    <row r="235" spans="1:20" s="327" customFormat="1" ht="62.1" hidden="1" customHeight="1">
      <c r="A235" s="1631"/>
      <c r="B235" s="1634"/>
      <c r="C235" s="487"/>
      <c r="D235" s="487"/>
      <c r="E235" s="487" t="s">
        <v>49</v>
      </c>
      <c r="F235" s="487" t="s">
        <v>52</v>
      </c>
      <c r="G235" s="487" t="s">
        <v>14</v>
      </c>
      <c r="H235" s="487" t="s">
        <v>621</v>
      </c>
      <c r="I235" s="487" t="s">
        <v>626</v>
      </c>
      <c r="J235" s="486" t="s">
        <v>622</v>
      </c>
      <c r="K235" s="487" t="s">
        <v>623</v>
      </c>
      <c r="L235" s="487" t="s">
        <v>624</v>
      </c>
      <c r="M235" s="487" t="s">
        <v>625</v>
      </c>
      <c r="N235" s="487" t="s">
        <v>627</v>
      </c>
      <c r="O235" s="487" t="s">
        <v>628</v>
      </c>
      <c r="P235" s="486" t="s">
        <v>942</v>
      </c>
      <c r="Q235" s="486" t="s">
        <v>942</v>
      </c>
      <c r="R235" s="487" t="s">
        <v>629</v>
      </c>
      <c r="S235" s="485" t="s">
        <v>630</v>
      </c>
      <c r="T235" s="326"/>
    </row>
    <row r="236" spans="1:20" s="327" customFormat="1" ht="62.1" hidden="1" customHeight="1">
      <c r="A236" s="1632"/>
      <c r="B236" s="1635"/>
      <c r="C236" s="330" t="s">
        <v>300</v>
      </c>
      <c r="D236" s="330" t="s">
        <v>297</v>
      </c>
      <c r="E236" s="330" t="s">
        <v>297</v>
      </c>
      <c r="F236" s="330" t="s">
        <v>478</v>
      </c>
      <c r="G236" s="332" t="s">
        <v>631</v>
      </c>
      <c r="H236" s="330"/>
      <c r="I236" s="330"/>
      <c r="J236" s="331">
        <v>10</v>
      </c>
      <c r="K236" s="330"/>
      <c r="L236" s="330"/>
      <c r="M236" s="330"/>
      <c r="N236" s="330"/>
      <c r="O236" s="332"/>
      <c r="P236" s="332">
        <v>30</v>
      </c>
      <c r="Q236" s="332">
        <v>7.4</v>
      </c>
      <c r="R236" s="332" t="s">
        <v>495</v>
      </c>
      <c r="S236" s="409"/>
      <c r="T236" s="333"/>
    </row>
    <row r="237" spans="1:20" s="327" customFormat="1" ht="45" hidden="1" customHeight="1">
      <c r="A237" s="334">
        <f t="shared" ref="A237:A263" si="150">A20</f>
        <v>1</v>
      </c>
      <c r="B237" s="346" t="str">
        <f t="shared" ref="B237:B263" si="151">B20</f>
        <v>R. DA PUPUNHEIRA</v>
      </c>
      <c r="C237" s="337">
        <v>1</v>
      </c>
      <c r="D237" s="336"/>
      <c r="E237" s="337">
        <f>C237*D237</f>
        <v>0</v>
      </c>
      <c r="F237" s="337">
        <f>1.78+0.5</f>
        <v>2.2799999999999998</v>
      </c>
      <c r="G237" s="337">
        <f>((1.78+0.6)+((1.78+0.6)+(E237*0.5%)))/2</f>
        <v>2.38</v>
      </c>
      <c r="H237" s="337">
        <f t="shared" ref="H237:H267" si="152">E237*F237*G237</f>
        <v>0</v>
      </c>
      <c r="I237" s="337">
        <f>M237</f>
        <v>0</v>
      </c>
      <c r="J237" s="338">
        <f>I237*1.25*$J$19</f>
        <v>0</v>
      </c>
      <c r="K237" s="337">
        <f t="shared" ref="K237:K267" si="153">E237*F237</f>
        <v>0</v>
      </c>
      <c r="L237" s="337">
        <f>K237</f>
        <v>0</v>
      </c>
      <c r="M237" s="337">
        <f t="shared" ref="M237:M267" si="154">(3.14*0.75^2)*E237</f>
        <v>0</v>
      </c>
      <c r="N237" s="337">
        <f>(H237-M237)*70%</f>
        <v>0</v>
      </c>
      <c r="O237" s="337">
        <f>(H237-M237)*30%</f>
        <v>0</v>
      </c>
      <c r="P237" s="337"/>
      <c r="Q237" s="337"/>
      <c r="R237" s="337">
        <f t="shared" ref="R237:R267" si="155">IF(G237&gt;1.5,D237*G237*2,)</f>
        <v>0</v>
      </c>
      <c r="S237" s="410">
        <f t="shared" ref="S237:S267" si="156">E237</f>
        <v>0</v>
      </c>
      <c r="T237" s="339"/>
    </row>
    <row r="238" spans="1:20" s="327" customFormat="1" ht="45" hidden="1" customHeight="1">
      <c r="A238" s="334">
        <f t="shared" si="150"/>
        <v>2</v>
      </c>
      <c r="B238" s="346" t="str">
        <f t="shared" si="151"/>
        <v>R. TANGERINA</v>
      </c>
      <c r="C238" s="340">
        <v>1</v>
      </c>
      <c r="D238" s="337"/>
      <c r="E238" s="337">
        <f>C238*D238</f>
        <v>0</v>
      </c>
      <c r="F238" s="337">
        <f t="shared" ref="F238:F267" si="157">1.78+0.5</f>
        <v>2.2799999999999998</v>
      </c>
      <c r="G238" s="337">
        <f t="shared" ref="G238:G267" si="158">((1.78+0.6)+((1.78+0.6)+(E238*0.5%)))/2</f>
        <v>2.38</v>
      </c>
      <c r="H238" s="337">
        <f t="shared" si="152"/>
        <v>0</v>
      </c>
      <c r="I238" s="337">
        <f t="shared" ref="I238:I267" si="159">M238</f>
        <v>0</v>
      </c>
      <c r="J238" s="338">
        <f t="shared" ref="J238:J267" si="160">I238*1.25*$J$19</f>
        <v>0</v>
      </c>
      <c r="K238" s="337">
        <f t="shared" si="153"/>
        <v>0</v>
      </c>
      <c r="L238" s="337">
        <f t="shared" ref="L238:L267" si="161">K238</f>
        <v>0</v>
      </c>
      <c r="M238" s="337">
        <f t="shared" si="154"/>
        <v>0</v>
      </c>
      <c r="N238" s="337">
        <f t="shared" ref="N238:N267" si="162">(H238-M238)*70%</f>
        <v>0</v>
      </c>
      <c r="O238" s="337">
        <f t="shared" ref="O238:O267" si="163">(H238-M238)*30%</f>
        <v>0</v>
      </c>
      <c r="P238" s="338">
        <f>N238*1.3*$P$19</f>
        <v>0</v>
      </c>
      <c r="Q238" s="338">
        <f>N238*1.3*$Q$19</f>
        <v>0</v>
      </c>
      <c r="R238" s="337">
        <f t="shared" si="155"/>
        <v>0</v>
      </c>
      <c r="S238" s="410">
        <f t="shared" si="156"/>
        <v>0</v>
      </c>
      <c r="T238" s="339"/>
    </row>
    <row r="239" spans="1:20" s="327" customFormat="1" ht="45" hidden="1" customHeight="1">
      <c r="A239" s="334">
        <f t="shared" si="150"/>
        <v>3</v>
      </c>
      <c r="B239" s="346" t="str">
        <f t="shared" si="151"/>
        <v>PASS. LARANJEIRA</v>
      </c>
      <c r="C239" s="340">
        <v>1</v>
      </c>
      <c r="D239" s="337"/>
      <c r="E239" s="337">
        <f t="shared" ref="E239:E267" si="164">C239*D239</f>
        <v>0</v>
      </c>
      <c r="F239" s="337">
        <f t="shared" si="157"/>
        <v>2.2799999999999998</v>
      </c>
      <c r="G239" s="337">
        <f t="shared" si="158"/>
        <v>2.38</v>
      </c>
      <c r="H239" s="337">
        <f t="shared" si="152"/>
        <v>0</v>
      </c>
      <c r="I239" s="337">
        <f t="shared" si="159"/>
        <v>0</v>
      </c>
      <c r="J239" s="338">
        <f t="shared" si="160"/>
        <v>0</v>
      </c>
      <c r="K239" s="337">
        <f t="shared" si="153"/>
        <v>0</v>
      </c>
      <c r="L239" s="337">
        <f t="shared" si="161"/>
        <v>0</v>
      </c>
      <c r="M239" s="337">
        <f t="shared" si="154"/>
        <v>0</v>
      </c>
      <c r="N239" s="337">
        <f t="shared" si="162"/>
        <v>0</v>
      </c>
      <c r="O239" s="337">
        <f t="shared" si="163"/>
        <v>0</v>
      </c>
      <c r="P239" s="337"/>
      <c r="Q239" s="337"/>
      <c r="R239" s="337">
        <f t="shared" si="155"/>
        <v>0</v>
      </c>
      <c r="S239" s="410">
        <f t="shared" si="156"/>
        <v>0</v>
      </c>
      <c r="T239" s="339"/>
    </row>
    <row r="240" spans="1:20" s="327" customFormat="1" ht="45" hidden="1" customHeight="1">
      <c r="A240" s="334">
        <f t="shared" si="150"/>
        <v>4</v>
      </c>
      <c r="B240" s="346" t="str">
        <f t="shared" si="151"/>
        <v xml:space="preserve">TV. FÉ EM DEUS </v>
      </c>
      <c r="C240" s="340">
        <v>1</v>
      </c>
      <c r="D240" s="337"/>
      <c r="E240" s="337">
        <f t="shared" si="164"/>
        <v>0</v>
      </c>
      <c r="F240" s="337">
        <f t="shared" si="157"/>
        <v>2.2799999999999998</v>
      </c>
      <c r="G240" s="337">
        <f t="shared" si="158"/>
        <v>2.38</v>
      </c>
      <c r="H240" s="337">
        <f t="shared" si="152"/>
        <v>0</v>
      </c>
      <c r="I240" s="337">
        <f t="shared" si="159"/>
        <v>0</v>
      </c>
      <c r="J240" s="338">
        <f t="shared" si="160"/>
        <v>0</v>
      </c>
      <c r="K240" s="337">
        <f t="shared" si="153"/>
        <v>0</v>
      </c>
      <c r="L240" s="337">
        <f t="shared" si="161"/>
        <v>0</v>
      </c>
      <c r="M240" s="337">
        <f t="shared" si="154"/>
        <v>0</v>
      </c>
      <c r="N240" s="337">
        <f t="shared" si="162"/>
        <v>0</v>
      </c>
      <c r="O240" s="337">
        <f t="shared" si="163"/>
        <v>0</v>
      </c>
      <c r="P240" s="337"/>
      <c r="Q240" s="337"/>
      <c r="R240" s="337">
        <f t="shared" si="155"/>
        <v>0</v>
      </c>
      <c r="S240" s="410">
        <f t="shared" si="156"/>
        <v>0</v>
      </c>
      <c r="T240" s="339"/>
    </row>
    <row r="241" spans="1:20" s="327" customFormat="1" ht="45" hidden="1" customHeight="1">
      <c r="A241" s="334">
        <f t="shared" si="150"/>
        <v>5</v>
      </c>
      <c r="B241" s="346" t="str">
        <f t="shared" si="151"/>
        <v>RUA PAULO ASSUNÇÃO</v>
      </c>
      <c r="C241" s="340">
        <v>1</v>
      </c>
      <c r="D241" s="337"/>
      <c r="E241" s="337">
        <f t="shared" si="164"/>
        <v>0</v>
      </c>
      <c r="F241" s="337">
        <f t="shared" si="157"/>
        <v>2.2799999999999998</v>
      </c>
      <c r="G241" s="337">
        <f t="shared" si="158"/>
        <v>2.38</v>
      </c>
      <c r="H241" s="337">
        <f t="shared" si="152"/>
        <v>0</v>
      </c>
      <c r="I241" s="337">
        <f t="shared" si="159"/>
        <v>0</v>
      </c>
      <c r="J241" s="338">
        <f t="shared" si="160"/>
        <v>0</v>
      </c>
      <c r="K241" s="337">
        <f t="shared" si="153"/>
        <v>0</v>
      </c>
      <c r="L241" s="337">
        <f t="shared" si="161"/>
        <v>0</v>
      </c>
      <c r="M241" s="337">
        <f t="shared" si="154"/>
        <v>0</v>
      </c>
      <c r="N241" s="337">
        <f t="shared" si="162"/>
        <v>0</v>
      </c>
      <c r="O241" s="337">
        <f t="shared" si="163"/>
        <v>0</v>
      </c>
      <c r="P241" s="337"/>
      <c r="Q241" s="337"/>
      <c r="R241" s="337">
        <f t="shared" si="155"/>
        <v>0</v>
      </c>
      <c r="S241" s="410">
        <f t="shared" si="156"/>
        <v>0</v>
      </c>
      <c r="T241" s="339"/>
    </row>
    <row r="242" spans="1:20" s="327" customFormat="1" ht="45" hidden="1" customHeight="1">
      <c r="A242" s="334">
        <f t="shared" si="150"/>
        <v>6</v>
      </c>
      <c r="B242" s="346" t="str">
        <f t="shared" si="151"/>
        <v>PASS PAULO ASSUNÇÃO</v>
      </c>
      <c r="C242" s="340">
        <v>1</v>
      </c>
      <c r="D242" s="337"/>
      <c r="E242" s="337">
        <f t="shared" si="164"/>
        <v>0</v>
      </c>
      <c r="F242" s="337">
        <f t="shared" si="157"/>
        <v>2.2799999999999998</v>
      </c>
      <c r="G242" s="337">
        <f t="shared" si="158"/>
        <v>2.38</v>
      </c>
      <c r="H242" s="337">
        <f t="shared" si="152"/>
        <v>0</v>
      </c>
      <c r="I242" s="337">
        <f t="shared" si="159"/>
        <v>0</v>
      </c>
      <c r="J242" s="338">
        <f t="shared" si="160"/>
        <v>0</v>
      </c>
      <c r="K242" s="337">
        <f t="shared" si="153"/>
        <v>0</v>
      </c>
      <c r="L242" s="337">
        <f t="shared" si="161"/>
        <v>0</v>
      </c>
      <c r="M242" s="337">
        <f t="shared" si="154"/>
        <v>0</v>
      </c>
      <c r="N242" s="337">
        <f t="shared" si="162"/>
        <v>0</v>
      </c>
      <c r="O242" s="337">
        <f t="shared" si="163"/>
        <v>0</v>
      </c>
      <c r="P242" s="337"/>
      <c r="Q242" s="337"/>
      <c r="R242" s="337">
        <f t="shared" si="155"/>
        <v>0</v>
      </c>
      <c r="S242" s="410">
        <f t="shared" si="156"/>
        <v>0</v>
      </c>
      <c r="T242" s="339"/>
    </row>
    <row r="243" spans="1:20" s="327" customFormat="1" ht="45" hidden="1" customHeight="1">
      <c r="A243" s="334">
        <f t="shared" si="150"/>
        <v>7</v>
      </c>
      <c r="B243" s="346" t="str">
        <f t="shared" si="151"/>
        <v>RUA DO PISCINÃO</v>
      </c>
      <c r="C243" s="340">
        <v>1</v>
      </c>
      <c r="D243" s="337"/>
      <c r="E243" s="337">
        <f t="shared" si="164"/>
        <v>0</v>
      </c>
      <c r="F243" s="337">
        <f t="shared" si="157"/>
        <v>2.2799999999999998</v>
      </c>
      <c r="G243" s="337">
        <f t="shared" si="158"/>
        <v>2.38</v>
      </c>
      <c r="H243" s="337">
        <f t="shared" si="152"/>
        <v>0</v>
      </c>
      <c r="I243" s="337">
        <f t="shared" si="159"/>
        <v>0</v>
      </c>
      <c r="J243" s="338">
        <f t="shared" si="160"/>
        <v>0</v>
      </c>
      <c r="K243" s="337">
        <f t="shared" si="153"/>
        <v>0</v>
      </c>
      <c r="L243" s="337">
        <f t="shared" si="161"/>
        <v>0</v>
      </c>
      <c r="M243" s="337">
        <f t="shared" si="154"/>
        <v>0</v>
      </c>
      <c r="N243" s="337">
        <f t="shared" si="162"/>
        <v>0</v>
      </c>
      <c r="O243" s="337">
        <f t="shared" si="163"/>
        <v>0</v>
      </c>
      <c r="P243" s="337"/>
      <c r="Q243" s="337"/>
      <c r="R243" s="337">
        <f t="shared" si="155"/>
        <v>0</v>
      </c>
      <c r="S243" s="410">
        <f t="shared" si="156"/>
        <v>0</v>
      </c>
      <c r="T243" s="339"/>
    </row>
    <row r="244" spans="1:20" s="327" customFormat="1" ht="45" hidden="1" customHeight="1">
      <c r="A244" s="334">
        <f t="shared" si="150"/>
        <v>8</v>
      </c>
      <c r="B244" s="346" t="str">
        <f t="shared" si="151"/>
        <v>TV DEUS PROVERÁ</v>
      </c>
      <c r="C244" s="340">
        <v>1</v>
      </c>
      <c r="D244" s="337"/>
      <c r="E244" s="337">
        <f t="shared" si="164"/>
        <v>0</v>
      </c>
      <c r="F244" s="337">
        <f t="shared" si="157"/>
        <v>2.2799999999999998</v>
      </c>
      <c r="G244" s="337">
        <f t="shared" si="158"/>
        <v>2.38</v>
      </c>
      <c r="H244" s="337">
        <f t="shared" si="152"/>
        <v>0</v>
      </c>
      <c r="I244" s="337">
        <f t="shared" si="159"/>
        <v>0</v>
      </c>
      <c r="J244" s="338">
        <f t="shared" si="160"/>
        <v>0</v>
      </c>
      <c r="K244" s="337">
        <f t="shared" si="153"/>
        <v>0</v>
      </c>
      <c r="L244" s="337">
        <f t="shared" si="161"/>
        <v>0</v>
      </c>
      <c r="M244" s="337">
        <f t="shared" si="154"/>
        <v>0</v>
      </c>
      <c r="N244" s="337">
        <f t="shared" si="162"/>
        <v>0</v>
      </c>
      <c r="O244" s="337">
        <f t="shared" si="163"/>
        <v>0</v>
      </c>
      <c r="P244" s="337"/>
      <c r="Q244" s="337"/>
      <c r="R244" s="337">
        <f t="shared" si="155"/>
        <v>0</v>
      </c>
      <c r="S244" s="410">
        <f t="shared" si="156"/>
        <v>0</v>
      </c>
      <c r="T244" s="339"/>
    </row>
    <row r="245" spans="1:20" s="327" customFormat="1" ht="45" hidden="1" customHeight="1">
      <c r="A245" s="334">
        <f t="shared" si="150"/>
        <v>9</v>
      </c>
      <c r="B245" s="346" t="str">
        <f t="shared" si="151"/>
        <v>RUA A</v>
      </c>
      <c r="C245" s="340">
        <v>1</v>
      </c>
      <c r="D245" s="337"/>
      <c r="E245" s="337">
        <f t="shared" si="164"/>
        <v>0</v>
      </c>
      <c r="F245" s="337">
        <f t="shared" si="157"/>
        <v>2.2799999999999998</v>
      </c>
      <c r="G245" s="337">
        <f t="shared" si="158"/>
        <v>2.38</v>
      </c>
      <c r="H245" s="337">
        <f t="shared" si="152"/>
        <v>0</v>
      </c>
      <c r="I245" s="337">
        <f t="shared" si="159"/>
        <v>0</v>
      </c>
      <c r="J245" s="338">
        <f t="shared" si="160"/>
        <v>0</v>
      </c>
      <c r="K245" s="337">
        <f t="shared" si="153"/>
        <v>0</v>
      </c>
      <c r="L245" s="337">
        <f t="shared" si="161"/>
        <v>0</v>
      </c>
      <c r="M245" s="337">
        <f t="shared" si="154"/>
        <v>0</v>
      </c>
      <c r="N245" s="337">
        <f t="shared" si="162"/>
        <v>0</v>
      </c>
      <c r="O245" s="337">
        <f t="shared" si="163"/>
        <v>0</v>
      </c>
      <c r="P245" s="337"/>
      <c r="Q245" s="337"/>
      <c r="R245" s="337">
        <f t="shared" si="155"/>
        <v>0</v>
      </c>
      <c r="S245" s="410">
        <f t="shared" si="156"/>
        <v>0</v>
      </c>
      <c r="T245" s="339"/>
    </row>
    <row r="246" spans="1:20" s="327" customFormat="1" ht="45" hidden="1" customHeight="1">
      <c r="A246" s="334">
        <f t="shared" si="150"/>
        <v>10</v>
      </c>
      <c r="B246" s="346" t="str">
        <f t="shared" si="151"/>
        <v>RUA B</v>
      </c>
      <c r="C246" s="340">
        <v>1</v>
      </c>
      <c r="D246" s="337"/>
      <c r="E246" s="337">
        <f t="shared" si="164"/>
        <v>0</v>
      </c>
      <c r="F246" s="337">
        <f t="shared" si="157"/>
        <v>2.2799999999999998</v>
      </c>
      <c r="G246" s="337">
        <f t="shared" si="158"/>
        <v>2.38</v>
      </c>
      <c r="H246" s="337">
        <f t="shared" si="152"/>
        <v>0</v>
      </c>
      <c r="I246" s="337">
        <f t="shared" si="159"/>
        <v>0</v>
      </c>
      <c r="J246" s="338">
        <f t="shared" si="160"/>
        <v>0</v>
      </c>
      <c r="K246" s="337">
        <f t="shared" si="153"/>
        <v>0</v>
      </c>
      <c r="L246" s="337">
        <f t="shared" si="161"/>
        <v>0</v>
      </c>
      <c r="M246" s="337">
        <f t="shared" si="154"/>
        <v>0</v>
      </c>
      <c r="N246" s="337">
        <f t="shared" si="162"/>
        <v>0</v>
      </c>
      <c r="O246" s="337">
        <f t="shared" si="163"/>
        <v>0</v>
      </c>
      <c r="P246" s="337"/>
      <c r="Q246" s="337"/>
      <c r="R246" s="337">
        <f t="shared" si="155"/>
        <v>0</v>
      </c>
      <c r="S246" s="410">
        <f t="shared" si="156"/>
        <v>0</v>
      </c>
      <c r="T246" s="339"/>
    </row>
    <row r="247" spans="1:20" s="327" customFormat="1" ht="45" hidden="1" customHeight="1">
      <c r="A247" s="334">
        <f t="shared" si="150"/>
        <v>14</v>
      </c>
      <c r="B247" s="346" t="str">
        <f t="shared" si="151"/>
        <v>RUA DAS ORQUIDEAS</v>
      </c>
      <c r="C247" s="340">
        <v>1</v>
      </c>
      <c r="D247" s="337"/>
      <c r="E247" s="337">
        <f t="shared" si="164"/>
        <v>0</v>
      </c>
      <c r="F247" s="337">
        <f t="shared" si="157"/>
        <v>2.2799999999999998</v>
      </c>
      <c r="G247" s="337">
        <f t="shared" si="158"/>
        <v>2.38</v>
      </c>
      <c r="H247" s="337">
        <f t="shared" si="152"/>
        <v>0</v>
      </c>
      <c r="I247" s="337">
        <f t="shared" si="159"/>
        <v>0</v>
      </c>
      <c r="J247" s="338">
        <f t="shared" si="160"/>
        <v>0</v>
      </c>
      <c r="K247" s="337">
        <f t="shared" si="153"/>
        <v>0</v>
      </c>
      <c r="L247" s="337">
        <f t="shared" si="161"/>
        <v>0</v>
      </c>
      <c r="M247" s="337">
        <f t="shared" si="154"/>
        <v>0</v>
      </c>
      <c r="N247" s="337">
        <f t="shared" si="162"/>
        <v>0</v>
      </c>
      <c r="O247" s="337">
        <f t="shared" si="163"/>
        <v>0</v>
      </c>
      <c r="P247" s="337"/>
      <c r="Q247" s="337"/>
      <c r="R247" s="337">
        <f t="shared" si="155"/>
        <v>0</v>
      </c>
      <c r="S247" s="410">
        <f t="shared" si="156"/>
        <v>0</v>
      </c>
      <c r="T247" s="339"/>
    </row>
    <row r="248" spans="1:20" s="327" customFormat="1" ht="45" hidden="1" customHeight="1">
      <c r="A248" s="334">
        <f t="shared" si="150"/>
        <v>15</v>
      </c>
      <c r="B248" s="346" t="str">
        <f t="shared" si="151"/>
        <v>RUA HUM</v>
      </c>
      <c r="C248" s="340">
        <v>1</v>
      </c>
      <c r="D248" s="337"/>
      <c r="E248" s="337">
        <f t="shared" si="164"/>
        <v>0</v>
      </c>
      <c r="F248" s="337">
        <f t="shared" si="157"/>
        <v>2.2799999999999998</v>
      </c>
      <c r="G248" s="337">
        <f t="shared" si="158"/>
        <v>2.38</v>
      </c>
      <c r="H248" s="337">
        <f t="shared" si="152"/>
        <v>0</v>
      </c>
      <c r="I248" s="337">
        <f t="shared" si="159"/>
        <v>0</v>
      </c>
      <c r="J248" s="338">
        <f t="shared" si="160"/>
        <v>0</v>
      </c>
      <c r="K248" s="337">
        <f t="shared" si="153"/>
        <v>0</v>
      </c>
      <c r="L248" s="337">
        <f t="shared" si="161"/>
        <v>0</v>
      </c>
      <c r="M248" s="337">
        <f t="shared" si="154"/>
        <v>0</v>
      </c>
      <c r="N248" s="337">
        <f t="shared" si="162"/>
        <v>0</v>
      </c>
      <c r="O248" s="337">
        <f t="shared" si="163"/>
        <v>0</v>
      </c>
      <c r="P248" s="337"/>
      <c r="Q248" s="337"/>
      <c r="R248" s="337">
        <f t="shared" si="155"/>
        <v>0</v>
      </c>
      <c r="S248" s="410">
        <f t="shared" si="156"/>
        <v>0</v>
      </c>
      <c r="T248" s="339"/>
    </row>
    <row r="249" spans="1:20" s="327" customFormat="1" ht="45" hidden="1" customHeight="1">
      <c r="A249" s="334">
        <f t="shared" si="150"/>
        <v>16</v>
      </c>
      <c r="B249" s="346" t="str">
        <f t="shared" si="151"/>
        <v>RUA DOIS</v>
      </c>
      <c r="C249" s="340">
        <v>1</v>
      </c>
      <c r="D249" s="337"/>
      <c r="E249" s="337">
        <f t="shared" si="164"/>
        <v>0</v>
      </c>
      <c r="F249" s="337">
        <f t="shared" si="157"/>
        <v>2.2799999999999998</v>
      </c>
      <c r="G249" s="337">
        <f t="shared" si="158"/>
        <v>2.38</v>
      </c>
      <c r="H249" s="337">
        <f t="shared" si="152"/>
        <v>0</v>
      </c>
      <c r="I249" s="337">
        <f t="shared" si="159"/>
        <v>0</v>
      </c>
      <c r="J249" s="338">
        <f t="shared" si="160"/>
        <v>0</v>
      </c>
      <c r="K249" s="337">
        <f t="shared" si="153"/>
        <v>0</v>
      </c>
      <c r="L249" s="337">
        <f t="shared" si="161"/>
        <v>0</v>
      </c>
      <c r="M249" s="337">
        <f t="shared" si="154"/>
        <v>0</v>
      </c>
      <c r="N249" s="337">
        <f t="shared" si="162"/>
        <v>0</v>
      </c>
      <c r="O249" s="337">
        <f t="shared" si="163"/>
        <v>0</v>
      </c>
      <c r="P249" s="337"/>
      <c r="Q249" s="337"/>
      <c r="R249" s="337">
        <f t="shared" si="155"/>
        <v>0</v>
      </c>
      <c r="S249" s="410">
        <f t="shared" si="156"/>
        <v>0</v>
      </c>
      <c r="T249" s="339"/>
    </row>
    <row r="250" spans="1:20" s="327" customFormat="1" ht="45" hidden="1" customHeight="1">
      <c r="A250" s="334">
        <f t="shared" si="150"/>
        <v>17</v>
      </c>
      <c r="B250" s="346" t="str">
        <f t="shared" si="151"/>
        <v>RUA TRÊS</v>
      </c>
      <c r="C250" s="340">
        <v>1</v>
      </c>
      <c r="D250" s="337"/>
      <c r="E250" s="337">
        <f t="shared" si="164"/>
        <v>0</v>
      </c>
      <c r="F250" s="337">
        <f t="shared" si="157"/>
        <v>2.2799999999999998</v>
      </c>
      <c r="G250" s="337">
        <f t="shared" si="158"/>
        <v>2.38</v>
      </c>
      <c r="H250" s="337">
        <f t="shared" si="152"/>
        <v>0</v>
      </c>
      <c r="I250" s="337">
        <f t="shared" si="159"/>
        <v>0</v>
      </c>
      <c r="J250" s="338">
        <f t="shared" si="160"/>
        <v>0</v>
      </c>
      <c r="K250" s="337">
        <f t="shared" si="153"/>
        <v>0</v>
      </c>
      <c r="L250" s="337">
        <f t="shared" si="161"/>
        <v>0</v>
      </c>
      <c r="M250" s="337">
        <f t="shared" si="154"/>
        <v>0</v>
      </c>
      <c r="N250" s="337">
        <f t="shared" si="162"/>
        <v>0</v>
      </c>
      <c r="O250" s="337">
        <f t="shared" si="163"/>
        <v>0</v>
      </c>
      <c r="P250" s="337"/>
      <c r="Q250" s="337"/>
      <c r="R250" s="337">
        <f t="shared" si="155"/>
        <v>0</v>
      </c>
      <c r="S250" s="410">
        <f t="shared" si="156"/>
        <v>0</v>
      </c>
      <c r="T250" s="339"/>
    </row>
    <row r="251" spans="1:20" s="327" customFormat="1" ht="45" hidden="1" customHeight="1">
      <c r="A251" s="334">
        <f t="shared" si="150"/>
        <v>18</v>
      </c>
      <c r="B251" s="346" t="str">
        <f t="shared" si="151"/>
        <v>PASS DA LUZ</v>
      </c>
      <c r="C251" s="340">
        <v>1</v>
      </c>
      <c r="D251" s="337"/>
      <c r="E251" s="337">
        <f t="shared" si="164"/>
        <v>0</v>
      </c>
      <c r="F251" s="337">
        <f t="shared" si="157"/>
        <v>2.2799999999999998</v>
      </c>
      <c r="G251" s="337">
        <f t="shared" si="158"/>
        <v>2.38</v>
      </c>
      <c r="H251" s="337">
        <f t="shared" si="152"/>
        <v>0</v>
      </c>
      <c r="I251" s="337">
        <f t="shared" si="159"/>
        <v>0</v>
      </c>
      <c r="J251" s="338">
        <f t="shared" si="160"/>
        <v>0</v>
      </c>
      <c r="K251" s="337">
        <f t="shared" si="153"/>
        <v>0</v>
      </c>
      <c r="L251" s="337">
        <f t="shared" si="161"/>
        <v>0</v>
      </c>
      <c r="M251" s="337">
        <f t="shared" si="154"/>
        <v>0</v>
      </c>
      <c r="N251" s="337">
        <f t="shared" si="162"/>
        <v>0</v>
      </c>
      <c r="O251" s="337">
        <f t="shared" si="163"/>
        <v>0</v>
      </c>
      <c r="P251" s="337"/>
      <c r="Q251" s="337"/>
      <c r="R251" s="337">
        <f t="shared" si="155"/>
        <v>0</v>
      </c>
      <c r="S251" s="410">
        <f t="shared" si="156"/>
        <v>0</v>
      </c>
      <c r="T251" s="339"/>
    </row>
    <row r="252" spans="1:20" s="327" customFormat="1" ht="45" hidden="1" customHeight="1">
      <c r="A252" s="334">
        <f t="shared" si="150"/>
        <v>19</v>
      </c>
      <c r="B252" s="346" t="str">
        <f t="shared" si="151"/>
        <v>RUA FÉ EM DEUS</v>
      </c>
      <c r="C252" s="340">
        <v>1</v>
      </c>
      <c r="D252" s="337"/>
      <c r="E252" s="337">
        <f t="shared" si="164"/>
        <v>0</v>
      </c>
      <c r="F252" s="337">
        <f t="shared" si="157"/>
        <v>2.2799999999999998</v>
      </c>
      <c r="G252" s="337">
        <f t="shared" si="158"/>
        <v>2.38</v>
      </c>
      <c r="H252" s="337">
        <f t="shared" si="152"/>
        <v>0</v>
      </c>
      <c r="I252" s="337">
        <f t="shared" si="159"/>
        <v>0</v>
      </c>
      <c r="J252" s="338">
        <f t="shared" si="160"/>
        <v>0</v>
      </c>
      <c r="K252" s="337">
        <f t="shared" si="153"/>
        <v>0</v>
      </c>
      <c r="L252" s="337">
        <f t="shared" si="161"/>
        <v>0</v>
      </c>
      <c r="M252" s="337">
        <f t="shared" si="154"/>
        <v>0</v>
      </c>
      <c r="N252" s="337">
        <f t="shared" si="162"/>
        <v>0</v>
      </c>
      <c r="O252" s="337">
        <f t="shared" si="163"/>
        <v>0</v>
      </c>
      <c r="P252" s="337"/>
      <c r="Q252" s="337"/>
      <c r="R252" s="337">
        <f t="shared" si="155"/>
        <v>0</v>
      </c>
      <c r="S252" s="410">
        <f t="shared" si="156"/>
        <v>0</v>
      </c>
      <c r="T252" s="339"/>
    </row>
    <row r="253" spans="1:20" s="327" customFormat="1" ht="45" hidden="1" customHeight="1">
      <c r="A253" s="334">
        <f t="shared" si="150"/>
        <v>20</v>
      </c>
      <c r="B253" s="346" t="str">
        <f t="shared" si="151"/>
        <v>PASS PRINCIPAL</v>
      </c>
      <c r="C253" s="340">
        <v>1</v>
      </c>
      <c r="D253" s="337"/>
      <c r="E253" s="337">
        <f t="shared" si="164"/>
        <v>0</v>
      </c>
      <c r="F253" s="337">
        <f t="shared" si="157"/>
        <v>2.2799999999999998</v>
      </c>
      <c r="G253" s="337">
        <f t="shared" si="158"/>
        <v>2.38</v>
      </c>
      <c r="H253" s="337">
        <f t="shared" si="152"/>
        <v>0</v>
      </c>
      <c r="I253" s="337">
        <f t="shared" si="159"/>
        <v>0</v>
      </c>
      <c r="J253" s="338">
        <f t="shared" si="160"/>
        <v>0</v>
      </c>
      <c r="K253" s="337">
        <f t="shared" si="153"/>
        <v>0</v>
      </c>
      <c r="L253" s="337">
        <f t="shared" si="161"/>
        <v>0</v>
      </c>
      <c r="M253" s="337">
        <f t="shared" si="154"/>
        <v>0</v>
      </c>
      <c r="N253" s="337">
        <f t="shared" si="162"/>
        <v>0</v>
      </c>
      <c r="O253" s="337">
        <f t="shared" si="163"/>
        <v>0</v>
      </c>
      <c r="P253" s="337"/>
      <c r="Q253" s="337"/>
      <c r="R253" s="337">
        <f t="shared" si="155"/>
        <v>0</v>
      </c>
      <c r="S253" s="410">
        <f t="shared" si="156"/>
        <v>0</v>
      </c>
      <c r="T253" s="339"/>
    </row>
    <row r="254" spans="1:20" s="327" customFormat="1" ht="45" hidden="1" customHeight="1">
      <c r="A254" s="334">
        <f t="shared" si="150"/>
        <v>21</v>
      </c>
      <c r="B254" s="346" t="str">
        <f t="shared" si="151"/>
        <v>PASSAGEM BACELAR</v>
      </c>
      <c r="C254" s="340">
        <v>1</v>
      </c>
      <c r="D254" s="337"/>
      <c r="E254" s="337">
        <f t="shared" si="164"/>
        <v>0</v>
      </c>
      <c r="F254" s="337">
        <f t="shared" si="157"/>
        <v>2.2799999999999998</v>
      </c>
      <c r="G254" s="337">
        <f t="shared" si="158"/>
        <v>2.38</v>
      </c>
      <c r="H254" s="337">
        <f t="shared" si="152"/>
        <v>0</v>
      </c>
      <c r="I254" s="337">
        <f t="shared" si="159"/>
        <v>0</v>
      </c>
      <c r="J254" s="338">
        <f t="shared" si="160"/>
        <v>0</v>
      </c>
      <c r="K254" s="337">
        <f t="shared" si="153"/>
        <v>0</v>
      </c>
      <c r="L254" s="337">
        <f t="shared" si="161"/>
        <v>0</v>
      </c>
      <c r="M254" s="337">
        <f t="shared" si="154"/>
        <v>0</v>
      </c>
      <c r="N254" s="337">
        <f t="shared" si="162"/>
        <v>0</v>
      </c>
      <c r="O254" s="337">
        <f t="shared" si="163"/>
        <v>0</v>
      </c>
      <c r="P254" s="337"/>
      <c r="Q254" s="337"/>
      <c r="R254" s="337">
        <f t="shared" si="155"/>
        <v>0</v>
      </c>
      <c r="S254" s="410">
        <f t="shared" si="156"/>
        <v>0</v>
      </c>
      <c r="T254" s="339"/>
    </row>
    <row r="255" spans="1:20" s="327" customFormat="1" ht="45" hidden="1" customHeight="1">
      <c r="A255" s="334">
        <f t="shared" si="150"/>
        <v>22</v>
      </c>
      <c r="B255" s="346" t="str">
        <f t="shared" si="151"/>
        <v>PASS DEUS TEM PODER</v>
      </c>
      <c r="C255" s="340">
        <v>1</v>
      </c>
      <c r="D255" s="337"/>
      <c r="E255" s="337">
        <f t="shared" ref="E255:E265" si="165">C255*D255</f>
        <v>0</v>
      </c>
      <c r="F255" s="337">
        <f t="shared" si="157"/>
        <v>2.2799999999999998</v>
      </c>
      <c r="G255" s="337">
        <f t="shared" ref="G255:G265" si="166">((1.78+0.6)+((1.78+0.6)+(E255*0.5%)))/2</f>
        <v>2.38</v>
      </c>
      <c r="H255" s="337">
        <f t="shared" ref="H255:H265" si="167">E255*F255*G255</f>
        <v>0</v>
      </c>
      <c r="I255" s="337">
        <f t="shared" ref="I255:I265" si="168">M255</f>
        <v>0</v>
      </c>
      <c r="J255" s="338">
        <f t="shared" ref="J255:J265" si="169">I255*1.25*$J$19</f>
        <v>0</v>
      </c>
      <c r="K255" s="337">
        <f t="shared" ref="K255:K265" si="170">E255*F255</f>
        <v>0</v>
      </c>
      <c r="L255" s="337">
        <f t="shared" ref="L255:L265" si="171">K255</f>
        <v>0</v>
      </c>
      <c r="M255" s="337">
        <f t="shared" ref="M255:M265" si="172">(3.14*0.75^2)*E255</f>
        <v>0</v>
      </c>
      <c r="N255" s="337">
        <f t="shared" ref="N255:N265" si="173">(H255-M255)*70%</f>
        <v>0</v>
      </c>
      <c r="O255" s="337">
        <f t="shared" ref="O255:O265" si="174">(H255-M255)*30%</f>
        <v>0</v>
      </c>
      <c r="P255" s="337"/>
      <c r="Q255" s="337"/>
      <c r="R255" s="337">
        <f t="shared" ref="R255:R265" si="175">IF(G255&gt;1.5,D255*G255*2,)</f>
        <v>0</v>
      </c>
      <c r="S255" s="410">
        <f t="shared" ref="S255:S265" si="176">E255</f>
        <v>0</v>
      </c>
      <c r="T255" s="339"/>
    </row>
    <row r="256" spans="1:20" s="327" customFormat="1" ht="45" hidden="1" customHeight="1">
      <c r="A256" s="334">
        <f t="shared" si="150"/>
        <v>23</v>
      </c>
      <c r="B256" s="346" t="str">
        <f t="shared" si="151"/>
        <v>PASS UNIÃO</v>
      </c>
      <c r="C256" s="340">
        <v>1</v>
      </c>
      <c r="D256" s="337"/>
      <c r="E256" s="337">
        <f t="shared" si="165"/>
        <v>0</v>
      </c>
      <c r="F256" s="337">
        <f t="shared" si="157"/>
        <v>2.2799999999999998</v>
      </c>
      <c r="G256" s="337">
        <f t="shared" si="166"/>
        <v>2.38</v>
      </c>
      <c r="H256" s="337">
        <f t="shared" si="167"/>
        <v>0</v>
      </c>
      <c r="I256" s="337">
        <f t="shared" si="168"/>
        <v>0</v>
      </c>
      <c r="J256" s="338">
        <f t="shared" si="169"/>
        <v>0</v>
      </c>
      <c r="K256" s="337">
        <f t="shared" si="170"/>
        <v>0</v>
      </c>
      <c r="L256" s="337">
        <f t="shared" si="171"/>
        <v>0</v>
      </c>
      <c r="M256" s="337">
        <f t="shared" si="172"/>
        <v>0</v>
      </c>
      <c r="N256" s="337">
        <f t="shared" si="173"/>
        <v>0</v>
      </c>
      <c r="O256" s="337">
        <f t="shared" si="174"/>
        <v>0</v>
      </c>
      <c r="P256" s="337"/>
      <c r="Q256" s="337"/>
      <c r="R256" s="337">
        <f t="shared" si="175"/>
        <v>0</v>
      </c>
      <c r="S256" s="410">
        <f t="shared" si="176"/>
        <v>0</v>
      </c>
      <c r="T256" s="339"/>
    </row>
    <row r="257" spans="1:25" s="327" customFormat="1" ht="45" hidden="1" customHeight="1">
      <c r="A257" s="334">
        <f t="shared" si="150"/>
        <v>24</v>
      </c>
      <c r="B257" s="346" t="str">
        <f t="shared" si="151"/>
        <v>PASS SÃO JORGE</v>
      </c>
      <c r="C257" s="340">
        <v>1</v>
      </c>
      <c r="D257" s="337"/>
      <c r="E257" s="337">
        <f t="shared" si="165"/>
        <v>0</v>
      </c>
      <c r="F257" s="337">
        <f t="shared" si="157"/>
        <v>2.2799999999999998</v>
      </c>
      <c r="G257" s="337">
        <f t="shared" si="166"/>
        <v>2.38</v>
      </c>
      <c r="H257" s="337">
        <f t="shared" si="167"/>
        <v>0</v>
      </c>
      <c r="I257" s="337">
        <f t="shared" si="168"/>
        <v>0</v>
      </c>
      <c r="J257" s="338">
        <f t="shared" si="169"/>
        <v>0</v>
      </c>
      <c r="K257" s="337">
        <f t="shared" si="170"/>
        <v>0</v>
      </c>
      <c r="L257" s="337">
        <f t="shared" si="171"/>
        <v>0</v>
      </c>
      <c r="M257" s="337">
        <f t="shared" si="172"/>
        <v>0</v>
      </c>
      <c r="N257" s="337">
        <f t="shared" si="173"/>
        <v>0</v>
      </c>
      <c r="O257" s="337">
        <f t="shared" si="174"/>
        <v>0</v>
      </c>
      <c r="P257" s="337"/>
      <c r="Q257" s="337"/>
      <c r="R257" s="337">
        <f t="shared" si="175"/>
        <v>0</v>
      </c>
      <c r="S257" s="410">
        <f t="shared" si="176"/>
        <v>0</v>
      </c>
      <c r="T257" s="339"/>
    </row>
    <row r="258" spans="1:25" s="327" customFormat="1" ht="45" hidden="1" customHeight="1">
      <c r="A258" s="334">
        <f t="shared" si="150"/>
        <v>25</v>
      </c>
      <c r="B258" s="346" t="str">
        <f t="shared" si="151"/>
        <v>PASS AIRTON SENA</v>
      </c>
      <c r="C258" s="340">
        <v>1</v>
      </c>
      <c r="D258" s="337"/>
      <c r="E258" s="337">
        <f t="shared" si="165"/>
        <v>0</v>
      </c>
      <c r="F258" s="337">
        <f t="shared" si="157"/>
        <v>2.2799999999999998</v>
      </c>
      <c r="G258" s="337">
        <f t="shared" si="166"/>
        <v>2.38</v>
      </c>
      <c r="H258" s="337">
        <f t="shared" si="167"/>
        <v>0</v>
      </c>
      <c r="I258" s="337">
        <f t="shared" si="168"/>
        <v>0</v>
      </c>
      <c r="J258" s="338">
        <f t="shared" si="169"/>
        <v>0</v>
      </c>
      <c r="K258" s="337">
        <f t="shared" si="170"/>
        <v>0</v>
      </c>
      <c r="L258" s="337">
        <f t="shared" si="171"/>
        <v>0</v>
      </c>
      <c r="M258" s="337">
        <f t="shared" si="172"/>
        <v>0</v>
      </c>
      <c r="N258" s="337">
        <f t="shared" si="173"/>
        <v>0</v>
      </c>
      <c r="O258" s="337">
        <f t="shared" si="174"/>
        <v>0</v>
      </c>
      <c r="P258" s="337"/>
      <c r="Q258" s="337"/>
      <c r="R258" s="337">
        <f t="shared" si="175"/>
        <v>0</v>
      </c>
      <c r="S258" s="410">
        <f t="shared" si="176"/>
        <v>0</v>
      </c>
      <c r="T258" s="339"/>
    </row>
    <row r="259" spans="1:25" s="327" customFormat="1" ht="45" hidden="1" customHeight="1">
      <c r="A259" s="334">
        <f t="shared" si="150"/>
        <v>26</v>
      </c>
      <c r="B259" s="346" t="str">
        <f t="shared" si="151"/>
        <v>RUA AMINTAS PINHEIRO</v>
      </c>
      <c r="C259" s="340">
        <v>1</v>
      </c>
      <c r="D259" s="337"/>
      <c r="E259" s="337">
        <f t="shared" si="165"/>
        <v>0</v>
      </c>
      <c r="F259" s="337">
        <f t="shared" si="157"/>
        <v>2.2799999999999998</v>
      </c>
      <c r="G259" s="337">
        <f t="shared" si="166"/>
        <v>2.38</v>
      </c>
      <c r="H259" s="337">
        <f t="shared" si="167"/>
        <v>0</v>
      </c>
      <c r="I259" s="337">
        <f t="shared" si="168"/>
        <v>0</v>
      </c>
      <c r="J259" s="338">
        <f t="shared" si="169"/>
        <v>0</v>
      </c>
      <c r="K259" s="337">
        <f t="shared" si="170"/>
        <v>0</v>
      </c>
      <c r="L259" s="337">
        <f t="shared" si="171"/>
        <v>0</v>
      </c>
      <c r="M259" s="337">
        <f t="shared" si="172"/>
        <v>0</v>
      </c>
      <c r="N259" s="337">
        <f t="shared" si="173"/>
        <v>0</v>
      </c>
      <c r="O259" s="337">
        <f t="shared" si="174"/>
        <v>0</v>
      </c>
      <c r="P259" s="337"/>
      <c r="Q259" s="337"/>
      <c r="R259" s="337">
        <f t="shared" si="175"/>
        <v>0</v>
      </c>
      <c r="S259" s="410">
        <f t="shared" si="176"/>
        <v>0</v>
      </c>
      <c r="T259" s="339"/>
    </row>
    <row r="260" spans="1:25" s="327" customFormat="1" ht="45" hidden="1" customHeight="1">
      <c r="A260" s="334">
        <f t="shared" si="150"/>
        <v>27</v>
      </c>
      <c r="B260" s="346" t="str">
        <f t="shared" si="151"/>
        <v>PASS PRINC ISABEL</v>
      </c>
      <c r="C260" s="340">
        <v>1</v>
      </c>
      <c r="D260" s="337"/>
      <c r="E260" s="337">
        <f t="shared" si="165"/>
        <v>0</v>
      </c>
      <c r="F260" s="337">
        <f t="shared" si="157"/>
        <v>2.2799999999999998</v>
      </c>
      <c r="G260" s="337">
        <f t="shared" si="166"/>
        <v>2.38</v>
      </c>
      <c r="H260" s="337">
        <f t="shared" si="167"/>
        <v>0</v>
      </c>
      <c r="I260" s="337">
        <f t="shared" si="168"/>
        <v>0</v>
      </c>
      <c r="J260" s="338">
        <f t="shared" si="169"/>
        <v>0</v>
      </c>
      <c r="K260" s="337">
        <f t="shared" si="170"/>
        <v>0</v>
      </c>
      <c r="L260" s="337">
        <f t="shared" si="171"/>
        <v>0</v>
      </c>
      <c r="M260" s="337">
        <f t="shared" si="172"/>
        <v>0</v>
      </c>
      <c r="N260" s="337">
        <f t="shared" si="173"/>
        <v>0</v>
      </c>
      <c r="O260" s="337">
        <f t="shared" si="174"/>
        <v>0</v>
      </c>
      <c r="P260" s="337"/>
      <c r="Q260" s="337"/>
      <c r="R260" s="337">
        <f t="shared" si="175"/>
        <v>0</v>
      </c>
      <c r="S260" s="410">
        <f t="shared" si="176"/>
        <v>0</v>
      </c>
      <c r="T260" s="339"/>
    </row>
    <row r="261" spans="1:25" s="327" customFormat="1" ht="45" hidden="1" customHeight="1">
      <c r="A261" s="334">
        <f t="shared" si="150"/>
        <v>28</v>
      </c>
      <c r="B261" s="346" t="str">
        <f t="shared" si="151"/>
        <v>PASS SANTA CLARA</v>
      </c>
      <c r="C261" s="340">
        <v>1</v>
      </c>
      <c r="D261" s="337"/>
      <c r="E261" s="337">
        <f t="shared" si="165"/>
        <v>0</v>
      </c>
      <c r="F261" s="337">
        <f t="shared" si="157"/>
        <v>2.2799999999999998</v>
      </c>
      <c r="G261" s="337">
        <f t="shared" si="166"/>
        <v>2.38</v>
      </c>
      <c r="H261" s="337">
        <f t="shared" si="167"/>
        <v>0</v>
      </c>
      <c r="I261" s="337">
        <f t="shared" si="168"/>
        <v>0</v>
      </c>
      <c r="J261" s="338">
        <f t="shared" si="169"/>
        <v>0</v>
      </c>
      <c r="K261" s="337">
        <f t="shared" si="170"/>
        <v>0</v>
      </c>
      <c r="L261" s="337">
        <f t="shared" si="171"/>
        <v>0</v>
      </c>
      <c r="M261" s="337">
        <f t="shared" si="172"/>
        <v>0</v>
      </c>
      <c r="N261" s="337">
        <f t="shared" si="173"/>
        <v>0</v>
      </c>
      <c r="O261" s="337">
        <f t="shared" si="174"/>
        <v>0</v>
      </c>
      <c r="P261" s="337"/>
      <c r="Q261" s="337"/>
      <c r="R261" s="337">
        <f t="shared" si="175"/>
        <v>0</v>
      </c>
      <c r="S261" s="410">
        <f t="shared" si="176"/>
        <v>0</v>
      </c>
      <c r="T261" s="339"/>
    </row>
    <row r="262" spans="1:25" s="327" customFormat="1" ht="45" hidden="1" customHeight="1">
      <c r="A262" s="334">
        <f t="shared" si="150"/>
        <v>29</v>
      </c>
      <c r="B262" s="346" t="str">
        <f t="shared" si="151"/>
        <v>PASS AIRTON SENA 1</v>
      </c>
      <c r="C262" s="340">
        <v>1</v>
      </c>
      <c r="D262" s="337"/>
      <c r="E262" s="337">
        <f t="shared" si="165"/>
        <v>0</v>
      </c>
      <c r="F262" s="337">
        <f t="shared" si="157"/>
        <v>2.2799999999999998</v>
      </c>
      <c r="G262" s="337">
        <f t="shared" si="166"/>
        <v>2.38</v>
      </c>
      <c r="H262" s="337">
        <f t="shared" si="167"/>
        <v>0</v>
      </c>
      <c r="I262" s="337">
        <f t="shared" si="168"/>
        <v>0</v>
      </c>
      <c r="J262" s="338">
        <f t="shared" si="169"/>
        <v>0</v>
      </c>
      <c r="K262" s="337">
        <f t="shared" si="170"/>
        <v>0</v>
      </c>
      <c r="L262" s="337">
        <f t="shared" si="171"/>
        <v>0</v>
      </c>
      <c r="M262" s="337">
        <f t="shared" si="172"/>
        <v>0</v>
      </c>
      <c r="N262" s="337">
        <f t="shared" si="173"/>
        <v>0</v>
      </c>
      <c r="O262" s="337">
        <f t="shared" si="174"/>
        <v>0</v>
      </c>
      <c r="P262" s="337"/>
      <c r="Q262" s="337"/>
      <c r="R262" s="337">
        <f t="shared" si="175"/>
        <v>0</v>
      </c>
      <c r="S262" s="410">
        <f t="shared" si="176"/>
        <v>0</v>
      </c>
      <c r="T262" s="339"/>
    </row>
    <row r="263" spans="1:25" s="327" customFormat="1" ht="45" hidden="1" customHeight="1">
      <c r="A263" s="334">
        <f t="shared" si="150"/>
        <v>30</v>
      </c>
      <c r="B263" s="346" t="str">
        <f t="shared" si="151"/>
        <v>PASS TIM LOPES</v>
      </c>
      <c r="C263" s="340">
        <v>1</v>
      </c>
      <c r="D263" s="337"/>
      <c r="E263" s="337">
        <f t="shared" si="165"/>
        <v>0</v>
      </c>
      <c r="F263" s="337">
        <f t="shared" si="157"/>
        <v>2.2799999999999998</v>
      </c>
      <c r="G263" s="337">
        <f t="shared" si="166"/>
        <v>2.38</v>
      </c>
      <c r="H263" s="337">
        <f t="shared" si="167"/>
        <v>0</v>
      </c>
      <c r="I263" s="337">
        <f t="shared" si="168"/>
        <v>0</v>
      </c>
      <c r="J263" s="338">
        <f t="shared" si="169"/>
        <v>0</v>
      </c>
      <c r="K263" s="337">
        <f t="shared" si="170"/>
        <v>0</v>
      </c>
      <c r="L263" s="337">
        <f t="shared" si="171"/>
        <v>0</v>
      </c>
      <c r="M263" s="337">
        <f t="shared" si="172"/>
        <v>0</v>
      </c>
      <c r="N263" s="337">
        <f t="shared" si="173"/>
        <v>0</v>
      </c>
      <c r="O263" s="337">
        <f t="shared" si="174"/>
        <v>0</v>
      </c>
      <c r="P263" s="337"/>
      <c r="Q263" s="337"/>
      <c r="R263" s="337">
        <f t="shared" si="175"/>
        <v>0</v>
      </c>
      <c r="S263" s="410">
        <f t="shared" si="176"/>
        <v>0</v>
      </c>
      <c r="T263" s="339"/>
    </row>
    <row r="264" spans="1:25" s="327" customFormat="1" ht="45" hidden="1" customHeight="1">
      <c r="A264" s="334"/>
      <c r="B264" s="346"/>
      <c r="C264" s="340">
        <v>1</v>
      </c>
      <c r="D264" s="337"/>
      <c r="E264" s="337">
        <f t="shared" si="165"/>
        <v>0</v>
      </c>
      <c r="F264" s="337">
        <f t="shared" si="157"/>
        <v>2.2799999999999998</v>
      </c>
      <c r="G264" s="337">
        <f t="shared" si="166"/>
        <v>2.38</v>
      </c>
      <c r="H264" s="337">
        <f t="shared" si="167"/>
        <v>0</v>
      </c>
      <c r="I264" s="337">
        <f t="shared" si="168"/>
        <v>0</v>
      </c>
      <c r="J264" s="338">
        <f t="shared" si="169"/>
        <v>0</v>
      </c>
      <c r="K264" s="337">
        <f t="shared" si="170"/>
        <v>0</v>
      </c>
      <c r="L264" s="337">
        <f t="shared" si="171"/>
        <v>0</v>
      </c>
      <c r="M264" s="337">
        <f t="shared" si="172"/>
        <v>0</v>
      </c>
      <c r="N264" s="337">
        <f t="shared" si="173"/>
        <v>0</v>
      </c>
      <c r="O264" s="337">
        <f t="shared" si="174"/>
        <v>0</v>
      </c>
      <c r="P264" s="337"/>
      <c r="Q264" s="337"/>
      <c r="R264" s="337">
        <f t="shared" si="175"/>
        <v>0</v>
      </c>
      <c r="S264" s="410">
        <f t="shared" si="176"/>
        <v>0</v>
      </c>
      <c r="T264" s="339"/>
    </row>
    <row r="265" spans="1:25" s="327" customFormat="1" ht="45" hidden="1" customHeight="1">
      <c r="A265" s="334"/>
      <c r="B265" s="346"/>
      <c r="C265" s="340">
        <v>1</v>
      </c>
      <c r="D265" s="337"/>
      <c r="E265" s="337">
        <f t="shared" si="165"/>
        <v>0</v>
      </c>
      <c r="F265" s="337">
        <f t="shared" si="157"/>
        <v>2.2799999999999998</v>
      </c>
      <c r="G265" s="337">
        <f t="shared" si="166"/>
        <v>2.38</v>
      </c>
      <c r="H265" s="337">
        <f t="shared" si="167"/>
        <v>0</v>
      </c>
      <c r="I265" s="337">
        <f t="shared" si="168"/>
        <v>0</v>
      </c>
      <c r="J265" s="338">
        <f t="shared" si="169"/>
        <v>0</v>
      </c>
      <c r="K265" s="337">
        <f t="shared" si="170"/>
        <v>0</v>
      </c>
      <c r="L265" s="337">
        <f t="shared" si="171"/>
        <v>0</v>
      </c>
      <c r="M265" s="337">
        <f t="shared" si="172"/>
        <v>0</v>
      </c>
      <c r="N265" s="337">
        <f t="shared" si="173"/>
        <v>0</v>
      </c>
      <c r="O265" s="337">
        <f t="shared" si="174"/>
        <v>0</v>
      </c>
      <c r="P265" s="337"/>
      <c r="Q265" s="337"/>
      <c r="R265" s="337">
        <f t="shared" si="175"/>
        <v>0</v>
      </c>
      <c r="S265" s="410">
        <f t="shared" si="176"/>
        <v>0</v>
      </c>
      <c r="T265" s="339"/>
    </row>
    <row r="266" spans="1:25" s="327" customFormat="1" ht="45" hidden="1" customHeight="1">
      <c r="A266" s="334"/>
      <c r="B266" s="346"/>
      <c r="C266" s="340">
        <v>1</v>
      </c>
      <c r="D266" s="337"/>
      <c r="E266" s="337">
        <f t="shared" si="164"/>
        <v>0</v>
      </c>
      <c r="F266" s="337">
        <f t="shared" si="157"/>
        <v>2.2799999999999998</v>
      </c>
      <c r="G266" s="337">
        <f t="shared" si="158"/>
        <v>2.38</v>
      </c>
      <c r="H266" s="337">
        <f t="shared" si="152"/>
        <v>0</v>
      </c>
      <c r="I266" s="337">
        <f t="shared" si="159"/>
        <v>0</v>
      </c>
      <c r="J266" s="338">
        <f t="shared" si="160"/>
        <v>0</v>
      </c>
      <c r="K266" s="337">
        <f t="shared" si="153"/>
        <v>0</v>
      </c>
      <c r="L266" s="337">
        <f t="shared" si="161"/>
        <v>0</v>
      </c>
      <c r="M266" s="337">
        <f t="shared" si="154"/>
        <v>0</v>
      </c>
      <c r="N266" s="337">
        <f t="shared" si="162"/>
        <v>0</v>
      </c>
      <c r="O266" s="337">
        <f t="shared" si="163"/>
        <v>0</v>
      </c>
      <c r="P266" s="337"/>
      <c r="Q266" s="337"/>
      <c r="R266" s="337">
        <f t="shared" si="155"/>
        <v>0</v>
      </c>
      <c r="S266" s="410">
        <f t="shared" si="156"/>
        <v>0</v>
      </c>
      <c r="T266" s="339"/>
    </row>
    <row r="267" spans="1:25" s="327" customFormat="1" ht="45" hidden="1" customHeight="1">
      <c r="A267" s="334"/>
      <c r="B267" s="346"/>
      <c r="C267" s="347">
        <v>1</v>
      </c>
      <c r="D267" s="337"/>
      <c r="E267" s="348">
        <f t="shared" si="164"/>
        <v>0</v>
      </c>
      <c r="F267" s="337">
        <f t="shared" si="157"/>
        <v>2.2799999999999998</v>
      </c>
      <c r="G267" s="337">
        <f t="shared" si="158"/>
        <v>2.38</v>
      </c>
      <c r="H267" s="337">
        <f t="shared" si="152"/>
        <v>0</v>
      </c>
      <c r="I267" s="337">
        <f t="shared" si="159"/>
        <v>0</v>
      </c>
      <c r="J267" s="338">
        <f t="shared" si="160"/>
        <v>0</v>
      </c>
      <c r="K267" s="337">
        <f t="shared" si="153"/>
        <v>0</v>
      </c>
      <c r="L267" s="337">
        <f t="shared" si="161"/>
        <v>0</v>
      </c>
      <c r="M267" s="337">
        <f t="shared" si="154"/>
        <v>0</v>
      </c>
      <c r="N267" s="337">
        <f t="shared" si="162"/>
        <v>0</v>
      </c>
      <c r="O267" s="337">
        <f t="shared" si="163"/>
        <v>0</v>
      </c>
      <c r="P267" s="337"/>
      <c r="Q267" s="337"/>
      <c r="R267" s="337">
        <f t="shared" si="155"/>
        <v>0</v>
      </c>
      <c r="S267" s="410">
        <f t="shared" si="156"/>
        <v>0</v>
      </c>
      <c r="T267" s="339"/>
    </row>
    <row r="268" spans="1:25" s="327" customFormat="1" ht="45" hidden="1" customHeight="1">
      <c r="A268" s="1625" t="s">
        <v>21</v>
      </c>
      <c r="B268" s="1626"/>
      <c r="C268" s="341"/>
      <c r="D268" s="341"/>
      <c r="E268" s="341">
        <f>SUM(E237:E267)</f>
        <v>0</v>
      </c>
      <c r="F268" s="341"/>
      <c r="G268" s="341"/>
      <c r="H268" s="341">
        <f>SUM(H237:H267)</f>
        <v>0</v>
      </c>
      <c r="I268" s="341">
        <f t="shared" ref="I268:S268" si="177">SUM(I237:I267)</f>
        <v>0</v>
      </c>
      <c r="J268" s="341">
        <f t="shared" si="177"/>
        <v>0</v>
      </c>
      <c r="K268" s="341">
        <f t="shared" si="177"/>
        <v>0</v>
      </c>
      <c r="L268" s="341">
        <f t="shared" si="177"/>
        <v>0</v>
      </c>
      <c r="M268" s="341">
        <f t="shared" si="177"/>
        <v>0</v>
      </c>
      <c r="N268" s="341">
        <f t="shared" si="177"/>
        <v>0</v>
      </c>
      <c r="O268" s="341">
        <f t="shared" si="177"/>
        <v>0</v>
      </c>
      <c r="P268" s="341">
        <f t="shared" si="177"/>
        <v>0</v>
      </c>
      <c r="Q268" s="341">
        <f t="shared" si="177"/>
        <v>0</v>
      </c>
      <c r="R268" s="341">
        <f t="shared" si="177"/>
        <v>0</v>
      </c>
      <c r="S268" s="341">
        <f t="shared" si="177"/>
        <v>0</v>
      </c>
      <c r="T268" s="342"/>
    </row>
    <row r="269" spans="1:25" s="327" customFormat="1" ht="45" customHeight="1">
      <c r="C269" s="345"/>
      <c r="D269" s="345"/>
      <c r="E269" s="345"/>
      <c r="F269" s="345"/>
      <c r="G269" s="345"/>
    </row>
    <row r="270" spans="1:25" s="327" customFormat="1" ht="45" customHeight="1">
      <c r="A270" s="1665" t="s">
        <v>312</v>
      </c>
      <c r="B270" s="1665"/>
      <c r="C270" s="1665"/>
      <c r="D270" s="1665"/>
      <c r="E270" s="1665"/>
      <c r="F270" s="1288"/>
      <c r="G270" s="1288"/>
      <c r="H270" s="1622" t="s">
        <v>408</v>
      </c>
      <c r="I270" s="1623"/>
      <c r="J270" s="1624"/>
      <c r="K270" s="1289"/>
      <c r="L270" s="1622" t="s">
        <v>688</v>
      </c>
      <c r="M270" s="1623"/>
      <c r="N270" s="1624"/>
      <c r="O270" s="319"/>
      <c r="P270" s="319"/>
      <c r="Q270" s="319"/>
      <c r="R270" s="319"/>
      <c r="S270" s="319"/>
      <c r="T270" s="319"/>
      <c r="U270" s="1666" t="str">
        <f>H270</f>
        <v>TAMPA PARA BOCA DE LOBO</v>
      </c>
      <c r="V270" s="1667"/>
      <c r="X270" s="1666" t="str">
        <f>L270</f>
        <v>RECUPERAÇÃO DE BL</v>
      </c>
      <c r="Y270" s="1667"/>
    </row>
    <row r="271" spans="1:25" ht="50.1" customHeight="1">
      <c r="A271" s="273" t="s">
        <v>6</v>
      </c>
      <c r="B271" s="273" t="s">
        <v>215</v>
      </c>
      <c r="C271" s="1664" t="s">
        <v>217</v>
      </c>
      <c r="D271" s="1664"/>
      <c r="E271" s="1664"/>
      <c r="F271" s="1288"/>
      <c r="G271" s="1288"/>
      <c r="H271" s="273" t="s">
        <v>6</v>
      </c>
      <c r="I271" s="273" t="s">
        <v>215</v>
      </c>
      <c r="J271" s="264" t="s">
        <v>217</v>
      </c>
      <c r="K271" s="1290"/>
      <c r="L271" s="273" t="s">
        <v>6</v>
      </c>
      <c r="M271" s="273" t="s">
        <v>215</v>
      </c>
      <c r="N271" s="264" t="s">
        <v>217</v>
      </c>
      <c r="O271" s="319"/>
      <c r="P271" s="319"/>
      <c r="Q271" s="319"/>
      <c r="R271" s="319"/>
      <c r="S271" s="319"/>
      <c r="T271" s="319"/>
      <c r="U271" s="350" t="s">
        <v>453</v>
      </c>
      <c r="V271" s="350" t="s">
        <v>21</v>
      </c>
      <c r="X271" s="350" t="s">
        <v>453</v>
      </c>
      <c r="Y271" s="350" t="s">
        <v>21</v>
      </c>
    </row>
    <row r="272" spans="1:25" ht="50.1" customHeight="1">
      <c r="A272" s="273">
        <f t="shared" ref="A272:A298" si="178">A20</f>
        <v>1</v>
      </c>
      <c r="B272" s="264" t="str">
        <f t="shared" ref="B272:B298" si="179">B20</f>
        <v>R. DA PUPUNHEIRA</v>
      </c>
      <c r="C272" s="1650">
        <f t="shared" ref="C272:C277" si="180">C20</f>
        <v>0</v>
      </c>
      <c r="D272" s="1651"/>
      <c r="E272" s="1652"/>
      <c r="F272" s="1288"/>
      <c r="G272" s="1288"/>
      <c r="H272" s="273">
        <f t="shared" ref="H272:H291" si="181">A272</f>
        <v>1</v>
      </c>
      <c r="I272" s="264" t="str">
        <f t="shared" ref="I272:I291" si="182">B272</f>
        <v>R. DA PUPUNHEIRA</v>
      </c>
      <c r="J272" s="267">
        <f t="shared" ref="J272:J291" si="183">C272</f>
        <v>0</v>
      </c>
      <c r="K272" s="1291"/>
      <c r="L272" s="273">
        <f>H272</f>
        <v>1</v>
      </c>
      <c r="M272" s="264" t="str">
        <f>I272</f>
        <v>R. DA PUPUNHEIRA</v>
      </c>
      <c r="N272" s="267"/>
      <c r="O272" s="319"/>
      <c r="P272" s="319"/>
      <c r="Q272" s="319"/>
      <c r="R272" s="319"/>
      <c r="S272" s="319"/>
      <c r="T272" s="319"/>
      <c r="U272" s="352">
        <f>ORÇAMENTO!$J$108</f>
        <v>128.85</v>
      </c>
      <c r="V272" s="352">
        <f t="shared" ref="V272:V309" si="184">J272*U272</f>
        <v>0</v>
      </c>
      <c r="X272" s="352">
        <f>ORÇAMENTO!$J$108</f>
        <v>128.85</v>
      </c>
      <c r="Y272" s="352">
        <f t="shared" ref="Y272:Y309" si="185">N272*X272</f>
        <v>0</v>
      </c>
    </row>
    <row r="273" spans="1:25" ht="50.1" customHeight="1">
      <c r="A273" s="273">
        <f t="shared" si="178"/>
        <v>2</v>
      </c>
      <c r="B273" s="264" t="str">
        <f t="shared" si="179"/>
        <v>R. TANGERINA</v>
      </c>
      <c r="C273" s="1650">
        <f t="shared" si="180"/>
        <v>0</v>
      </c>
      <c r="D273" s="1651"/>
      <c r="E273" s="1652"/>
      <c r="F273" s="1288"/>
      <c r="G273" s="1288"/>
      <c r="H273" s="273">
        <f t="shared" si="181"/>
        <v>2</v>
      </c>
      <c r="I273" s="264" t="str">
        <f t="shared" si="182"/>
        <v>R. TANGERINA</v>
      </c>
      <c r="J273" s="267">
        <f t="shared" si="183"/>
        <v>0</v>
      </c>
      <c r="K273" s="1291"/>
      <c r="L273" s="273">
        <f t="shared" ref="L273:M288" si="186">H273</f>
        <v>2</v>
      </c>
      <c r="M273" s="264" t="str">
        <f t="shared" si="186"/>
        <v>R. TANGERINA</v>
      </c>
      <c r="N273" s="267"/>
      <c r="O273" s="319"/>
      <c r="P273" s="319"/>
      <c r="Q273" s="319"/>
      <c r="R273" s="319"/>
      <c r="S273" s="319"/>
      <c r="T273" s="319"/>
      <c r="U273" s="352">
        <f>ORÇAMENTO!$J$108</f>
        <v>128.85</v>
      </c>
      <c r="V273" s="352">
        <f t="shared" si="184"/>
        <v>0</v>
      </c>
      <c r="X273" s="352">
        <f>ORÇAMENTO!$J$108</f>
        <v>128.85</v>
      </c>
      <c r="Y273" s="352">
        <f t="shared" si="185"/>
        <v>0</v>
      </c>
    </row>
    <row r="274" spans="1:25" ht="50.1" customHeight="1">
      <c r="A274" s="273">
        <f t="shared" si="178"/>
        <v>3</v>
      </c>
      <c r="B274" s="264" t="str">
        <f t="shared" si="179"/>
        <v>PASS. LARANJEIRA</v>
      </c>
      <c r="C274" s="1650">
        <f t="shared" si="180"/>
        <v>0</v>
      </c>
      <c r="D274" s="1651"/>
      <c r="E274" s="1652"/>
      <c r="F274" s="1288"/>
      <c r="G274" s="1288"/>
      <c r="H274" s="273">
        <f t="shared" si="181"/>
        <v>3</v>
      </c>
      <c r="I274" s="264" t="str">
        <f t="shared" si="182"/>
        <v>PASS. LARANJEIRA</v>
      </c>
      <c r="J274" s="267">
        <f t="shared" si="183"/>
        <v>0</v>
      </c>
      <c r="K274" s="1291"/>
      <c r="L274" s="273">
        <f t="shared" si="186"/>
        <v>3</v>
      </c>
      <c r="M274" s="264" t="str">
        <f t="shared" si="186"/>
        <v>PASS. LARANJEIRA</v>
      </c>
      <c r="N274" s="267"/>
      <c r="O274" s="319"/>
      <c r="P274" s="319"/>
      <c r="Q274" s="319"/>
      <c r="R274" s="319"/>
      <c r="S274" s="319"/>
      <c r="T274" s="319"/>
      <c r="U274" s="352">
        <f>ORÇAMENTO!$J$108</f>
        <v>128.85</v>
      </c>
      <c r="V274" s="352">
        <f t="shared" si="184"/>
        <v>0</v>
      </c>
      <c r="X274" s="352">
        <f>ORÇAMENTO!$J$108</f>
        <v>128.85</v>
      </c>
      <c r="Y274" s="352">
        <f t="shared" si="185"/>
        <v>0</v>
      </c>
    </row>
    <row r="275" spans="1:25" ht="50.1" customHeight="1">
      <c r="A275" s="273">
        <f t="shared" si="178"/>
        <v>4</v>
      </c>
      <c r="B275" s="264" t="str">
        <f t="shared" si="179"/>
        <v xml:space="preserve">TV. FÉ EM DEUS </v>
      </c>
      <c r="C275" s="1650">
        <f t="shared" si="180"/>
        <v>0</v>
      </c>
      <c r="D275" s="1651"/>
      <c r="E275" s="1652"/>
      <c r="F275" s="1288"/>
      <c r="G275" s="1288"/>
      <c r="H275" s="273">
        <f t="shared" si="181"/>
        <v>4</v>
      </c>
      <c r="I275" s="264" t="str">
        <f t="shared" si="182"/>
        <v xml:space="preserve">TV. FÉ EM DEUS </v>
      </c>
      <c r="J275" s="267">
        <f t="shared" si="183"/>
        <v>0</v>
      </c>
      <c r="K275" s="1291"/>
      <c r="L275" s="273">
        <f t="shared" si="186"/>
        <v>4</v>
      </c>
      <c r="M275" s="264" t="str">
        <f t="shared" si="186"/>
        <v xml:space="preserve">TV. FÉ EM DEUS </v>
      </c>
      <c r="N275" s="267"/>
      <c r="O275" s="319"/>
      <c r="P275" s="319"/>
      <c r="Q275" s="319"/>
      <c r="R275" s="319"/>
      <c r="S275" s="319"/>
      <c r="T275" s="319"/>
      <c r="U275" s="352">
        <f>ORÇAMENTO!$J$108</f>
        <v>128.85</v>
      </c>
      <c r="V275" s="352">
        <f t="shared" si="184"/>
        <v>0</v>
      </c>
      <c r="X275" s="352">
        <f>ORÇAMENTO!$J$108</f>
        <v>128.85</v>
      </c>
      <c r="Y275" s="352">
        <f t="shared" si="185"/>
        <v>0</v>
      </c>
    </row>
    <row r="276" spans="1:25" ht="50.1" customHeight="1">
      <c r="A276" s="273">
        <f t="shared" si="178"/>
        <v>5</v>
      </c>
      <c r="B276" s="264" t="str">
        <f t="shared" si="179"/>
        <v>RUA PAULO ASSUNÇÃO</v>
      </c>
      <c r="C276" s="1650">
        <f t="shared" si="180"/>
        <v>15</v>
      </c>
      <c r="D276" s="1651"/>
      <c r="E276" s="1652"/>
      <c r="F276" s="1288"/>
      <c r="G276" s="1288"/>
      <c r="H276" s="273">
        <f t="shared" si="181"/>
        <v>5</v>
      </c>
      <c r="I276" s="264" t="str">
        <f t="shared" si="182"/>
        <v>RUA PAULO ASSUNÇÃO</v>
      </c>
      <c r="J276" s="267">
        <f t="shared" si="183"/>
        <v>15</v>
      </c>
      <c r="K276" s="1291"/>
      <c r="L276" s="273">
        <f t="shared" si="186"/>
        <v>5</v>
      </c>
      <c r="M276" s="264" t="str">
        <f t="shared" si="186"/>
        <v>RUA PAULO ASSUNÇÃO</v>
      </c>
      <c r="N276" s="267"/>
      <c r="O276" s="319"/>
      <c r="P276" s="319"/>
      <c r="Q276" s="319"/>
      <c r="R276" s="319"/>
      <c r="S276" s="319"/>
      <c r="T276" s="319"/>
      <c r="U276" s="352">
        <f>ORÇAMENTO!$J$108</f>
        <v>128.85</v>
      </c>
      <c r="V276" s="352">
        <f t="shared" si="184"/>
        <v>1932.75</v>
      </c>
      <c r="X276" s="352">
        <f>ORÇAMENTO!$J$108</f>
        <v>128.85</v>
      </c>
      <c r="Y276" s="352">
        <f t="shared" si="185"/>
        <v>0</v>
      </c>
    </row>
    <row r="277" spans="1:25" ht="50.1" customHeight="1">
      <c r="A277" s="273">
        <f t="shared" si="178"/>
        <v>6</v>
      </c>
      <c r="B277" s="264" t="str">
        <f t="shared" si="179"/>
        <v>PASS PAULO ASSUNÇÃO</v>
      </c>
      <c r="C277" s="1650">
        <f t="shared" si="180"/>
        <v>0</v>
      </c>
      <c r="D277" s="1651"/>
      <c r="E277" s="1652"/>
      <c r="F277" s="1288"/>
      <c r="G277" s="1288"/>
      <c r="H277" s="273">
        <f t="shared" si="181"/>
        <v>6</v>
      </c>
      <c r="I277" s="264" t="str">
        <f t="shared" si="182"/>
        <v>PASS PAULO ASSUNÇÃO</v>
      </c>
      <c r="J277" s="267">
        <f t="shared" si="183"/>
        <v>0</v>
      </c>
      <c r="K277" s="1291"/>
      <c r="L277" s="273">
        <f t="shared" si="186"/>
        <v>6</v>
      </c>
      <c r="M277" s="264" t="str">
        <f t="shared" si="186"/>
        <v>PASS PAULO ASSUNÇÃO</v>
      </c>
      <c r="N277" s="267"/>
      <c r="O277" s="319"/>
      <c r="P277" s="319"/>
      <c r="Q277" s="319"/>
      <c r="R277" s="319"/>
      <c r="S277" s="319"/>
      <c r="T277" s="319"/>
      <c r="U277" s="352">
        <f>ORÇAMENTO!$J$108</f>
        <v>128.85</v>
      </c>
      <c r="V277" s="352">
        <f t="shared" si="184"/>
        <v>0</v>
      </c>
      <c r="X277" s="352">
        <f>ORÇAMENTO!$J$108</f>
        <v>128.85</v>
      </c>
      <c r="Y277" s="352">
        <f t="shared" si="185"/>
        <v>0</v>
      </c>
    </row>
    <row r="278" spans="1:25" ht="50.1" customHeight="1">
      <c r="A278" s="273">
        <f t="shared" si="178"/>
        <v>7</v>
      </c>
      <c r="B278" s="264" t="str">
        <f t="shared" si="179"/>
        <v>RUA DO PISCINÃO</v>
      </c>
      <c r="C278" s="1650">
        <v>15</v>
      </c>
      <c r="D278" s="1651"/>
      <c r="E278" s="1652"/>
      <c r="F278" s="1288"/>
      <c r="G278" s="1288"/>
      <c r="H278" s="273">
        <f t="shared" si="181"/>
        <v>7</v>
      </c>
      <c r="I278" s="264" t="str">
        <f t="shared" si="182"/>
        <v>RUA DO PISCINÃO</v>
      </c>
      <c r="J278" s="267">
        <f t="shared" si="183"/>
        <v>15</v>
      </c>
      <c r="K278" s="1291"/>
      <c r="L278" s="273">
        <f t="shared" si="186"/>
        <v>7</v>
      </c>
      <c r="M278" s="264" t="str">
        <f t="shared" si="186"/>
        <v>RUA DO PISCINÃO</v>
      </c>
      <c r="N278" s="267"/>
      <c r="O278" s="319"/>
      <c r="P278" s="319"/>
      <c r="Q278" s="319"/>
      <c r="R278" s="319"/>
      <c r="S278" s="319"/>
      <c r="T278" s="319"/>
      <c r="U278" s="352">
        <f>ORÇAMENTO!$J$108</f>
        <v>128.85</v>
      </c>
      <c r="V278" s="352">
        <f t="shared" si="184"/>
        <v>1932.75</v>
      </c>
      <c r="X278" s="352">
        <f>ORÇAMENTO!$J$108</f>
        <v>128.85</v>
      </c>
      <c r="Y278" s="352">
        <f t="shared" si="185"/>
        <v>0</v>
      </c>
    </row>
    <row r="279" spans="1:25" ht="50.1" customHeight="1">
      <c r="A279" s="273">
        <f t="shared" si="178"/>
        <v>8</v>
      </c>
      <c r="B279" s="264" t="str">
        <f t="shared" si="179"/>
        <v>TV DEUS PROVERÁ</v>
      </c>
      <c r="C279" s="1650">
        <f t="shared" ref="C279:C309" si="187">C27</f>
        <v>6</v>
      </c>
      <c r="D279" s="1651"/>
      <c r="E279" s="1652"/>
      <c r="F279" s="1288"/>
      <c r="G279" s="1288"/>
      <c r="H279" s="273">
        <f t="shared" si="181"/>
        <v>8</v>
      </c>
      <c r="I279" s="264" t="str">
        <f t="shared" si="182"/>
        <v>TV DEUS PROVERÁ</v>
      </c>
      <c r="J279" s="267">
        <f t="shared" si="183"/>
        <v>6</v>
      </c>
      <c r="K279" s="1291"/>
      <c r="L279" s="273">
        <f t="shared" si="186"/>
        <v>8</v>
      </c>
      <c r="M279" s="264" t="str">
        <f t="shared" si="186"/>
        <v>TV DEUS PROVERÁ</v>
      </c>
      <c r="N279" s="267"/>
      <c r="O279" s="319"/>
      <c r="P279" s="319"/>
      <c r="Q279" s="319"/>
      <c r="R279" s="319"/>
      <c r="S279" s="319"/>
      <c r="T279" s="319"/>
      <c r="U279" s="352">
        <f>ORÇAMENTO!$J$108</f>
        <v>128.85</v>
      </c>
      <c r="V279" s="352">
        <f t="shared" si="184"/>
        <v>773.1</v>
      </c>
      <c r="X279" s="352">
        <f>ORÇAMENTO!$J$108</f>
        <v>128.85</v>
      </c>
      <c r="Y279" s="352">
        <f t="shared" si="185"/>
        <v>0</v>
      </c>
    </row>
    <row r="280" spans="1:25" ht="50.1" customHeight="1">
      <c r="A280" s="273">
        <f t="shared" si="178"/>
        <v>9</v>
      </c>
      <c r="B280" s="264" t="str">
        <f t="shared" si="179"/>
        <v>RUA A</v>
      </c>
      <c r="C280" s="1650">
        <f t="shared" si="187"/>
        <v>0</v>
      </c>
      <c r="D280" s="1651"/>
      <c r="E280" s="1652"/>
      <c r="F280" s="1288"/>
      <c r="G280" s="1288"/>
      <c r="H280" s="273">
        <f t="shared" si="181"/>
        <v>9</v>
      </c>
      <c r="I280" s="264" t="str">
        <f t="shared" si="182"/>
        <v>RUA A</v>
      </c>
      <c r="J280" s="267">
        <f t="shared" si="183"/>
        <v>0</v>
      </c>
      <c r="K280" s="1291"/>
      <c r="L280" s="273">
        <f t="shared" si="186"/>
        <v>9</v>
      </c>
      <c r="M280" s="264" t="str">
        <f t="shared" si="186"/>
        <v>RUA A</v>
      </c>
      <c r="N280" s="267"/>
      <c r="O280" s="319"/>
      <c r="P280" s="319"/>
      <c r="Q280" s="319"/>
      <c r="R280" s="319"/>
      <c r="S280" s="319"/>
      <c r="T280" s="319"/>
      <c r="U280" s="352">
        <f>ORÇAMENTO!$J$108</f>
        <v>128.85</v>
      </c>
      <c r="V280" s="352">
        <f t="shared" si="184"/>
        <v>0</v>
      </c>
      <c r="X280" s="352">
        <f>ORÇAMENTO!$J$108</f>
        <v>128.85</v>
      </c>
      <c r="Y280" s="352">
        <f t="shared" si="185"/>
        <v>0</v>
      </c>
    </row>
    <row r="281" spans="1:25" ht="50.1" customHeight="1">
      <c r="A281" s="273">
        <f t="shared" si="178"/>
        <v>10</v>
      </c>
      <c r="B281" s="264" t="str">
        <f t="shared" si="179"/>
        <v>RUA B</v>
      </c>
      <c r="C281" s="1650">
        <f t="shared" si="187"/>
        <v>0</v>
      </c>
      <c r="D281" s="1651"/>
      <c r="E281" s="1652"/>
      <c r="F281" s="1288"/>
      <c r="G281" s="1288"/>
      <c r="H281" s="273">
        <f t="shared" si="181"/>
        <v>10</v>
      </c>
      <c r="I281" s="264" t="str">
        <f t="shared" si="182"/>
        <v>RUA B</v>
      </c>
      <c r="J281" s="267">
        <f t="shared" si="183"/>
        <v>0</v>
      </c>
      <c r="K281" s="1291"/>
      <c r="L281" s="273">
        <f t="shared" si="186"/>
        <v>10</v>
      </c>
      <c r="M281" s="264" t="str">
        <f t="shared" si="186"/>
        <v>RUA B</v>
      </c>
      <c r="N281" s="267"/>
      <c r="O281" s="319"/>
      <c r="P281" s="319"/>
      <c r="Q281" s="319"/>
      <c r="R281" s="319"/>
      <c r="S281" s="319"/>
      <c r="T281" s="319"/>
      <c r="U281" s="352">
        <f>ORÇAMENTO!$J$108</f>
        <v>128.85</v>
      </c>
      <c r="V281" s="352">
        <f t="shared" si="184"/>
        <v>0</v>
      </c>
      <c r="X281" s="352">
        <f>ORÇAMENTO!$J$108</f>
        <v>128.85</v>
      </c>
      <c r="Y281" s="352">
        <f t="shared" si="185"/>
        <v>0</v>
      </c>
    </row>
    <row r="282" spans="1:25" ht="50.1" customHeight="1">
      <c r="A282" s="273">
        <f t="shared" si="178"/>
        <v>14</v>
      </c>
      <c r="B282" s="264" t="str">
        <f t="shared" si="179"/>
        <v>RUA DAS ORQUIDEAS</v>
      </c>
      <c r="C282" s="1650">
        <f t="shared" si="187"/>
        <v>0</v>
      </c>
      <c r="D282" s="1651"/>
      <c r="E282" s="1652"/>
      <c r="F282" s="1288"/>
      <c r="G282" s="1288"/>
      <c r="H282" s="273">
        <f t="shared" si="181"/>
        <v>14</v>
      </c>
      <c r="I282" s="264" t="str">
        <f t="shared" si="182"/>
        <v>RUA DAS ORQUIDEAS</v>
      </c>
      <c r="J282" s="267">
        <f t="shared" si="183"/>
        <v>0</v>
      </c>
      <c r="K282" s="1291"/>
      <c r="L282" s="273">
        <f t="shared" si="186"/>
        <v>14</v>
      </c>
      <c r="M282" s="264" t="str">
        <f t="shared" si="186"/>
        <v>RUA DAS ORQUIDEAS</v>
      </c>
      <c r="N282" s="267"/>
      <c r="O282" s="319"/>
      <c r="P282" s="319"/>
      <c r="Q282" s="319"/>
      <c r="R282" s="319"/>
      <c r="S282" s="319"/>
      <c r="T282" s="319"/>
      <c r="U282" s="352">
        <f>ORÇAMENTO!$J$108</f>
        <v>128.85</v>
      </c>
      <c r="V282" s="352">
        <f t="shared" si="184"/>
        <v>0</v>
      </c>
      <c r="X282" s="352">
        <f>ORÇAMENTO!$J$108</f>
        <v>128.85</v>
      </c>
      <c r="Y282" s="352">
        <f t="shared" si="185"/>
        <v>0</v>
      </c>
    </row>
    <row r="283" spans="1:25" ht="50.1" customHeight="1">
      <c r="A283" s="273">
        <f t="shared" si="178"/>
        <v>15</v>
      </c>
      <c r="B283" s="264" t="str">
        <f t="shared" si="179"/>
        <v>RUA HUM</v>
      </c>
      <c r="C283" s="1650">
        <f t="shared" si="187"/>
        <v>0</v>
      </c>
      <c r="D283" s="1651"/>
      <c r="E283" s="1652"/>
      <c r="F283" s="1288"/>
      <c r="G283" s="1288"/>
      <c r="H283" s="273">
        <f t="shared" si="181"/>
        <v>15</v>
      </c>
      <c r="I283" s="264" t="str">
        <f t="shared" si="182"/>
        <v>RUA HUM</v>
      </c>
      <c r="J283" s="267">
        <f t="shared" si="183"/>
        <v>0</v>
      </c>
      <c r="K283" s="1291"/>
      <c r="L283" s="273">
        <f t="shared" si="186"/>
        <v>15</v>
      </c>
      <c r="M283" s="264" t="str">
        <f t="shared" si="186"/>
        <v>RUA HUM</v>
      </c>
      <c r="N283" s="267"/>
      <c r="O283" s="319"/>
      <c r="P283" s="319"/>
      <c r="Q283" s="319"/>
      <c r="R283" s="319"/>
      <c r="S283" s="319"/>
      <c r="T283" s="319"/>
      <c r="U283" s="352">
        <f>ORÇAMENTO!$J$108</f>
        <v>128.85</v>
      </c>
      <c r="V283" s="352">
        <f t="shared" si="184"/>
        <v>0</v>
      </c>
      <c r="X283" s="352">
        <f>ORÇAMENTO!$J$108</f>
        <v>128.85</v>
      </c>
      <c r="Y283" s="352">
        <f t="shared" si="185"/>
        <v>0</v>
      </c>
    </row>
    <row r="284" spans="1:25" ht="50.1" customHeight="1">
      <c r="A284" s="273">
        <f t="shared" si="178"/>
        <v>16</v>
      </c>
      <c r="B284" s="264" t="str">
        <f t="shared" si="179"/>
        <v>RUA DOIS</v>
      </c>
      <c r="C284" s="1650">
        <f t="shared" si="187"/>
        <v>0</v>
      </c>
      <c r="D284" s="1651"/>
      <c r="E284" s="1652"/>
      <c r="F284" s="1288"/>
      <c r="G284" s="1288"/>
      <c r="H284" s="273">
        <f t="shared" si="181"/>
        <v>16</v>
      </c>
      <c r="I284" s="264" t="str">
        <f t="shared" si="182"/>
        <v>RUA DOIS</v>
      </c>
      <c r="J284" s="267">
        <f t="shared" si="183"/>
        <v>0</v>
      </c>
      <c r="K284" s="1291"/>
      <c r="L284" s="273">
        <f t="shared" si="186"/>
        <v>16</v>
      </c>
      <c r="M284" s="264" t="str">
        <f t="shared" si="186"/>
        <v>RUA DOIS</v>
      </c>
      <c r="N284" s="267"/>
      <c r="O284" s="319"/>
      <c r="P284" s="319"/>
      <c r="Q284" s="319"/>
      <c r="R284" s="319"/>
      <c r="S284" s="319"/>
      <c r="T284" s="319"/>
      <c r="U284" s="352">
        <f>ORÇAMENTO!$J$108</f>
        <v>128.85</v>
      </c>
      <c r="V284" s="352">
        <f t="shared" si="184"/>
        <v>0</v>
      </c>
      <c r="X284" s="352">
        <f>ORÇAMENTO!$J$108</f>
        <v>128.85</v>
      </c>
      <c r="Y284" s="352">
        <f t="shared" si="185"/>
        <v>0</v>
      </c>
    </row>
    <row r="285" spans="1:25" ht="50.1" customHeight="1">
      <c r="A285" s="273">
        <f t="shared" si="178"/>
        <v>17</v>
      </c>
      <c r="B285" s="264" t="str">
        <f t="shared" si="179"/>
        <v>RUA TRÊS</v>
      </c>
      <c r="C285" s="1650">
        <f t="shared" si="187"/>
        <v>0</v>
      </c>
      <c r="D285" s="1651"/>
      <c r="E285" s="1652"/>
      <c r="F285" s="1288"/>
      <c r="G285" s="1288"/>
      <c r="H285" s="273">
        <f t="shared" si="181"/>
        <v>17</v>
      </c>
      <c r="I285" s="264" t="str">
        <f t="shared" si="182"/>
        <v>RUA TRÊS</v>
      </c>
      <c r="J285" s="267">
        <f t="shared" si="183"/>
        <v>0</v>
      </c>
      <c r="K285" s="1291"/>
      <c r="L285" s="273">
        <f t="shared" si="186"/>
        <v>17</v>
      </c>
      <c r="M285" s="264" t="str">
        <f t="shared" si="186"/>
        <v>RUA TRÊS</v>
      </c>
      <c r="N285" s="267"/>
      <c r="O285" s="319"/>
      <c r="P285" s="319"/>
      <c r="Q285" s="319"/>
      <c r="R285" s="319"/>
      <c r="S285" s="319"/>
      <c r="T285" s="319"/>
      <c r="U285" s="352">
        <f>ORÇAMENTO!$J$108</f>
        <v>128.85</v>
      </c>
      <c r="V285" s="352">
        <f t="shared" si="184"/>
        <v>0</v>
      </c>
      <c r="X285" s="352">
        <f>ORÇAMENTO!$J$108</f>
        <v>128.85</v>
      </c>
      <c r="Y285" s="352">
        <f t="shared" si="185"/>
        <v>0</v>
      </c>
    </row>
    <row r="286" spans="1:25" ht="50.1" customHeight="1">
      <c r="A286" s="273">
        <f t="shared" si="178"/>
        <v>18</v>
      </c>
      <c r="B286" s="264" t="str">
        <f t="shared" si="179"/>
        <v>PASS DA LUZ</v>
      </c>
      <c r="C286" s="1650">
        <f t="shared" si="187"/>
        <v>0</v>
      </c>
      <c r="D286" s="1651"/>
      <c r="E286" s="1652"/>
      <c r="F286" s="1288"/>
      <c r="G286" s="1288"/>
      <c r="H286" s="273">
        <f t="shared" si="181"/>
        <v>18</v>
      </c>
      <c r="I286" s="264" t="str">
        <f t="shared" si="182"/>
        <v>PASS DA LUZ</v>
      </c>
      <c r="J286" s="267">
        <f t="shared" si="183"/>
        <v>0</v>
      </c>
      <c r="K286" s="1291"/>
      <c r="L286" s="273">
        <f t="shared" si="186"/>
        <v>18</v>
      </c>
      <c r="M286" s="264" t="str">
        <f t="shared" si="186"/>
        <v>PASS DA LUZ</v>
      </c>
      <c r="N286" s="267"/>
      <c r="O286" s="319"/>
      <c r="P286" s="319"/>
      <c r="Q286" s="319"/>
      <c r="R286" s="319"/>
      <c r="S286" s="319"/>
      <c r="T286" s="319"/>
      <c r="U286" s="352">
        <f>ORÇAMENTO!$J$108</f>
        <v>128.85</v>
      </c>
      <c r="V286" s="352">
        <f t="shared" si="184"/>
        <v>0</v>
      </c>
      <c r="X286" s="352">
        <f>ORÇAMENTO!$J$108</f>
        <v>128.85</v>
      </c>
      <c r="Y286" s="352">
        <f t="shared" si="185"/>
        <v>0</v>
      </c>
    </row>
    <row r="287" spans="1:25" ht="50.1" customHeight="1">
      <c r="A287" s="273">
        <f t="shared" si="178"/>
        <v>19</v>
      </c>
      <c r="B287" s="264" t="str">
        <f t="shared" si="179"/>
        <v>RUA FÉ EM DEUS</v>
      </c>
      <c r="C287" s="1650">
        <f t="shared" si="187"/>
        <v>0</v>
      </c>
      <c r="D287" s="1651"/>
      <c r="E287" s="1652"/>
      <c r="F287" s="1288"/>
      <c r="G287" s="1288"/>
      <c r="H287" s="273">
        <f t="shared" si="181"/>
        <v>19</v>
      </c>
      <c r="I287" s="264" t="str">
        <f t="shared" si="182"/>
        <v>RUA FÉ EM DEUS</v>
      </c>
      <c r="J287" s="267">
        <f t="shared" si="183"/>
        <v>0</v>
      </c>
      <c r="K287" s="1291"/>
      <c r="L287" s="273">
        <f t="shared" si="186"/>
        <v>19</v>
      </c>
      <c r="M287" s="264" t="str">
        <f t="shared" si="186"/>
        <v>RUA FÉ EM DEUS</v>
      </c>
      <c r="N287" s="267"/>
      <c r="O287" s="319"/>
      <c r="P287" s="319"/>
      <c r="Q287" s="319"/>
      <c r="R287" s="319"/>
      <c r="S287" s="319"/>
      <c r="T287" s="319"/>
      <c r="U287" s="352">
        <f>ORÇAMENTO!$J$108</f>
        <v>128.85</v>
      </c>
      <c r="V287" s="352">
        <f t="shared" si="184"/>
        <v>0</v>
      </c>
      <c r="X287" s="352">
        <f>ORÇAMENTO!$J$108</f>
        <v>128.85</v>
      </c>
      <c r="Y287" s="352">
        <f t="shared" si="185"/>
        <v>0</v>
      </c>
    </row>
    <row r="288" spans="1:25" ht="50.1" customHeight="1">
      <c r="A288" s="273">
        <f t="shared" si="178"/>
        <v>20</v>
      </c>
      <c r="B288" s="264" t="str">
        <f t="shared" si="179"/>
        <v>PASS PRINCIPAL</v>
      </c>
      <c r="C288" s="1650">
        <f t="shared" si="187"/>
        <v>0</v>
      </c>
      <c r="D288" s="1651"/>
      <c r="E288" s="1652"/>
      <c r="F288" s="1288"/>
      <c r="G288" s="1288"/>
      <c r="H288" s="273">
        <f t="shared" si="181"/>
        <v>20</v>
      </c>
      <c r="I288" s="264" t="str">
        <f t="shared" si="182"/>
        <v>PASS PRINCIPAL</v>
      </c>
      <c r="J288" s="267">
        <f t="shared" si="183"/>
        <v>0</v>
      </c>
      <c r="K288" s="1291"/>
      <c r="L288" s="273">
        <f t="shared" si="186"/>
        <v>20</v>
      </c>
      <c r="M288" s="264" t="str">
        <f t="shared" si="186"/>
        <v>PASS PRINCIPAL</v>
      </c>
      <c r="N288" s="267"/>
      <c r="O288" s="319"/>
      <c r="P288" s="319"/>
      <c r="Q288" s="319"/>
      <c r="R288" s="319"/>
      <c r="S288" s="319"/>
      <c r="T288" s="319"/>
      <c r="U288" s="352">
        <f>ORÇAMENTO!$J$108</f>
        <v>128.85</v>
      </c>
      <c r="V288" s="352">
        <f t="shared" si="184"/>
        <v>0</v>
      </c>
      <c r="X288" s="352">
        <f>ORÇAMENTO!$J$108</f>
        <v>128.85</v>
      </c>
      <c r="Y288" s="352">
        <f t="shared" si="185"/>
        <v>0</v>
      </c>
    </row>
    <row r="289" spans="1:25" ht="50.1" customHeight="1">
      <c r="A289" s="273">
        <f t="shared" si="178"/>
        <v>21</v>
      </c>
      <c r="B289" s="264" t="str">
        <f t="shared" si="179"/>
        <v>PASSAGEM BACELAR</v>
      </c>
      <c r="C289" s="1650">
        <f t="shared" si="187"/>
        <v>0</v>
      </c>
      <c r="D289" s="1651"/>
      <c r="E289" s="1652"/>
      <c r="F289" s="1288"/>
      <c r="G289" s="1288"/>
      <c r="H289" s="273">
        <f t="shared" si="181"/>
        <v>21</v>
      </c>
      <c r="I289" s="264" t="str">
        <f t="shared" si="182"/>
        <v>PASSAGEM BACELAR</v>
      </c>
      <c r="J289" s="267">
        <f t="shared" si="183"/>
        <v>0</v>
      </c>
      <c r="K289" s="1291"/>
      <c r="L289" s="273">
        <f t="shared" ref="L289:M291" si="188">H289</f>
        <v>21</v>
      </c>
      <c r="M289" s="264" t="str">
        <f t="shared" si="188"/>
        <v>PASSAGEM BACELAR</v>
      </c>
      <c r="N289" s="267"/>
      <c r="O289" s="319"/>
      <c r="P289" s="319"/>
      <c r="Q289" s="319"/>
      <c r="R289" s="319"/>
      <c r="S289" s="319"/>
      <c r="T289" s="319"/>
      <c r="U289" s="352">
        <f>ORÇAMENTO!$J$108</f>
        <v>128.85</v>
      </c>
      <c r="V289" s="352">
        <f t="shared" si="184"/>
        <v>0</v>
      </c>
      <c r="X289" s="352">
        <f>ORÇAMENTO!$J$108</f>
        <v>128.85</v>
      </c>
      <c r="Y289" s="352">
        <f t="shared" si="185"/>
        <v>0</v>
      </c>
    </row>
    <row r="290" spans="1:25" ht="50.1" customHeight="1">
      <c r="A290" s="273">
        <f t="shared" si="178"/>
        <v>22</v>
      </c>
      <c r="B290" s="264" t="str">
        <f t="shared" si="179"/>
        <v>PASS DEUS TEM PODER</v>
      </c>
      <c r="C290" s="1650">
        <f t="shared" si="187"/>
        <v>17</v>
      </c>
      <c r="D290" s="1651"/>
      <c r="E290" s="1652"/>
      <c r="F290" s="1288"/>
      <c r="G290" s="1288"/>
      <c r="H290" s="273">
        <f t="shared" si="181"/>
        <v>22</v>
      </c>
      <c r="I290" s="264" t="str">
        <f t="shared" si="182"/>
        <v>PASS DEUS TEM PODER</v>
      </c>
      <c r="J290" s="267">
        <f t="shared" si="183"/>
        <v>17</v>
      </c>
      <c r="K290" s="1291"/>
      <c r="L290" s="273">
        <f t="shared" si="188"/>
        <v>22</v>
      </c>
      <c r="M290" s="264" t="str">
        <f t="shared" si="188"/>
        <v>PASS DEUS TEM PODER</v>
      </c>
      <c r="N290" s="267"/>
      <c r="O290" s="319"/>
      <c r="P290" s="319"/>
      <c r="Q290" s="319"/>
      <c r="R290" s="319"/>
      <c r="S290" s="319"/>
      <c r="T290" s="319"/>
      <c r="U290" s="352">
        <f>ORÇAMENTO!$J$108</f>
        <v>128.85</v>
      </c>
      <c r="V290" s="352">
        <f t="shared" si="184"/>
        <v>2190.4499999999998</v>
      </c>
      <c r="X290" s="352">
        <f>ORÇAMENTO!$J$108</f>
        <v>128.85</v>
      </c>
      <c r="Y290" s="352">
        <f t="shared" si="185"/>
        <v>0</v>
      </c>
    </row>
    <row r="291" spans="1:25" ht="50.1" customHeight="1">
      <c r="A291" s="273">
        <f t="shared" si="178"/>
        <v>23</v>
      </c>
      <c r="B291" s="264" t="str">
        <f t="shared" si="179"/>
        <v>PASS UNIÃO</v>
      </c>
      <c r="C291" s="1650">
        <v>3</v>
      </c>
      <c r="D291" s="1651"/>
      <c r="E291" s="1652"/>
      <c r="F291" s="1288"/>
      <c r="G291" s="1288"/>
      <c r="H291" s="273">
        <f t="shared" si="181"/>
        <v>23</v>
      </c>
      <c r="I291" s="264" t="str">
        <f t="shared" si="182"/>
        <v>PASS UNIÃO</v>
      </c>
      <c r="J291" s="267">
        <f t="shared" si="183"/>
        <v>3</v>
      </c>
      <c r="K291" s="1291"/>
      <c r="L291" s="273">
        <f t="shared" si="188"/>
        <v>23</v>
      </c>
      <c r="M291" s="264" t="str">
        <f t="shared" si="188"/>
        <v>PASS UNIÃO</v>
      </c>
      <c r="N291" s="267"/>
      <c r="O291" s="319"/>
      <c r="P291" s="319"/>
      <c r="Q291" s="319"/>
      <c r="R291" s="319"/>
      <c r="S291" s="319"/>
      <c r="T291" s="319"/>
      <c r="U291" s="352">
        <f>ORÇAMENTO!$J$108</f>
        <v>128.85</v>
      </c>
      <c r="V291" s="352">
        <f t="shared" si="184"/>
        <v>386.55</v>
      </c>
      <c r="X291" s="352">
        <f>ORÇAMENTO!$J$108</f>
        <v>128.85</v>
      </c>
      <c r="Y291" s="352">
        <f t="shared" si="185"/>
        <v>0</v>
      </c>
    </row>
    <row r="292" spans="1:25" ht="50.1" customHeight="1">
      <c r="A292" s="273">
        <f t="shared" si="178"/>
        <v>24</v>
      </c>
      <c r="B292" s="264" t="str">
        <f t="shared" si="179"/>
        <v>PASS SÃO JORGE</v>
      </c>
      <c r="C292" s="1650">
        <f t="shared" si="187"/>
        <v>0</v>
      </c>
      <c r="D292" s="1651"/>
      <c r="E292" s="1652"/>
      <c r="F292" s="1288"/>
      <c r="G292" s="1288"/>
      <c r="H292" s="273">
        <f t="shared" ref="H292:H309" si="189">A292</f>
        <v>24</v>
      </c>
      <c r="I292" s="264" t="str">
        <f t="shared" ref="I292:I309" si="190">B292</f>
        <v>PASS SÃO JORGE</v>
      </c>
      <c r="J292" s="267">
        <f t="shared" ref="J292:J309" si="191">C292</f>
        <v>0</v>
      </c>
      <c r="K292" s="1291"/>
      <c r="L292" s="273">
        <f t="shared" ref="L292:L309" si="192">H292</f>
        <v>24</v>
      </c>
      <c r="M292" s="264" t="str">
        <f t="shared" ref="M292:M309" si="193">I292</f>
        <v>PASS SÃO JORGE</v>
      </c>
      <c r="N292" s="267"/>
      <c r="O292" s="319"/>
      <c r="P292" s="319"/>
      <c r="Q292" s="319"/>
      <c r="R292" s="319"/>
      <c r="S292" s="319"/>
      <c r="T292" s="319"/>
      <c r="U292" s="352">
        <f>ORÇAMENTO!$J$108</f>
        <v>128.85</v>
      </c>
      <c r="V292" s="352">
        <f t="shared" si="184"/>
        <v>0</v>
      </c>
      <c r="X292" s="352">
        <f>ORÇAMENTO!$J$108</f>
        <v>128.85</v>
      </c>
      <c r="Y292" s="352">
        <f t="shared" si="185"/>
        <v>0</v>
      </c>
    </row>
    <row r="293" spans="1:25" ht="50.1" customHeight="1">
      <c r="A293" s="273">
        <f t="shared" si="178"/>
        <v>25</v>
      </c>
      <c r="B293" s="264" t="str">
        <f t="shared" si="179"/>
        <v>PASS AIRTON SENA</v>
      </c>
      <c r="C293" s="1650">
        <v>15</v>
      </c>
      <c r="D293" s="1651"/>
      <c r="E293" s="1652"/>
      <c r="F293" s="1288"/>
      <c r="G293" s="1288"/>
      <c r="H293" s="273">
        <f t="shared" si="189"/>
        <v>25</v>
      </c>
      <c r="I293" s="264" t="str">
        <f t="shared" si="190"/>
        <v>PASS AIRTON SENA</v>
      </c>
      <c r="J293" s="267">
        <f t="shared" si="191"/>
        <v>15</v>
      </c>
      <c r="K293" s="1291"/>
      <c r="L293" s="273">
        <f t="shared" si="192"/>
        <v>25</v>
      </c>
      <c r="M293" s="264" t="str">
        <f t="shared" si="193"/>
        <v>PASS AIRTON SENA</v>
      </c>
      <c r="N293" s="267"/>
      <c r="O293" s="319"/>
      <c r="P293" s="319"/>
      <c r="Q293" s="319"/>
      <c r="R293" s="319"/>
      <c r="S293" s="319"/>
      <c r="T293" s="319"/>
      <c r="U293" s="352">
        <f>ORÇAMENTO!$J$108</f>
        <v>128.85</v>
      </c>
      <c r="V293" s="352">
        <f t="shared" si="184"/>
        <v>1932.75</v>
      </c>
      <c r="X293" s="352">
        <f>ORÇAMENTO!$J$108</f>
        <v>128.85</v>
      </c>
      <c r="Y293" s="352">
        <f t="shared" si="185"/>
        <v>0</v>
      </c>
    </row>
    <row r="294" spans="1:25" ht="50.1" customHeight="1">
      <c r="A294" s="273">
        <f t="shared" si="178"/>
        <v>26</v>
      </c>
      <c r="B294" s="264" t="str">
        <f t="shared" si="179"/>
        <v>RUA AMINTAS PINHEIRO</v>
      </c>
      <c r="C294" s="1650">
        <v>4</v>
      </c>
      <c r="D294" s="1651"/>
      <c r="E294" s="1652"/>
      <c r="F294" s="1288"/>
      <c r="G294" s="1288"/>
      <c r="H294" s="273">
        <f t="shared" si="189"/>
        <v>26</v>
      </c>
      <c r="I294" s="264" t="str">
        <f t="shared" si="190"/>
        <v>RUA AMINTAS PINHEIRO</v>
      </c>
      <c r="J294" s="267">
        <f t="shared" si="191"/>
        <v>4</v>
      </c>
      <c r="K294" s="1291"/>
      <c r="L294" s="273">
        <f t="shared" si="192"/>
        <v>26</v>
      </c>
      <c r="M294" s="264" t="str">
        <f t="shared" si="193"/>
        <v>RUA AMINTAS PINHEIRO</v>
      </c>
      <c r="N294" s="267"/>
      <c r="O294" s="319"/>
      <c r="P294" s="319"/>
      <c r="Q294" s="319"/>
      <c r="R294" s="319"/>
      <c r="S294" s="319"/>
      <c r="T294" s="319"/>
      <c r="U294" s="352">
        <f>ORÇAMENTO!$J$108</f>
        <v>128.85</v>
      </c>
      <c r="V294" s="352">
        <f t="shared" si="184"/>
        <v>515.4</v>
      </c>
      <c r="X294" s="352">
        <f>ORÇAMENTO!$J$108</f>
        <v>128.85</v>
      </c>
      <c r="Y294" s="352">
        <f t="shared" si="185"/>
        <v>0</v>
      </c>
    </row>
    <row r="295" spans="1:25" ht="50.1" customHeight="1">
      <c r="A295" s="273">
        <f t="shared" si="178"/>
        <v>27</v>
      </c>
      <c r="B295" s="264" t="str">
        <f t="shared" si="179"/>
        <v>PASS PRINC ISABEL</v>
      </c>
      <c r="C295" s="1650">
        <f t="shared" si="187"/>
        <v>0</v>
      </c>
      <c r="D295" s="1651"/>
      <c r="E295" s="1652"/>
      <c r="F295" s="1288"/>
      <c r="G295" s="1288"/>
      <c r="H295" s="273">
        <f t="shared" si="189"/>
        <v>27</v>
      </c>
      <c r="I295" s="264" t="str">
        <f t="shared" si="190"/>
        <v>PASS PRINC ISABEL</v>
      </c>
      <c r="J295" s="267">
        <f t="shared" si="191"/>
        <v>0</v>
      </c>
      <c r="K295" s="1291"/>
      <c r="L295" s="273">
        <f t="shared" si="192"/>
        <v>27</v>
      </c>
      <c r="M295" s="264" t="str">
        <f t="shared" si="193"/>
        <v>PASS PRINC ISABEL</v>
      </c>
      <c r="N295" s="267"/>
      <c r="O295" s="319"/>
      <c r="P295" s="319"/>
      <c r="Q295" s="319"/>
      <c r="R295" s="319"/>
      <c r="S295" s="319"/>
      <c r="T295" s="319"/>
      <c r="U295" s="352">
        <f>ORÇAMENTO!$J$108</f>
        <v>128.85</v>
      </c>
      <c r="V295" s="352">
        <f t="shared" si="184"/>
        <v>0</v>
      </c>
      <c r="X295" s="352">
        <f>ORÇAMENTO!$J$108</f>
        <v>128.85</v>
      </c>
      <c r="Y295" s="352">
        <f t="shared" si="185"/>
        <v>0</v>
      </c>
    </row>
    <row r="296" spans="1:25" ht="50.1" customHeight="1">
      <c r="A296" s="273">
        <f t="shared" si="178"/>
        <v>28</v>
      </c>
      <c r="B296" s="264" t="str">
        <f t="shared" si="179"/>
        <v>PASS SANTA CLARA</v>
      </c>
      <c r="C296" s="1650">
        <f t="shared" si="187"/>
        <v>0</v>
      </c>
      <c r="D296" s="1651"/>
      <c r="E296" s="1652"/>
      <c r="F296" s="1288"/>
      <c r="G296" s="1288"/>
      <c r="H296" s="273">
        <f t="shared" si="189"/>
        <v>28</v>
      </c>
      <c r="I296" s="264" t="str">
        <f t="shared" si="190"/>
        <v>PASS SANTA CLARA</v>
      </c>
      <c r="J296" s="267">
        <f t="shared" si="191"/>
        <v>0</v>
      </c>
      <c r="K296" s="1291"/>
      <c r="L296" s="273">
        <f t="shared" si="192"/>
        <v>28</v>
      </c>
      <c r="M296" s="264" t="str">
        <f t="shared" si="193"/>
        <v>PASS SANTA CLARA</v>
      </c>
      <c r="N296" s="267"/>
      <c r="O296" s="319"/>
      <c r="P296" s="319"/>
      <c r="Q296" s="319"/>
      <c r="R296" s="319"/>
      <c r="S296" s="319"/>
      <c r="T296" s="319"/>
      <c r="U296" s="352">
        <f>ORÇAMENTO!$J$108</f>
        <v>128.85</v>
      </c>
      <c r="V296" s="352">
        <f t="shared" si="184"/>
        <v>0</v>
      </c>
      <c r="X296" s="352">
        <f>ORÇAMENTO!$J$108</f>
        <v>128.85</v>
      </c>
      <c r="Y296" s="352">
        <f t="shared" si="185"/>
        <v>0</v>
      </c>
    </row>
    <row r="297" spans="1:25" ht="50.1" customHeight="1">
      <c r="A297" s="273">
        <f t="shared" si="178"/>
        <v>29</v>
      </c>
      <c r="B297" s="264" t="str">
        <f t="shared" si="179"/>
        <v>PASS AIRTON SENA 1</v>
      </c>
      <c r="C297" s="1650">
        <f t="shared" si="187"/>
        <v>3</v>
      </c>
      <c r="D297" s="1651"/>
      <c r="E297" s="1652"/>
      <c r="F297" s="1288"/>
      <c r="G297" s="1288"/>
      <c r="H297" s="273">
        <f t="shared" si="189"/>
        <v>29</v>
      </c>
      <c r="I297" s="264" t="str">
        <f t="shared" si="190"/>
        <v>PASS AIRTON SENA 1</v>
      </c>
      <c r="J297" s="267">
        <f t="shared" si="191"/>
        <v>3</v>
      </c>
      <c r="K297" s="1291"/>
      <c r="L297" s="273">
        <f t="shared" si="192"/>
        <v>29</v>
      </c>
      <c r="M297" s="264" t="str">
        <f t="shared" si="193"/>
        <v>PASS AIRTON SENA 1</v>
      </c>
      <c r="N297" s="267">
        <f>ROUNDUP(IF(J297=0,#REF!/60*2*30%),)</f>
        <v>0</v>
      </c>
      <c r="O297" s="319"/>
      <c r="P297" s="319"/>
      <c r="Q297" s="319"/>
      <c r="R297" s="319"/>
      <c r="S297" s="319"/>
      <c r="T297" s="319"/>
      <c r="U297" s="352">
        <f>ORÇAMENTO!$J$108</f>
        <v>128.85</v>
      </c>
      <c r="V297" s="352">
        <f t="shared" si="184"/>
        <v>386.55</v>
      </c>
      <c r="X297" s="352">
        <f>ORÇAMENTO!$J$108</f>
        <v>128.85</v>
      </c>
      <c r="Y297" s="352">
        <f t="shared" si="185"/>
        <v>0</v>
      </c>
    </row>
    <row r="298" spans="1:25" ht="50.1" customHeight="1">
      <c r="A298" s="273">
        <f t="shared" si="178"/>
        <v>30</v>
      </c>
      <c r="B298" s="264" t="str">
        <f t="shared" si="179"/>
        <v>PASS TIM LOPES</v>
      </c>
      <c r="C298" s="1650">
        <f t="shared" si="187"/>
        <v>3</v>
      </c>
      <c r="D298" s="1651"/>
      <c r="E298" s="1652"/>
      <c r="F298" s="1288"/>
      <c r="G298" s="1288"/>
      <c r="H298" s="273">
        <f t="shared" si="189"/>
        <v>30</v>
      </c>
      <c r="I298" s="264" t="str">
        <f t="shared" si="190"/>
        <v>PASS TIM LOPES</v>
      </c>
      <c r="J298" s="267">
        <f t="shared" si="191"/>
        <v>3</v>
      </c>
      <c r="K298" s="1291"/>
      <c r="L298" s="273">
        <f t="shared" si="192"/>
        <v>30</v>
      </c>
      <c r="M298" s="264" t="str">
        <f t="shared" si="193"/>
        <v>PASS TIM LOPES</v>
      </c>
      <c r="N298" s="267"/>
      <c r="O298" s="319"/>
      <c r="P298" s="319"/>
      <c r="Q298" s="319"/>
      <c r="R298" s="319"/>
      <c r="S298" s="319"/>
      <c r="T298" s="319"/>
      <c r="U298" s="352">
        <f>ORÇAMENTO!$J$108</f>
        <v>128.85</v>
      </c>
      <c r="V298" s="352">
        <f t="shared" si="184"/>
        <v>386.55</v>
      </c>
      <c r="X298" s="352">
        <f>ORÇAMENTO!$J$108</f>
        <v>128.85</v>
      </c>
      <c r="Y298" s="352">
        <f t="shared" si="185"/>
        <v>0</v>
      </c>
    </row>
    <row r="299" spans="1:25" ht="50.1" hidden="1" customHeight="1">
      <c r="A299" s="273"/>
      <c r="B299" s="264"/>
      <c r="C299" s="1650">
        <f t="shared" si="187"/>
        <v>0</v>
      </c>
      <c r="D299" s="1651"/>
      <c r="E299" s="1652"/>
      <c r="F299" s="1288"/>
      <c r="G299" s="1288"/>
      <c r="H299" s="273">
        <f t="shared" si="189"/>
        <v>0</v>
      </c>
      <c r="I299" s="264">
        <f t="shared" si="190"/>
        <v>0</v>
      </c>
      <c r="J299" s="267">
        <f t="shared" si="191"/>
        <v>0</v>
      </c>
      <c r="K299" s="1291"/>
      <c r="L299" s="273">
        <f t="shared" si="192"/>
        <v>0</v>
      </c>
      <c r="M299" s="264">
        <f t="shared" si="193"/>
        <v>0</v>
      </c>
      <c r="N299" s="267"/>
      <c r="O299" s="319"/>
      <c r="P299" s="319"/>
      <c r="Q299" s="319"/>
      <c r="R299" s="319"/>
      <c r="S299" s="319"/>
      <c r="T299" s="319"/>
      <c r="U299" s="352">
        <f>ORÇAMENTO!$J$108</f>
        <v>128.85</v>
      </c>
      <c r="V299" s="352">
        <f t="shared" si="184"/>
        <v>0</v>
      </c>
      <c r="X299" s="352">
        <f>ORÇAMENTO!$J$108</f>
        <v>128.85</v>
      </c>
      <c r="Y299" s="352">
        <f t="shared" si="185"/>
        <v>0</v>
      </c>
    </row>
    <row r="300" spans="1:25" ht="50.1" hidden="1" customHeight="1">
      <c r="A300" s="273"/>
      <c r="B300" s="264"/>
      <c r="C300" s="1650">
        <f t="shared" si="187"/>
        <v>0</v>
      </c>
      <c r="D300" s="1651"/>
      <c r="E300" s="1652"/>
      <c r="F300" s="1288"/>
      <c r="G300" s="1288"/>
      <c r="H300" s="273">
        <f t="shared" si="189"/>
        <v>0</v>
      </c>
      <c r="I300" s="264">
        <f t="shared" si="190"/>
        <v>0</v>
      </c>
      <c r="J300" s="267">
        <f t="shared" si="191"/>
        <v>0</v>
      </c>
      <c r="K300" s="1291"/>
      <c r="L300" s="273">
        <f t="shared" si="192"/>
        <v>0</v>
      </c>
      <c r="M300" s="264">
        <f t="shared" si="193"/>
        <v>0</v>
      </c>
      <c r="N300" s="267" t="e">
        <f>ROUNDUP(IF(J300=0,#REF!/60*2*30%),)</f>
        <v>#REF!</v>
      </c>
      <c r="O300" s="319"/>
      <c r="P300" s="319"/>
      <c r="Q300" s="319"/>
      <c r="R300" s="319"/>
      <c r="S300" s="319"/>
      <c r="T300" s="319"/>
      <c r="U300" s="352">
        <f>ORÇAMENTO!$J$108</f>
        <v>128.85</v>
      </c>
      <c r="V300" s="352">
        <f t="shared" si="184"/>
        <v>0</v>
      </c>
      <c r="X300" s="352">
        <f>ORÇAMENTO!$J$108</f>
        <v>128.85</v>
      </c>
      <c r="Y300" s="352" t="e">
        <f t="shared" si="185"/>
        <v>#REF!</v>
      </c>
    </row>
    <row r="301" spans="1:25" ht="50.1" hidden="1" customHeight="1">
      <c r="A301" s="273"/>
      <c r="B301" s="264"/>
      <c r="C301" s="1650">
        <f t="shared" si="187"/>
        <v>0</v>
      </c>
      <c r="D301" s="1651"/>
      <c r="E301" s="1652"/>
      <c r="F301" s="1288"/>
      <c r="G301" s="1288"/>
      <c r="H301" s="273">
        <f t="shared" si="189"/>
        <v>0</v>
      </c>
      <c r="I301" s="264">
        <f t="shared" si="190"/>
        <v>0</v>
      </c>
      <c r="J301" s="267">
        <f t="shared" si="191"/>
        <v>0</v>
      </c>
      <c r="K301" s="1291"/>
      <c r="L301" s="273">
        <f t="shared" si="192"/>
        <v>0</v>
      </c>
      <c r="M301" s="264">
        <f t="shared" si="193"/>
        <v>0</v>
      </c>
      <c r="N301" s="267"/>
      <c r="O301" s="319"/>
      <c r="P301" s="319"/>
      <c r="Q301" s="319"/>
      <c r="R301" s="319"/>
      <c r="S301" s="319"/>
      <c r="T301" s="319"/>
      <c r="U301" s="352">
        <f>ORÇAMENTO!$J$108</f>
        <v>128.85</v>
      </c>
      <c r="V301" s="352">
        <f t="shared" si="184"/>
        <v>0</v>
      </c>
      <c r="X301" s="352">
        <f>ORÇAMENTO!$J$108</f>
        <v>128.85</v>
      </c>
      <c r="Y301" s="352">
        <f t="shared" si="185"/>
        <v>0</v>
      </c>
    </row>
    <row r="302" spans="1:25" ht="50.1" hidden="1" customHeight="1">
      <c r="A302" s="273"/>
      <c r="B302" s="264"/>
      <c r="C302" s="1650">
        <f t="shared" si="187"/>
        <v>0</v>
      </c>
      <c r="D302" s="1651"/>
      <c r="E302" s="1652"/>
      <c r="F302" s="1288"/>
      <c r="G302" s="1288"/>
      <c r="H302" s="273">
        <f t="shared" si="189"/>
        <v>0</v>
      </c>
      <c r="I302" s="264">
        <f t="shared" si="190"/>
        <v>0</v>
      </c>
      <c r="J302" s="267">
        <f t="shared" si="191"/>
        <v>0</v>
      </c>
      <c r="K302" s="1291"/>
      <c r="L302" s="273">
        <f t="shared" si="192"/>
        <v>0</v>
      </c>
      <c r="M302" s="264">
        <f t="shared" si="193"/>
        <v>0</v>
      </c>
      <c r="N302" s="267"/>
      <c r="O302" s="319"/>
      <c r="P302" s="319"/>
      <c r="Q302" s="319"/>
      <c r="R302" s="319"/>
      <c r="S302" s="319"/>
      <c r="T302" s="319"/>
      <c r="U302" s="352">
        <f>ORÇAMENTO!$J$108</f>
        <v>128.85</v>
      </c>
      <c r="V302" s="352">
        <f t="shared" si="184"/>
        <v>0</v>
      </c>
      <c r="X302" s="352">
        <f>ORÇAMENTO!$J$108</f>
        <v>128.85</v>
      </c>
      <c r="Y302" s="352">
        <f t="shared" si="185"/>
        <v>0</v>
      </c>
    </row>
    <row r="303" spans="1:25" ht="50.1" hidden="1" customHeight="1">
      <c r="A303" s="273"/>
      <c r="B303" s="264"/>
      <c r="C303" s="1650">
        <f t="shared" si="187"/>
        <v>0</v>
      </c>
      <c r="D303" s="1651"/>
      <c r="E303" s="1652"/>
      <c r="F303" s="1288"/>
      <c r="G303" s="1288"/>
      <c r="H303" s="273">
        <f t="shared" si="189"/>
        <v>0</v>
      </c>
      <c r="I303" s="264">
        <f t="shared" si="190"/>
        <v>0</v>
      </c>
      <c r="J303" s="267">
        <f t="shared" si="191"/>
        <v>0</v>
      </c>
      <c r="K303" s="1291"/>
      <c r="L303" s="273">
        <f t="shared" si="192"/>
        <v>0</v>
      </c>
      <c r="M303" s="264">
        <f t="shared" si="193"/>
        <v>0</v>
      </c>
      <c r="N303" s="267"/>
      <c r="O303" s="319"/>
      <c r="P303" s="319"/>
      <c r="Q303" s="319"/>
      <c r="R303" s="319"/>
      <c r="S303" s="319"/>
      <c r="T303" s="319"/>
      <c r="U303" s="352">
        <f>ORÇAMENTO!$J$108</f>
        <v>128.85</v>
      </c>
      <c r="V303" s="352">
        <f t="shared" si="184"/>
        <v>0</v>
      </c>
      <c r="X303" s="352">
        <f>ORÇAMENTO!$J$108</f>
        <v>128.85</v>
      </c>
      <c r="Y303" s="352">
        <f t="shared" si="185"/>
        <v>0</v>
      </c>
    </row>
    <row r="304" spans="1:25" ht="50.1" hidden="1" customHeight="1">
      <c r="A304" s="273"/>
      <c r="B304" s="264"/>
      <c r="C304" s="1650">
        <f t="shared" si="187"/>
        <v>0</v>
      </c>
      <c r="D304" s="1651"/>
      <c r="E304" s="1652"/>
      <c r="F304" s="1288"/>
      <c r="G304" s="1288"/>
      <c r="H304" s="273">
        <f t="shared" si="189"/>
        <v>0</v>
      </c>
      <c r="I304" s="264">
        <f t="shared" si="190"/>
        <v>0</v>
      </c>
      <c r="J304" s="267">
        <f t="shared" si="191"/>
        <v>0</v>
      </c>
      <c r="K304" s="1291"/>
      <c r="L304" s="273">
        <f t="shared" si="192"/>
        <v>0</v>
      </c>
      <c r="M304" s="264">
        <f t="shared" si="193"/>
        <v>0</v>
      </c>
      <c r="N304" s="267" t="e">
        <f>ROUNDUP(IF(J304=0,#REF!/60*2*30%),)</f>
        <v>#REF!</v>
      </c>
      <c r="O304" s="319"/>
      <c r="P304" s="319"/>
      <c r="Q304" s="319"/>
      <c r="R304" s="319"/>
      <c r="S304" s="319"/>
      <c r="T304" s="319"/>
      <c r="U304" s="352">
        <f>ORÇAMENTO!$J$108</f>
        <v>128.85</v>
      </c>
      <c r="V304" s="352">
        <f t="shared" si="184"/>
        <v>0</v>
      </c>
      <c r="X304" s="352">
        <f>ORÇAMENTO!$J$108</f>
        <v>128.85</v>
      </c>
      <c r="Y304" s="352" t="e">
        <f t="shared" si="185"/>
        <v>#REF!</v>
      </c>
    </row>
    <row r="305" spans="1:28" ht="50.1" hidden="1" customHeight="1">
      <c r="A305" s="273"/>
      <c r="B305" s="264"/>
      <c r="C305" s="1650">
        <f t="shared" si="187"/>
        <v>0</v>
      </c>
      <c r="D305" s="1651"/>
      <c r="E305" s="1652"/>
      <c r="F305" s="1288"/>
      <c r="G305" s="1288"/>
      <c r="H305" s="273">
        <f t="shared" si="189"/>
        <v>0</v>
      </c>
      <c r="I305" s="264">
        <f t="shared" si="190"/>
        <v>0</v>
      </c>
      <c r="J305" s="267">
        <f t="shared" si="191"/>
        <v>0</v>
      </c>
      <c r="K305" s="1291"/>
      <c r="L305" s="273">
        <f t="shared" si="192"/>
        <v>0</v>
      </c>
      <c r="M305" s="264">
        <f t="shared" si="193"/>
        <v>0</v>
      </c>
      <c r="N305" s="267"/>
      <c r="O305" s="319"/>
      <c r="P305" s="319"/>
      <c r="Q305" s="319"/>
      <c r="R305" s="319"/>
      <c r="S305" s="319"/>
      <c r="T305" s="319"/>
      <c r="U305" s="352">
        <f>ORÇAMENTO!$J$108</f>
        <v>128.85</v>
      </c>
      <c r="V305" s="352">
        <f t="shared" si="184"/>
        <v>0</v>
      </c>
      <c r="X305" s="352">
        <f>ORÇAMENTO!$J$108</f>
        <v>128.85</v>
      </c>
      <c r="Y305" s="352">
        <f t="shared" si="185"/>
        <v>0</v>
      </c>
    </row>
    <row r="306" spans="1:28" ht="50.1" hidden="1" customHeight="1">
      <c r="A306" s="273"/>
      <c r="B306" s="264"/>
      <c r="C306" s="1650">
        <f t="shared" si="187"/>
        <v>0</v>
      </c>
      <c r="D306" s="1651"/>
      <c r="E306" s="1652"/>
      <c r="F306" s="1288"/>
      <c r="G306" s="1288"/>
      <c r="H306" s="273">
        <f t="shared" si="189"/>
        <v>0</v>
      </c>
      <c r="I306" s="264">
        <f t="shared" si="190"/>
        <v>0</v>
      </c>
      <c r="J306" s="267">
        <f t="shared" si="191"/>
        <v>0</v>
      </c>
      <c r="K306" s="1291"/>
      <c r="L306" s="273">
        <f t="shared" si="192"/>
        <v>0</v>
      </c>
      <c r="M306" s="264">
        <f t="shared" si="193"/>
        <v>0</v>
      </c>
      <c r="N306" s="267"/>
      <c r="O306" s="319"/>
      <c r="P306" s="319"/>
      <c r="Q306" s="319"/>
      <c r="R306" s="319"/>
      <c r="S306" s="319"/>
      <c r="T306" s="319"/>
      <c r="U306" s="352">
        <f>ORÇAMENTO!$J$108</f>
        <v>128.85</v>
      </c>
      <c r="V306" s="352">
        <f t="shared" si="184"/>
        <v>0</v>
      </c>
      <c r="X306" s="352">
        <f>ORÇAMENTO!$J$108</f>
        <v>128.85</v>
      </c>
      <c r="Y306" s="352">
        <f t="shared" si="185"/>
        <v>0</v>
      </c>
    </row>
    <row r="307" spans="1:28" ht="50.1" hidden="1" customHeight="1">
      <c r="A307" s="273"/>
      <c r="B307" s="264"/>
      <c r="C307" s="1650">
        <f t="shared" si="187"/>
        <v>0</v>
      </c>
      <c r="D307" s="1651"/>
      <c r="E307" s="1652"/>
      <c r="F307" s="1288"/>
      <c r="G307" s="1288"/>
      <c r="H307" s="273">
        <f t="shared" si="189"/>
        <v>0</v>
      </c>
      <c r="I307" s="264">
        <f t="shared" si="190"/>
        <v>0</v>
      </c>
      <c r="J307" s="267">
        <f t="shared" si="191"/>
        <v>0</v>
      </c>
      <c r="K307" s="1291"/>
      <c r="L307" s="273">
        <f t="shared" si="192"/>
        <v>0</v>
      </c>
      <c r="M307" s="264">
        <f t="shared" si="193"/>
        <v>0</v>
      </c>
      <c r="N307" s="267"/>
      <c r="O307" s="319"/>
      <c r="P307" s="319"/>
      <c r="Q307" s="319"/>
      <c r="R307" s="319"/>
      <c r="S307" s="319"/>
      <c r="T307" s="319"/>
      <c r="U307" s="352">
        <f>ORÇAMENTO!$J$108</f>
        <v>128.85</v>
      </c>
      <c r="V307" s="352">
        <f t="shared" si="184"/>
        <v>0</v>
      </c>
      <c r="X307" s="352">
        <f>ORÇAMENTO!$J$108</f>
        <v>128.85</v>
      </c>
      <c r="Y307" s="352">
        <f t="shared" si="185"/>
        <v>0</v>
      </c>
    </row>
    <row r="308" spans="1:28" ht="50.1" hidden="1" customHeight="1">
      <c r="A308" s="273"/>
      <c r="B308" s="264"/>
      <c r="C308" s="1650">
        <f t="shared" si="187"/>
        <v>0</v>
      </c>
      <c r="D308" s="1651"/>
      <c r="E308" s="1652"/>
      <c r="F308" s="1288"/>
      <c r="G308" s="1288"/>
      <c r="H308" s="273">
        <f t="shared" si="189"/>
        <v>0</v>
      </c>
      <c r="I308" s="264">
        <f t="shared" si="190"/>
        <v>0</v>
      </c>
      <c r="J308" s="267">
        <f t="shared" si="191"/>
        <v>0</v>
      </c>
      <c r="K308" s="1291"/>
      <c r="L308" s="273">
        <f t="shared" si="192"/>
        <v>0</v>
      </c>
      <c r="M308" s="264">
        <f t="shared" si="193"/>
        <v>0</v>
      </c>
      <c r="N308" s="267"/>
      <c r="O308" s="319"/>
      <c r="P308" s="319"/>
      <c r="Q308" s="319"/>
      <c r="R308" s="319"/>
      <c r="S308" s="319"/>
      <c r="T308" s="319"/>
      <c r="U308" s="352">
        <f>ORÇAMENTO!$J$108</f>
        <v>128.85</v>
      </c>
      <c r="V308" s="352">
        <f t="shared" si="184"/>
        <v>0</v>
      </c>
      <c r="X308" s="352">
        <f>ORÇAMENTO!$J$108</f>
        <v>128.85</v>
      </c>
      <c r="Y308" s="352">
        <f t="shared" si="185"/>
        <v>0</v>
      </c>
    </row>
    <row r="309" spans="1:28" ht="50.1" hidden="1" customHeight="1">
      <c r="A309" s="273"/>
      <c r="B309" s="264"/>
      <c r="C309" s="1650">
        <f t="shared" si="187"/>
        <v>0</v>
      </c>
      <c r="D309" s="1651"/>
      <c r="E309" s="1652"/>
      <c r="F309" s="1288"/>
      <c r="G309" s="1288"/>
      <c r="H309" s="273">
        <f t="shared" si="189"/>
        <v>0</v>
      </c>
      <c r="I309" s="264">
        <f t="shared" si="190"/>
        <v>0</v>
      </c>
      <c r="J309" s="267">
        <f t="shared" si="191"/>
        <v>0</v>
      </c>
      <c r="K309" s="1291"/>
      <c r="L309" s="273">
        <f t="shared" si="192"/>
        <v>0</v>
      </c>
      <c r="M309" s="264">
        <f t="shared" si="193"/>
        <v>0</v>
      </c>
      <c r="N309" s="267"/>
      <c r="O309" s="319"/>
      <c r="P309" s="319"/>
      <c r="Q309" s="319"/>
      <c r="R309" s="319"/>
      <c r="S309" s="319"/>
      <c r="T309" s="319"/>
      <c r="U309" s="352">
        <f>ORÇAMENTO!$J$108</f>
        <v>128.85</v>
      </c>
      <c r="V309" s="352">
        <f t="shared" si="184"/>
        <v>0</v>
      </c>
      <c r="X309" s="352">
        <f>ORÇAMENTO!$J$108</f>
        <v>128.85</v>
      </c>
      <c r="Y309" s="352">
        <f t="shared" si="185"/>
        <v>0</v>
      </c>
    </row>
    <row r="310" spans="1:28" ht="50.1" hidden="1" customHeight="1">
      <c r="A310" s="273"/>
      <c r="B310" s="264"/>
      <c r="C310" s="1650"/>
      <c r="D310" s="1651"/>
      <c r="E310" s="1652"/>
      <c r="F310" s="1288"/>
      <c r="G310" s="1288"/>
      <c r="H310" s="273"/>
      <c r="I310" s="264"/>
      <c r="J310" s="267"/>
      <c r="K310" s="1291"/>
      <c r="L310" s="273"/>
      <c r="M310" s="264"/>
      <c r="N310" s="267"/>
      <c r="O310" s="319"/>
      <c r="P310" s="319"/>
      <c r="Q310" s="319"/>
      <c r="R310" s="319"/>
      <c r="S310" s="319"/>
      <c r="T310" s="319"/>
      <c r="U310" s="353"/>
      <c r="V310" s="353"/>
      <c r="X310" s="353"/>
      <c r="Y310" s="353"/>
    </row>
    <row r="311" spans="1:28" ht="50.1" hidden="1" customHeight="1">
      <c r="A311" s="273"/>
      <c r="B311" s="264"/>
      <c r="C311" s="1650"/>
      <c r="D311" s="1651"/>
      <c r="E311" s="1652"/>
      <c r="F311" s="1288"/>
      <c r="G311" s="1288"/>
      <c r="H311" s="273"/>
      <c r="I311" s="264"/>
      <c r="J311" s="267"/>
      <c r="K311" s="1291"/>
      <c r="L311" s="273"/>
      <c r="M311" s="264"/>
      <c r="N311" s="267"/>
      <c r="O311" s="319"/>
      <c r="P311" s="319"/>
      <c r="Q311" s="319"/>
      <c r="R311" s="319"/>
      <c r="S311" s="319"/>
      <c r="T311" s="319"/>
      <c r="U311" s="353"/>
      <c r="V311" s="353"/>
      <c r="X311" s="353"/>
      <c r="Y311" s="353"/>
    </row>
    <row r="312" spans="1:28" ht="50.1" hidden="1" customHeight="1">
      <c r="A312" s="273"/>
      <c r="B312" s="264"/>
      <c r="C312" s="1650"/>
      <c r="D312" s="1651"/>
      <c r="E312" s="1652"/>
      <c r="F312" s="1288"/>
      <c r="G312" s="1288"/>
      <c r="H312" s="273"/>
      <c r="I312" s="264"/>
      <c r="J312" s="267"/>
      <c r="K312" s="1291"/>
      <c r="L312" s="273"/>
      <c r="M312" s="264"/>
      <c r="N312" s="267"/>
      <c r="O312" s="319"/>
      <c r="P312" s="319"/>
      <c r="Q312" s="319"/>
      <c r="R312" s="319"/>
      <c r="S312" s="319"/>
      <c r="T312" s="319"/>
      <c r="U312" s="353"/>
      <c r="V312" s="353"/>
      <c r="X312" s="353"/>
      <c r="Y312" s="353"/>
    </row>
    <row r="313" spans="1:28" ht="50.1" hidden="1" customHeight="1">
      <c r="A313" s="273"/>
      <c r="B313" s="264"/>
      <c r="C313" s="1650"/>
      <c r="D313" s="1651"/>
      <c r="E313" s="1652"/>
      <c r="F313" s="1288"/>
      <c r="G313" s="1288"/>
      <c r="H313" s="273"/>
      <c r="I313" s="264"/>
      <c r="J313" s="267"/>
      <c r="K313" s="1291"/>
      <c r="L313" s="273"/>
      <c r="M313" s="264"/>
      <c r="N313" s="267"/>
      <c r="O313" s="319"/>
      <c r="P313" s="319"/>
      <c r="Q313" s="319"/>
      <c r="R313" s="319"/>
      <c r="S313" s="319"/>
      <c r="T313" s="319"/>
      <c r="U313" s="353"/>
      <c r="V313" s="353"/>
      <c r="X313" s="353"/>
      <c r="Y313" s="353"/>
    </row>
    <row r="314" spans="1:28" ht="50.1" hidden="1" customHeight="1">
      <c r="A314" s="273"/>
      <c r="B314" s="264"/>
      <c r="C314" s="1650"/>
      <c r="D314" s="1651"/>
      <c r="E314" s="1652"/>
      <c r="F314" s="1288"/>
      <c r="G314" s="1288"/>
      <c r="H314" s="273"/>
      <c r="I314" s="264"/>
      <c r="J314" s="267"/>
      <c r="K314" s="1291"/>
      <c r="L314" s="273"/>
      <c r="M314" s="264"/>
      <c r="N314" s="267"/>
      <c r="O314" s="319"/>
      <c r="P314" s="319"/>
      <c r="Q314" s="319"/>
      <c r="R314" s="319"/>
      <c r="S314" s="319"/>
      <c r="T314" s="319"/>
      <c r="U314" s="353"/>
      <c r="V314" s="353"/>
      <c r="X314" s="353"/>
      <c r="Y314" s="353"/>
    </row>
    <row r="315" spans="1:28" ht="50.1" hidden="1" customHeight="1">
      <c r="A315" s="273"/>
      <c r="B315" s="264"/>
      <c r="C315" s="1650"/>
      <c r="D315" s="1651"/>
      <c r="E315" s="1652"/>
      <c r="F315" s="1288"/>
      <c r="G315" s="1288"/>
      <c r="H315" s="273"/>
      <c r="I315" s="264"/>
      <c r="J315" s="267"/>
      <c r="K315" s="1291"/>
      <c r="L315" s="273"/>
      <c r="M315" s="264"/>
      <c r="N315" s="267"/>
      <c r="O315" s="319"/>
      <c r="P315" s="319"/>
      <c r="Q315" s="319"/>
      <c r="R315" s="319"/>
      <c r="S315" s="319"/>
      <c r="T315" s="319"/>
      <c r="U315" s="353"/>
      <c r="V315" s="353"/>
      <c r="X315" s="353"/>
      <c r="Y315" s="353"/>
    </row>
    <row r="316" spans="1:28" ht="50.1" hidden="1" customHeight="1">
      <c r="A316" s="273"/>
      <c r="B316" s="264"/>
      <c r="C316" s="1650"/>
      <c r="D316" s="1651"/>
      <c r="E316" s="1652"/>
      <c r="F316" s="1288"/>
      <c r="G316" s="1288"/>
      <c r="H316" s="273"/>
      <c r="I316" s="264"/>
      <c r="J316" s="267"/>
      <c r="K316" s="1291"/>
      <c r="L316" s="273"/>
      <c r="M316" s="264"/>
      <c r="N316" s="267"/>
      <c r="O316" s="319"/>
      <c r="P316" s="319"/>
      <c r="Q316" s="319"/>
      <c r="R316" s="319"/>
      <c r="S316" s="319"/>
      <c r="T316" s="319"/>
      <c r="U316" s="353"/>
      <c r="V316" s="353"/>
      <c r="X316" s="353"/>
      <c r="Y316" s="353"/>
    </row>
    <row r="317" spans="1:28" ht="50.1" customHeight="1">
      <c r="A317" s="1653" t="s">
        <v>21</v>
      </c>
      <c r="B317" s="1653"/>
      <c r="C317" s="1654">
        <f>SUM(C272:E309)</f>
        <v>81</v>
      </c>
      <c r="D317" s="1654"/>
      <c r="E317" s="1654"/>
      <c r="F317" s="1288"/>
      <c r="G317" s="1288"/>
      <c r="H317" s="287" t="s">
        <v>21</v>
      </c>
      <c r="I317" s="1292"/>
      <c r="J317" s="1293">
        <f>SUM(J272:J316)</f>
        <v>81</v>
      </c>
      <c r="K317" s="1294"/>
      <c r="L317" s="287" t="s">
        <v>21</v>
      </c>
      <c r="M317" s="1292"/>
      <c r="N317" s="1293" t="e">
        <f>SUM(N272:N309)</f>
        <v>#REF!</v>
      </c>
      <c r="O317" s="319"/>
      <c r="P317" s="319"/>
      <c r="Q317" s="319"/>
      <c r="R317" s="319"/>
      <c r="S317" s="319"/>
      <c r="T317" s="319"/>
    </row>
    <row r="318" spans="1:28" ht="50.1" customHeight="1">
      <c r="A318" s="407"/>
      <c r="B318" s="407"/>
      <c r="C318" s="407"/>
      <c r="D318" s="407"/>
      <c r="E318" s="1288"/>
      <c r="F318" s="1288"/>
      <c r="G318" s="1288"/>
      <c r="H318" s="1288"/>
      <c r="I318" s="319"/>
      <c r="J318" s="319"/>
      <c r="K318" s="319"/>
      <c r="L318" s="319"/>
      <c r="M318" s="319"/>
      <c r="N318" s="319"/>
      <c r="O318" s="319"/>
      <c r="P318" s="319"/>
      <c r="Q318" s="319"/>
      <c r="R318" s="319"/>
      <c r="S318" s="319"/>
      <c r="T318" s="319"/>
    </row>
    <row r="319" spans="1:28" s="327" customFormat="1" ht="45" customHeight="1">
      <c r="A319" s="1665" t="s">
        <v>313</v>
      </c>
      <c r="B319" s="1665"/>
      <c r="C319" s="1665"/>
      <c r="D319" s="1665"/>
      <c r="E319" s="1665"/>
      <c r="F319" s="1288"/>
      <c r="G319" s="1288"/>
      <c r="H319" s="1622" t="s">
        <v>409</v>
      </c>
      <c r="I319" s="1623"/>
      <c r="J319" s="1624"/>
      <c r="K319" s="1289"/>
      <c r="L319" s="1622" t="s">
        <v>452</v>
      </c>
      <c r="M319" s="1623"/>
      <c r="N319" s="1624"/>
      <c r="O319" s="1289"/>
      <c r="P319" s="1289"/>
      <c r="Q319" s="1289"/>
      <c r="R319" s="1622" t="s">
        <v>726</v>
      </c>
      <c r="S319" s="1623"/>
      <c r="T319" s="1624"/>
      <c r="U319" s="1666" t="str">
        <f>H319</f>
        <v>TAMPA PARA POÇOS DE VISITA</v>
      </c>
      <c r="V319" s="1667"/>
      <c r="X319" s="1666" t="str">
        <f>L319</f>
        <v>ALA DE LANÇAMENTO</v>
      </c>
      <c r="Y319" s="1667"/>
      <c r="AA319" s="1666" t="str">
        <f>R319</f>
        <v>RECUPERAÇÃO DE PV´S</v>
      </c>
      <c r="AB319" s="1667"/>
    </row>
    <row r="320" spans="1:28" ht="50.1" customHeight="1">
      <c r="A320" s="273" t="s">
        <v>6</v>
      </c>
      <c r="B320" s="273" t="s">
        <v>215</v>
      </c>
      <c r="C320" s="1664" t="s">
        <v>217</v>
      </c>
      <c r="D320" s="1664"/>
      <c r="E320" s="1664"/>
      <c r="F320" s="1288"/>
      <c r="G320" s="1288"/>
      <c r="H320" s="273" t="s">
        <v>6</v>
      </c>
      <c r="I320" s="273" t="s">
        <v>215</v>
      </c>
      <c r="J320" s="264" t="s">
        <v>217</v>
      </c>
      <c r="K320" s="995"/>
      <c r="L320" s="273" t="s">
        <v>6</v>
      </c>
      <c r="M320" s="273" t="s">
        <v>215</v>
      </c>
      <c r="N320" s="264" t="s">
        <v>217</v>
      </c>
      <c r="O320" s="995"/>
      <c r="P320" s="995"/>
      <c r="Q320" s="995"/>
      <c r="R320" s="273" t="s">
        <v>6</v>
      </c>
      <c r="S320" s="273" t="s">
        <v>215</v>
      </c>
      <c r="T320" s="264" t="s">
        <v>217</v>
      </c>
      <c r="U320" s="350" t="s">
        <v>453</v>
      </c>
      <c r="V320" s="350" t="s">
        <v>21</v>
      </c>
      <c r="X320" s="350" t="s">
        <v>453</v>
      </c>
      <c r="Y320" s="350" t="s">
        <v>21</v>
      </c>
      <c r="AA320" s="350" t="s">
        <v>453</v>
      </c>
      <c r="AB320" s="350" t="s">
        <v>21</v>
      </c>
    </row>
    <row r="321" spans="1:28" ht="50.1" customHeight="1">
      <c r="A321" s="273">
        <f t="shared" ref="A321:A347" si="194">A20</f>
        <v>1</v>
      </c>
      <c r="B321" s="264" t="str">
        <f t="shared" ref="B321:B347" si="195">B20</f>
        <v>R. DA PUPUNHEIRA</v>
      </c>
      <c r="C321" s="1650"/>
      <c r="D321" s="1651"/>
      <c r="E321" s="1652"/>
      <c r="F321" s="1288"/>
      <c r="G321" s="1288"/>
      <c r="H321" s="273">
        <f t="shared" ref="H321:H340" si="196">A321</f>
        <v>1</v>
      </c>
      <c r="I321" s="264" t="str">
        <f t="shared" ref="I321:I340" si="197">B321</f>
        <v>R. DA PUPUNHEIRA</v>
      </c>
      <c r="J321" s="267">
        <f t="shared" ref="J321:J340" si="198">C321</f>
        <v>0</v>
      </c>
      <c r="K321" s="1295"/>
      <c r="L321" s="273">
        <f>H321</f>
        <v>1</v>
      </c>
      <c r="M321" s="264" t="str">
        <f>I321</f>
        <v>R. DA PUPUNHEIRA</v>
      </c>
      <c r="N321" s="267"/>
      <c r="O321" s="1295"/>
      <c r="P321" s="1295"/>
      <c r="Q321" s="1295"/>
      <c r="R321" s="273">
        <f t="shared" ref="R321:R333" si="199">L321</f>
        <v>1</v>
      </c>
      <c r="S321" s="264" t="str">
        <f t="shared" ref="S321:S333" si="200">M321</f>
        <v>R. DA PUPUNHEIRA</v>
      </c>
      <c r="T321" s="267">
        <f t="shared" ref="T321:T340" si="201">ROUNDUP(N272/2,)</f>
        <v>0</v>
      </c>
      <c r="U321" s="352">
        <f>ORÇAMENTO!$J$108</f>
        <v>128.85</v>
      </c>
      <c r="V321" s="352">
        <f t="shared" ref="V321:V358" si="202">J321*U321</f>
        <v>0</v>
      </c>
      <c r="X321" s="352">
        <f>ORÇAMENTO!$J$115</f>
        <v>4992.99</v>
      </c>
      <c r="Y321" s="352">
        <f t="shared" ref="Y321:Y358" si="203">N321*X321</f>
        <v>0</v>
      </c>
      <c r="AA321" s="352">
        <f>ORÇAMENTO!$I$112</f>
        <v>4671.29</v>
      </c>
      <c r="AB321" s="352">
        <f t="shared" ref="AB321:AB358" si="204">T321*AA321</f>
        <v>0</v>
      </c>
    </row>
    <row r="322" spans="1:28" ht="50.1" customHeight="1">
      <c r="A322" s="273">
        <f t="shared" si="194"/>
        <v>2</v>
      </c>
      <c r="B322" s="264" t="str">
        <f t="shared" si="195"/>
        <v>R. TANGERINA</v>
      </c>
      <c r="C322" s="1650"/>
      <c r="D322" s="1651"/>
      <c r="E322" s="1652"/>
      <c r="F322" s="1288"/>
      <c r="G322" s="1288"/>
      <c r="H322" s="273">
        <f t="shared" si="196"/>
        <v>2</v>
      </c>
      <c r="I322" s="264" t="str">
        <f t="shared" si="197"/>
        <v>R. TANGERINA</v>
      </c>
      <c r="J322" s="267">
        <f t="shared" si="198"/>
        <v>0</v>
      </c>
      <c r="K322" s="1295"/>
      <c r="L322" s="273">
        <f t="shared" ref="L322:L340" si="205">H322</f>
        <v>2</v>
      </c>
      <c r="M322" s="264" t="str">
        <f t="shared" ref="M322:M340" si="206">I322</f>
        <v>R. TANGERINA</v>
      </c>
      <c r="N322" s="267"/>
      <c r="O322" s="1295"/>
      <c r="P322" s="1295"/>
      <c r="Q322" s="1295"/>
      <c r="R322" s="273">
        <f t="shared" si="199"/>
        <v>2</v>
      </c>
      <c r="S322" s="264" t="str">
        <f t="shared" si="200"/>
        <v>R. TANGERINA</v>
      </c>
      <c r="T322" s="267"/>
      <c r="U322" s="352">
        <f>ORÇAMENTO!$J$108</f>
        <v>128.85</v>
      </c>
      <c r="V322" s="352">
        <f t="shared" si="202"/>
        <v>0</v>
      </c>
      <c r="X322" s="352">
        <f>ORÇAMENTO!$J$115</f>
        <v>4992.99</v>
      </c>
      <c r="Y322" s="352">
        <f t="shared" si="203"/>
        <v>0</v>
      </c>
      <c r="AA322" s="352">
        <f>ORÇAMENTO!$I$112</f>
        <v>4671.29</v>
      </c>
      <c r="AB322" s="352">
        <f t="shared" si="204"/>
        <v>0</v>
      </c>
    </row>
    <row r="323" spans="1:28" ht="50.1" customHeight="1">
      <c r="A323" s="273">
        <f t="shared" si="194"/>
        <v>3</v>
      </c>
      <c r="B323" s="264" t="str">
        <f t="shared" si="195"/>
        <v>PASS. LARANJEIRA</v>
      </c>
      <c r="C323" s="1650"/>
      <c r="D323" s="1651"/>
      <c r="E323" s="1652"/>
      <c r="F323" s="1288"/>
      <c r="G323" s="1288"/>
      <c r="H323" s="273">
        <f t="shared" si="196"/>
        <v>3</v>
      </c>
      <c r="I323" s="264" t="str">
        <f t="shared" si="197"/>
        <v>PASS. LARANJEIRA</v>
      </c>
      <c r="J323" s="267">
        <f t="shared" si="198"/>
        <v>0</v>
      </c>
      <c r="K323" s="1295"/>
      <c r="L323" s="273">
        <f t="shared" si="205"/>
        <v>3</v>
      </c>
      <c r="M323" s="264" t="str">
        <f t="shared" si="206"/>
        <v>PASS. LARANJEIRA</v>
      </c>
      <c r="N323" s="267"/>
      <c r="O323" s="1295"/>
      <c r="P323" s="1295"/>
      <c r="Q323" s="1295"/>
      <c r="R323" s="273">
        <f t="shared" si="199"/>
        <v>3</v>
      </c>
      <c r="S323" s="264" t="str">
        <f t="shared" si="200"/>
        <v>PASS. LARANJEIRA</v>
      </c>
      <c r="T323" s="267">
        <f t="shared" si="201"/>
        <v>0</v>
      </c>
      <c r="U323" s="352">
        <f>ORÇAMENTO!$J$108</f>
        <v>128.85</v>
      </c>
      <c r="V323" s="352">
        <f t="shared" si="202"/>
        <v>0</v>
      </c>
      <c r="X323" s="352">
        <f>ORÇAMENTO!$J$115</f>
        <v>4992.99</v>
      </c>
      <c r="Y323" s="352">
        <f t="shared" si="203"/>
        <v>0</v>
      </c>
      <c r="AA323" s="352">
        <f>ORÇAMENTO!$I$112</f>
        <v>4671.29</v>
      </c>
      <c r="AB323" s="352">
        <f t="shared" si="204"/>
        <v>0</v>
      </c>
    </row>
    <row r="324" spans="1:28" ht="50.1" customHeight="1">
      <c r="A324" s="273">
        <f t="shared" si="194"/>
        <v>4</v>
      </c>
      <c r="B324" s="264" t="str">
        <f t="shared" si="195"/>
        <v xml:space="preserve">TV. FÉ EM DEUS </v>
      </c>
      <c r="C324" s="1650"/>
      <c r="D324" s="1651"/>
      <c r="E324" s="1652"/>
      <c r="F324" s="1288"/>
      <c r="G324" s="1288"/>
      <c r="H324" s="273">
        <f t="shared" si="196"/>
        <v>4</v>
      </c>
      <c r="I324" s="264" t="str">
        <f t="shared" si="197"/>
        <v xml:space="preserve">TV. FÉ EM DEUS </v>
      </c>
      <c r="J324" s="267">
        <f>C324</f>
        <v>0</v>
      </c>
      <c r="K324" s="1295"/>
      <c r="L324" s="273">
        <f t="shared" si="205"/>
        <v>4</v>
      </c>
      <c r="M324" s="264" t="str">
        <f t="shared" si="206"/>
        <v xml:space="preserve">TV. FÉ EM DEUS </v>
      </c>
      <c r="N324" s="267"/>
      <c r="O324" s="1295"/>
      <c r="P324" s="1295"/>
      <c r="Q324" s="1295"/>
      <c r="R324" s="273">
        <f t="shared" si="199"/>
        <v>4</v>
      </c>
      <c r="S324" s="264" t="str">
        <f t="shared" si="200"/>
        <v xml:space="preserve">TV. FÉ EM DEUS </v>
      </c>
      <c r="T324" s="267">
        <f t="shared" si="201"/>
        <v>0</v>
      </c>
      <c r="U324" s="352">
        <f>ORÇAMENTO!$J$108</f>
        <v>128.85</v>
      </c>
      <c r="V324" s="352">
        <f t="shared" si="202"/>
        <v>0</v>
      </c>
      <c r="X324" s="352">
        <f>ORÇAMENTO!$J$115</f>
        <v>4992.99</v>
      </c>
      <c r="Y324" s="352">
        <f t="shared" si="203"/>
        <v>0</v>
      </c>
      <c r="AA324" s="352">
        <f>ORÇAMENTO!$I$112</f>
        <v>4671.29</v>
      </c>
      <c r="AB324" s="352">
        <f t="shared" si="204"/>
        <v>0</v>
      </c>
    </row>
    <row r="325" spans="1:28" ht="50.1" customHeight="1">
      <c r="A325" s="273">
        <f t="shared" si="194"/>
        <v>5</v>
      </c>
      <c r="B325" s="264" t="str">
        <f t="shared" si="195"/>
        <v>RUA PAULO ASSUNÇÃO</v>
      </c>
      <c r="C325" s="1650"/>
      <c r="D325" s="1651"/>
      <c r="E325" s="1652"/>
      <c r="F325" s="1288"/>
      <c r="G325" s="1288"/>
      <c r="H325" s="273">
        <f t="shared" si="196"/>
        <v>5</v>
      </c>
      <c r="I325" s="264" t="str">
        <f t="shared" si="197"/>
        <v>RUA PAULO ASSUNÇÃO</v>
      </c>
      <c r="J325" s="267">
        <f t="shared" si="198"/>
        <v>0</v>
      </c>
      <c r="K325" s="1295"/>
      <c r="L325" s="273">
        <f t="shared" si="205"/>
        <v>5</v>
      </c>
      <c r="M325" s="264" t="str">
        <f t="shared" si="206"/>
        <v>RUA PAULO ASSUNÇÃO</v>
      </c>
      <c r="N325" s="267"/>
      <c r="O325" s="1295"/>
      <c r="P325" s="1295"/>
      <c r="Q325" s="1295"/>
      <c r="R325" s="273">
        <f t="shared" si="199"/>
        <v>5</v>
      </c>
      <c r="S325" s="264" t="str">
        <f t="shared" si="200"/>
        <v>RUA PAULO ASSUNÇÃO</v>
      </c>
      <c r="T325" s="267">
        <f t="shared" si="201"/>
        <v>0</v>
      </c>
      <c r="U325" s="352">
        <f>ORÇAMENTO!$J$108</f>
        <v>128.85</v>
      </c>
      <c r="V325" s="352">
        <f t="shared" si="202"/>
        <v>0</v>
      </c>
      <c r="X325" s="352">
        <f>ORÇAMENTO!$J$115</f>
        <v>4992.99</v>
      </c>
      <c r="Y325" s="352">
        <f t="shared" si="203"/>
        <v>0</v>
      </c>
      <c r="AA325" s="352">
        <f>ORÇAMENTO!$I$112</f>
        <v>4671.29</v>
      </c>
      <c r="AB325" s="352">
        <f t="shared" si="204"/>
        <v>0</v>
      </c>
    </row>
    <row r="326" spans="1:28" ht="50.1" customHeight="1">
      <c r="A326" s="273">
        <f t="shared" si="194"/>
        <v>6</v>
      </c>
      <c r="B326" s="264" t="str">
        <f t="shared" si="195"/>
        <v>PASS PAULO ASSUNÇÃO</v>
      </c>
      <c r="C326" s="1650"/>
      <c r="D326" s="1651"/>
      <c r="E326" s="1652"/>
      <c r="F326" s="1288"/>
      <c r="G326" s="1288"/>
      <c r="H326" s="273">
        <f t="shared" si="196"/>
        <v>6</v>
      </c>
      <c r="I326" s="264" t="str">
        <f t="shared" si="197"/>
        <v>PASS PAULO ASSUNÇÃO</v>
      </c>
      <c r="J326" s="267">
        <f t="shared" si="198"/>
        <v>0</v>
      </c>
      <c r="K326" s="1295"/>
      <c r="L326" s="273">
        <f t="shared" si="205"/>
        <v>6</v>
      </c>
      <c r="M326" s="264" t="str">
        <f t="shared" si="206"/>
        <v>PASS PAULO ASSUNÇÃO</v>
      </c>
      <c r="N326" s="267"/>
      <c r="O326" s="1295"/>
      <c r="P326" s="1295"/>
      <c r="Q326" s="1295"/>
      <c r="R326" s="273">
        <f t="shared" si="199"/>
        <v>6</v>
      </c>
      <c r="S326" s="264" t="str">
        <f t="shared" si="200"/>
        <v>PASS PAULO ASSUNÇÃO</v>
      </c>
      <c r="T326" s="267">
        <f t="shared" si="201"/>
        <v>0</v>
      </c>
      <c r="U326" s="352">
        <f>ORÇAMENTO!$J$108</f>
        <v>128.85</v>
      </c>
      <c r="V326" s="352">
        <f t="shared" si="202"/>
        <v>0</v>
      </c>
      <c r="X326" s="352">
        <f>ORÇAMENTO!$J$115</f>
        <v>4992.99</v>
      </c>
      <c r="Y326" s="352">
        <f t="shared" si="203"/>
        <v>0</v>
      </c>
      <c r="AA326" s="352">
        <f>ORÇAMENTO!$I$112</f>
        <v>4671.29</v>
      </c>
      <c r="AB326" s="352">
        <f t="shared" si="204"/>
        <v>0</v>
      </c>
    </row>
    <row r="327" spans="1:28" ht="50.1" customHeight="1">
      <c r="A327" s="273">
        <f t="shared" si="194"/>
        <v>7</v>
      </c>
      <c r="B327" s="264" t="str">
        <f t="shared" si="195"/>
        <v>RUA DO PISCINÃO</v>
      </c>
      <c r="C327" s="1650">
        <v>7</v>
      </c>
      <c r="D327" s="1651"/>
      <c r="E327" s="1652"/>
      <c r="F327" s="1288"/>
      <c r="G327" s="1288"/>
      <c r="H327" s="273">
        <f t="shared" si="196"/>
        <v>7</v>
      </c>
      <c r="I327" s="264" t="str">
        <f t="shared" si="197"/>
        <v>RUA DO PISCINÃO</v>
      </c>
      <c r="J327" s="267">
        <f t="shared" si="198"/>
        <v>7</v>
      </c>
      <c r="K327" s="1295"/>
      <c r="L327" s="273">
        <f t="shared" si="205"/>
        <v>7</v>
      </c>
      <c r="M327" s="264" t="str">
        <f t="shared" si="206"/>
        <v>RUA DO PISCINÃO</v>
      </c>
      <c r="N327" s="267">
        <v>1</v>
      </c>
      <c r="O327" s="1295"/>
      <c r="P327" s="1295"/>
      <c r="Q327" s="1295"/>
      <c r="R327" s="273">
        <f t="shared" si="199"/>
        <v>7</v>
      </c>
      <c r="S327" s="264" t="str">
        <f t="shared" si="200"/>
        <v>RUA DO PISCINÃO</v>
      </c>
      <c r="T327" s="267">
        <f t="shared" si="201"/>
        <v>0</v>
      </c>
      <c r="U327" s="352">
        <f>ORÇAMENTO!$J$108</f>
        <v>128.85</v>
      </c>
      <c r="V327" s="352">
        <f t="shared" si="202"/>
        <v>901.95</v>
      </c>
      <c r="X327" s="352">
        <f>ORÇAMENTO!$J$116</f>
        <v>7497.13</v>
      </c>
      <c r="Y327" s="352">
        <f t="shared" si="203"/>
        <v>7497.13</v>
      </c>
      <c r="AA327" s="352">
        <f>ORÇAMENTO!$I$112</f>
        <v>4671.29</v>
      </c>
      <c r="AB327" s="352">
        <f t="shared" si="204"/>
        <v>0</v>
      </c>
    </row>
    <row r="328" spans="1:28" ht="50.1" customHeight="1">
      <c r="A328" s="273">
        <f t="shared" si="194"/>
        <v>8</v>
      </c>
      <c r="B328" s="264" t="str">
        <f t="shared" si="195"/>
        <v>TV DEUS PROVERÁ</v>
      </c>
      <c r="C328" s="1650"/>
      <c r="D328" s="1651"/>
      <c r="E328" s="1652"/>
      <c r="F328" s="1288"/>
      <c r="G328" s="1288"/>
      <c r="H328" s="273">
        <f t="shared" si="196"/>
        <v>8</v>
      </c>
      <c r="I328" s="264" t="str">
        <f t="shared" si="197"/>
        <v>TV DEUS PROVERÁ</v>
      </c>
      <c r="J328" s="267">
        <f t="shared" si="198"/>
        <v>0</v>
      </c>
      <c r="K328" s="1295"/>
      <c r="L328" s="273">
        <f t="shared" si="205"/>
        <v>8</v>
      </c>
      <c r="M328" s="264" t="str">
        <f t="shared" si="206"/>
        <v>TV DEUS PROVERÁ</v>
      </c>
      <c r="N328" s="267"/>
      <c r="O328" s="1295"/>
      <c r="P328" s="1295"/>
      <c r="Q328" s="1295"/>
      <c r="R328" s="273">
        <f t="shared" si="199"/>
        <v>8</v>
      </c>
      <c r="S328" s="264" t="str">
        <f t="shared" si="200"/>
        <v>TV DEUS PROVERÁ</v>
      </c>
      <c r="T328" s="267">
        <f t="shared" si="201"/>
        <v>0</v>
      </c>
      <c r="U328" s="352">
        <f>ORÇAMENTO!$J$108</f>
        <v>128.85</v>
      </c>
      <c r="V328" s="352">
        <f t="shared" si="202"/>
        <v>0</v>
      </c>
      <c r="X328" s="352">
        <f>ORÇAMENTO!$J$115</f>
        <v>4992.99</v>
      </c>
      <c r="Y328" s="352">
        <f t="shared" si="203"/>
        <v>0</v>
      </c>
      <c r="AA328" s="352">
        <f>ORÇAMENTO!$I$112</f>
        <v>4671.29</v>
      </c>
      <c r="AB328" s="352">
        <f t="shared" si="204"/>
        <v>0</v>
      </c>
    </row>
    <row r="329" spans="1:28" ht="50.1" customHeight="1">
      <c r="A329" s="273">
        <f t="shared" si="194"/>
        <v>9</v>
      </c>
      <c r="B329" s="264" t="str">
        <f t="shared" si="195"/>
        <v>RUA A</v>
      </c>
      <c r="C329" s="1650"/>
      <c r="D329" s="1651"/>
      <c r="E329" s="1652"/>
      <c r="F329" s="1288"/>
      <c r="G329" s="1288"/>
      <c r="H329" s="273">
        <f t="shared" si="196"/>
        <v>9</v>
      </c>
      <c r="I329" s="264" t="str">
        <f t="shared" si="197"/>
        <v>RUA A</v>
      </c>
      <c r="J329" s="267">
        <f t="shared" si="198"/>
        <v>0</v>
      </c>
      <c r="K329" s="1295"/>
      <c r="L329" s="273">
        <f t="shared" si="205"/>
        <v>9</v>
      </c>
      <c r="M329" s="264" t="str">
        <f t="shared" si="206"/>
        <v>RUA A</v>
      </c>
      <c r="N329" s="267"/>
      <c r="O329" s="1295"/>
      <c r="P329" s="1295"/>
      <c r="Q329" s="1295"/>
      <c r="R329" s="273">
        <f t="shared" si="199"/>
        <v>9</v>
      </c>
      <c r="S329" s="264" t="str">
        <f t="shared" si="200"/>
        <v>RUA A</v>
      </c>
      <c r="T329" s="267">
        <f t="shared" si="201"/>
        <v>0</v>
      </c>
      <c r="U329" s="352">
        <f>ORÇAMENTO!$J$108</f>
        <v>128.85</v>
      </c>
      <c r="V329" s="352">
        <f t="shared" si="202"/>
        <v>0</v>
      </c>
      <c r="X329" s="352">
        <f>ORÇAMENTO!$J$115</f>
        <v>4992.99</v>
      </c>
      <c r="Y329" s="352">
        <f t="shared" si="203"/>
        <v>0</v>
      </c>
      <c r="AA329" s="352">
        <f>ORÇAMENTO!$I$112</f>
        <v>4671.29</v>
      </c>
      <c r="AB329" s="352">
        <f t="shared" si="204"/>
        <v>0</v>
      </c>
    </row>
    <row r="330" spans="1:28" ht="50.1" customHeight="1">
      <c r="A330" s="273">
        <f t="shared" si="194"/>
        <v>10</v>
      </c>
      <c r="B330" s="264" t="str">
        <f t="shared" si="195"/>
        <v>RUA B</v>
      </c>
      <c r="C330" s="1650"/>
      <c r="D330" s="1651"/>
      <c r="E330" s="1652"/>
      <c r="F330" s="1288"/>
      <c r="G330" s="1288"/>
      <c r="H330" s="273">
        <f t="shared" si="196"/>
        <v>10</v>
      </c>
      <c r="I330" s="264" t="str">
        <f t="shared" si="197"/>
        <v>RUA B</v>
      </c>
      <c r="J330" s="267">
        <f t="shared" si="198"/>
        <v>0</v>
      </c>
      <c r="K330" s="1295"/>
      <c r="L330" s="273">
        <f t="shared" si="205"/>
        <v>10</v>
      </c>
      <c r="M330" s="264" t="str">
        <f t="shared" si="206"/>
        <v>RUA B</v>
      </c>
      <c r="N330" s="267"/>
      <c r="O330" s="1295"/>
      <c r="P330" s="1295"/>
      <c r="Q330" s="1295"/>
      <c r="R330" s="273">
        <f t="shared" si="199"/>
        <v>10</v>
      </c>
      <c r="S330" s="264" t="str">
        <f t="shared" si="200"/>
        <v>RUA B</v>
      </c>
      <c r="T330" s="267">
        <f t="shared" si="201"/>
        <v>0</v>
      </c>
      <c r="U330" s="352">
        <f>ORÇAMENTO!$J$108</f>
        <v>128.85</v>
      </c>
      <c r="V330" s="352">
        <f t="shared" si="202"/>
        <v>0</v>
      </c>
      <c r="X330" s="352">
        <f>ORÇAMENTO!$J$115</f>
        <v>4992.99</v>
      </c>
      <c r="Y330" s="352">
        <f t="shared" si="203"/>
        <v>0</v>
      </c>
      <c r="AA330" s="352">
        <f>ORÇAMENTO!$I$112</f>
        <v>4671.29</v>
      </c>
      <c r="AB330" s="352">
        <f t="shared" si="204"/>
        <v>0</v>
      </c>
    </row>
    <row r="331" spans="1:28" ht="50.1" customHeight="1">
      <c r="A331" s="273">
        <f t="shared" si="194"/>
        <v>14</v>
      </c>
      <c r="B331" s="264" t="str">
        <f t="shared" si="195"/>
        <v>RUA DAS ORQUIDEAS</v>
      </c>
      <c r="C331" s="1650"/>
      <c r="D331" s="1651"/>
      <c r="E331" s="1652"/>
      <c r="F331" s="1288"/>
      <c r="G331" s="1288"/>
      <c r="H331" s="273">
        <f t="shared" si="196"/>
        <v>14</v>
      </c>
      <c r="I331" s="264" t="str">
        <f t="shared" si="197"/>
        <v>RUA DAS ORQUIDEAS</v>
      </c>
      <c r="J331" s="267">
        <f t="shared" si="198"/>
        <v>0</v>
      </c>
      <c r="K331" s="1295"/>
      <c r="L331" s="273">
        <f t="shared" si="205"/>
        <v>14</v>
      </c>
      <c r="M331" s="264" t="str">
        <f t="shared" si="206"/>
        <v>RUA DAS ORQUIDEAS</v>
      </c>
      <c r="N331" s="267"/>
      <c r="O331" s="1295"/>
      <c r="P331" s="1295"/>
      <c r="Q331" s="1295"/>
      <c r="R331" s="273">
        <f t="shared" si="199"/>
        <v>14</v>
      </c>
      <c r="S331" s="264" t="str">
        <f t="shared" si="200"/>
        <v>RUA DAS ORQUIDEAS</v>
      </c>
      <c r="T331" s="267">
        <f t="shared" si="201"/>
        <v>0</v>
      </c>
      <c r="U331" s="352">
        <f>ORÇAMENTO!$J$108</f>
        <v>128.85</v>
      </c>
      <c r="V331" s="352">
        <f t="shared" si="202"/>
        <v>0</v>
      </c>
      <c r="X331" s="352">
        <f>ORÇAMENTO!$J$115</f>
        <v>4992.99</v>
      </c>
      <c r="Y331" s="352">
        <f t="shared" si="203"/>
        <v>0</v>
      </c>
      <c r="AA331" s="352">
        <f>ORÇAMENTO!$I$112</f>
        <v>4671.29</v>
      </c>
      <c r="AB331" s="352">
        <f t="shared" si="204"/>
        <v>0</v>
      </c>
    </row>
    <row r="332" spans="1:28" ht="50.1" customHeight="1">
      <c r="A332" s="273">
        <f t="shared" si="194"/>
        <v>15</v>
      </c>
      <c r="B332" s="264" t="str">
        <f t="shared" si="195"/>
        <v>RUA HUM</v>
      </c>
      <c r="C332" s="1650"/>
      <c r="D332" s="1651"/>
      <c r="E332" s="1652"/>
      <c r="F332" s="1288"/>
      <c r="G332" s="1288"/>
      <c r="H332" s="273">
        <f t="shared" si="196"/>
        <v>15</v>
      </c>
      <c r="I332" s="264" t="str">
        <f t="shared" si="197"/>
        <v>RUA HUM</v>
      </c>
      <c r="J332" s="267">
        <f t="shared" si="198"/>
        <v>0</v>
      </c>
      <c r="K332" s="1295"/>
      <c r="L332" s="273">
        <f t="shared" si="205"/>
        <v>15</v>
      </c>
      <c r="M332" s="264" t="str">
        <f t="shared" si="206"/>
        <v>RUA HUM</v>
      </c>
      <c r="N332" s="267"/>
      <c r="O332" s="1295"/>
      <c r="P332" s="1295"/>
      <c r="Q332" s="1295"/>
      <c r="R332" s="273">
        <f t="shared" si="199"/>
        <v>15</v>
      </c>
      <c r="S332" s="264" t="str">
        <f t="shared" si="200"/>
        <v>RUA HUM</v>
      </c>
      <c r="T332" s="267">
        <f t="shared" si="201"/>
        <v>0</v>
      </c>
      <c r="U332" s="352">
        <f>ORÇAMENTO!$J$108</f>
        <v>128.85</v>
      </c>
      <c r="V332" s="352">
        <f t="shared" si="202"/>
        <v>0</v>
      </c>
      <c r="X332" s="352">
        <f>ORÇAMENTO!$J$115</f>
        <v>4992.99</v>
      </c>
      <c r="Y332" s="352">
        <f t="shared" si="203"/>
        <v>0</v>
      </c>
      <c r="AA332" s="352">
        <f>ORÇAMENTO!$I$112</f>
        <v>4671.29</v>
      </c>
      <c r="AB332" s="352">
        <f t="shared" si="204"/>
        <v>0</v>
      </c>
    </row>
    <row r="333" spans="1:28" ht="50.1" customHeight="1">
      <c r="A333" s="273">
        <f t="shared" si="194"/>
        <v>16</v>
      </c>
      <c r="B333" s="264" t="str">
        <f t="shared" si="195"/>
        <v>RUA DOIS</v>
      </c>
      <c r="C333" s="1650"/>
      <c r="D333" s="1651"/>
      <c r="E333" s="1652"/>
      <c r="F333" s="1288"/>
      <c r="G333" s="1288"/>
      <c r="H333" s="273">
        <f t="shared" si="196"/>
        <v>16</v>
      </c>
      <c r="I333" s="264" t="str">
        <f t="shared" si="197"/>
        <v>RUA DOIS</v>
      </c>
      <c r="J333" s="267">
        <f t="shared" si="198"/>
        <v>0</v>
      </c>
      <c r="K333" s="1295"/>
      <c r="L333" s="273">
        <f t="shared" si="205"/>
        <v>16</v>
      </c>
      <c r="M333" s="264" t="str">
        <f t="shared" si="206"/>
        <v>RUA DOIS</v>
      </c>
      <c r="N333" s="267"/>
      <c r="O333" s="1295"/>
      <c r="P333" s="1295"/>
      <c r="Q333" s="1295"/>
      <c r="R333" s="273">
        <f t="shared" si="199"/>
        <v>16</v>
      </c>
      <c r="S333" s="264" t="str">
        <f t="shared" si="200"/>
        <v>RUA DOIS</v>
      </c>
      <c r="T333" s="267">
        <f t="shared" si="201"/>
        <v>0</v>
      </c>
      <c r="U333" s="352">
        <f>ORÇAMENTO!$J$108</f>
        <v>128.85</v>
      </c>
      <c r="V333" s="352">
        <f t="shared" si="202"/>
        <v>0</v>
      </c>
      <c r="X333" s="352">
        <f>ORÇAMENTO!$J$115</f>
        <v>4992.99</v>
      </c>
      <c r="Y333" s="352">
        <f t="shared" si="203"/>
        <v>0</v>
      </c>
      <c r="AA333" s="352">
        <f>ORÇAMENTO!$I$112</f>
        <v>4671.29</v>
      </c>
      <c r="AB333" s="352">
        <f t="shared" si="204"/>
        <v>0</v>
      </c>
    </row>
    <row r="334" spans="1:28" ht="50.1" customHeight="1">
      <c r="A334" s="273">
        <f t="shared" si="194"/>
        <v>17</v>
      </c>
      <c r="B334" s="264" t="str">
        <f t="shared" si="195"/>
        <v>RUA TRÊS</v>
      </c>
      <c r="C334" s="1650"/>
      <c r="D334" s="1651"/>
      <c r="E334" s="1652"/>
      <c r="F334" s="1288"/>
      <c r="G334" s="1288"/>
      <c r="H334" s="273">
        <f t="shared" si="196"/>
        <v>17</v>
      </c>
      <c r="I334" s="264" t="str">
        <f t="shared" si="197"/>
        <v>RUA TRÊS</v>
      </c>
      <c r="J334" s="267">
        <f t="shared" si="198"/>
        <v>0</v>
      </c>
      <c r="K334" s="1295"/>
      <c r="L334" s="273">
        <f t="shared" si="205"/>
        <v>17</v>
      </c>
      <c r="M334" s="264" t="str">
        <f t="shared" si="206"/>
        <v>RUA TRÊS</v>
      </c>
      <c r="N334" s="267"/>
      <c r="O334" s="1295"/>
      <c r="P334" s="1295"/>
      <c r="Q334" s="1295"/>
      <c r="R334" s="273">
        <f t="shared" ref="R334:R340" si="207">L334</f>
        <v>17</v>
      </c>
      <c r="S334" s="264" t="str">
        <f t="shared" ref="S334:S340" si="208">M334</f>
        <v>RUA TRÊS</v>
      </c>
      <c r="T334" s="267">
        <f t="shared" si="201"/>
        <v>0</v>
      </c>
      <c r="U334" s="352">
        <f>ORÇAMENTO!$J$108</f>
        <v>128.85</v>
      </c>
      <c r="V334" s="352">
        <f t="shared" si="202"/>
        <v>0</v>
      </c>
      <c r="X334" s="352">
        <f>ORÇAMENTO!$J$115</f>
        <v>4992.99</v>
      </c>
      <c r="Y334" s="352">
        <f t="shared" si="203"/>
        <v>0</v>
      </c>
      <c r="AA334" s="352">
        <f>ORÇAMENTO!$I$112</f>
        <v>4671.29</v>
      </c>
      <c r="AB334" s="352">
        <f t="shared" si="204"/>
        <v>0</v>
      </c>
    </row>
    <row r="335" spans="1:28" ht="50.1" customHeight="1">
      <c r="A335" s="273">
        <f t="shared" si="194"/>
        <v>18</v>
      </c>
      <c r="B335" s="264" t="str">
        <f t="shared" si="195"/>
        <v>PASS DA LUZ</v>
      </c>
      <c r="C335" s="1650"/>
      <c r="D335" s="1651"/>
      <c r="E335" s="1652"/>
      <c r="F335" s="1288"/>
      <c r="G335" s="1288"/>
      <c r="H335" s="273">
        <f t="shared" si="196"/>
        <v>18</v>
      </c>
      <c r="I335" s="264" t="str">
        <f t="shared" si="197"/>
        <v>PASS DA LUZ</v>
      </c>
      <c r="J335" s="267">
        <f t="shared" si="198"/>
        <v>0</v>
      </c>
      <c r="K335" s="1295"/>
      <c r="L335" s="273">
        <f t="shared" si="205"/>
        <v>18</v>
      </c>
      <c r="M335" s="264" t="str">
        <f t="shared" si="206"/>
        <v>PASS DA LUZ</v>
      </c>
      <c r="N335" s="267"/>
      <c r="O335" s="1295"/>
      <c r="P335" s="1295"/>
      <c r="Q335" s="1295"/>
      <c r="R335" s="273">
        <f t="shared" si="207"/>
        <v>18</v>
      </c>
      <c r="S335" s="264" t="str">
        <f t="shared" si="208"/>
        <v>PASS DA LUZ</v>
      </c>
      <c r="T335" s="267">
        <f t="shared" si="201"/>
        <v>0</v>
      </c>
      <c r="U335" s="352">
        <f>ORÇAMENTO!$J$108</f>
        <v>128.85</v>
      </c>
      <c r="V335" s="352">
        <f t="shared" si="202"/>
        <v>0</v>
      </c>
      <c r="X335" s="352">
        <f>ORÇAMENTO!$J$115</f>
        <v>4992.99</v>
      </c>
      <c r="Y335" s="352">
        <f t="shared" si="203"/>
        <v>0</v>
      </c>
      <c r="AA335" s="352">
        <f>ORÇAMENTO!$I$112</f>
        <v>4671.29</v>
      </c>
      <c r="AB335" s="352">
        <f t="shared" si="204"/>
        <v>0</v>
      </c>
    </row>
    <row r="336" spans="1:28" ht="50.1" customHeight="1">
      <c r="A336" s="273">
        <f t="shared" si="194"/>
        <v>19</v>
      </c>
      <c r="B336" s="264" t="str">
        <f t="shared" si="195"/>
        <v>RUA FÉ EM DEUS</v>
      </c>
      <c r="C336" s="1650"/>
      <c r="D336" s="1651"/>
      <c r="E336" s="1652"/>
      <c r="F336" s="1288"/>
      <c r="G336" s="1288"/>
      <c r="H336" s="273">
        <f t="shared" si="196"/>
        <v>19</v>
      </c>
      <c r="I336" s="264" t="str">
        <f t="shared" si="197"/>
        <v>RUA FÉ EM DEUS</v>
      </c>
      <c r="J336" s="267">
        <f t="shared" si="198"/>
        <v>0</v>
      </c>
      <c r="K336" s="1295"/>
      <c r="L336" s="273">
        <f t="shared" si="205"/>
        <v>19</v>
      </c>
      <c r="M336" s="264" t="str">
        <f t="shared" si="206"/>
        <v>RUA FÉ EM DEUS</v>
      </c>
      <c r="N336" s="267"/>
      <c r="O336" s="1295"/>
      <c r="P336" s="1295"/>
      <c r="Q336" s="1295"/>
      <c r="R336" s="273">
        <f t="shared" si="207"/>
        <v>19</v>
      </c>
      <c r="S336" s="264" t="str">
        <f t="shared" si="208"/>
        <v>RUA FÉ EM DEUS</v>
      </c>
      <c r="T336" s="267">
        <f t="shared" si="201"/>
        <v>0</v>
      </c>
      <c r="U336" s="352">
        <f>ORÇAMENTO!$J$108</f>
        <v>128.85</v>
      </c>
      <c r="V336" s="352">
        <f t="shared" si="202"/>
        <v>0</v>
      </c>
      <c r="X336" s="352">
        <f>ORÇAMENTO!$J$115</f>
        <v>4992.99</v>
      </c>
      <c r="Y336" s="352">
        <f t="shared" si="203"/>
        <v>0</v>
      </c>
      <c r="AA336" s="352">
        <f>ORÇAMENTO!$I$112</f>
        <v>4671.29</v>
      </c>
      <c r="AB336" s="352">
        <f t="shared" si="204"/>
        <v>0</v>
      </c>
    </row>
    <row r="337" spans="1:28" ht="50.1" customHeight="1">
      <c r="A337" s="273">
        <f t="shared" si="194"/>
        <v>20</v>
      </c>
      <c r="B337" s="264" t="str">
        <f t="shared" si="195"/>
        <v>PASS PRINCIPAL</v>
      </c>
      <c r="C337" s="1650"/>
      <c r="D337" s="1651"/>
      <c r="E337" s="1652"/>
      <c r="F337" s="1288"/>
      <c r="G337" s="1288"/>
      <c r="H337" s="273">
        <f t="shared" si="196"/>
        <v>20</v>
      </c>
      <c r="I337" s="264" t="str">
        <f t="shared" si="197"/>
        <v>PASS PRINCIPAL</v>
      </c>
      <c r="J337" s="267">
        <f t="shared" si="198"/>
        <v>0</v>
      </c>
      <c r="K337" s="1295"/>
      <c r="L337" s="273">
        <f t="shared" si="205"/>
        <v>20</v>
      </c>
      <c r="M337" s="264" t="str">
        <f t="shared" si="206"/>
        <v>PASS PRINCIPAL</v>
      </c>
      <c r="N337" s="267"/>
      <c r="O337" s="1295"/>
      <c r="P337" s="1295"/>
      <c r="Q337" s="1295"/>
      <c r="R337" s="273">
        <f t="shared" si="207"/>
        <v>20</v>
      </c>
      <c r="S337" s="264" t="str">
        <f t="shared" si="208"/>
        <v>PASS PRINCIPAL</v>
      </c>
      <c r="T337" s="267">
        <f t="shared" si="201"/>
        <v>0</v>
      </c>
      <c r="U337" s="352">
        <f>ORÇAMENTO!$J$108</f>
        <v>128.85</v>
      </c>
      <c r="V337" s="352">
        <f t="shared" si="202"/>
        <v>0</v>
      </c>
      <c r="X337" s="352">
        <f>ORÇAMENTO!$J$115</f>
        <v>4992.99</v>
      </c>
      <c r="Y337" s="352">
        <f t="shared" si="203"/>
        <v>0</v>
      </c>
      <c r="AA337" s="352">
        <f>ORÇAMENTO!$I$112</f>
        <v>4671.29</v>
      </c>
      <c r="AB337" s="352">
        <f t="shared" si="204"/>
        <v>0</v>
      </c>
    </row>
    <row r="338" spans="1:28" ht="50.1" customHeight="1">
      <c r="A338" s="273">
        <f t="shared" si="194"/>
        <v>21</v>
      </c>
      <c r="B338" s="264" t="str">
        <f t="shared" si="195"/>
        <v>PASSAGEM BACELAR</v>
      </c>
      <c r="C338" s="1650"/>
      <c r="D338" s="1651"/>
      <c r="E338" s="1652"/>
      <c r="F338" s="1288"/>
      <c r="G338" s="1288"/>
      <c r="H338" s="273">
        <f t="shared" si="196"/>
        <v>21</v>
      </c>
      <c r="I338" s="264" t="str">
        <f t="shared" si="197"/>
        <v>PASSAGEM BACELAR</v>
      </c>
      <c r="J338" s="267">
        <f t="shared" si="198"/>
        <v>0</v>
      </c>
      <c r="K338" s="1295"/>
      <c r="L338" s="273">
        <f t="shared" si="205"/>
        <v>21</v>
      </c>
      <c r="M338" s="264" t="str">
        <f t="shared" si="206"/>
        <v>PASSAGEM BACELAR</v>
      </c>
      <c r="N338" s="267"/>
      <c r="O338" s="1295"/>
      <c r="P338" s="1295"/>
      <c r="Q338" s="1295"/>
      <c r="R338" s="273">
        <f t="shared" si="207"/>
        <v>21</v>
      </c>
      <c r="S338" s="264" t="str">
        <f t="shared" si="208"/>
        <v>PASSAGEM BACELAR</v>
      </c>
      <c r="T338" s="267">
        <f t="shared" si="201"/>
        <v>0</v>
      </c>
      <c r="U338" s="352">
        <f>ORÇAMENTO!$J$108</f>
        <v>128.85</v>
      </c>
      <c r="V338" s="352">
        <f t="shared" si="202"/>
        <v>0</v>
      </c>
      <c r="X338" s="352">
        <f>ORÇAMENTO!$J$115</f>
        <v>4992.99</v>
      </c>
      <c r="Y338" s="352">
        <f t="shared" si="203"/>
        <v>0</v>
      </c>
      <c r="AA338" s="352">
        <f>ORÇAMENTO!$I$112</f>
        <v>4671.29</v>
      </c>
      <c r="AB338" s="352">
        <f t="shared" si="204"/>
        <v>0</v>
      </c>
    </row>
    <row r="339" spans="1:28" ht="50.1" customHeight="1">
      <c r="A339" s="273">
        <f t="shared" si="194"/>
        <v>22</v>
      </c>
      <c r="B339" s="264" t="str">
        <f t="shared" si="195"/>
        <v>PASS DEUS TEM PODER</v>
      </c>
      <c r="C339" s="1650">
        <v>7</v>
      </c>
      <c r="D339" s="1651"/>
      <c r="E339" s="1652"/>
      <c r="F339" s="1288"/>
      <c r="G339" s="1288"/>
      <c r="H339" s="273">
        <f t="shared" si="196"/>
        <v>22</v>
      </c>
      <c r="I339" s="264" t="str">
        <f t="shared" si="197"/>
        <v>PASS DEUS TEM PODER</v>
      </c>
      <c r="J339" s="267">
        <f t="shared" si="198"/>
        <v>7</v>
      </c>
      <c r="K339" s="1295"/>
      <c r="L339" s="273">
        <f t="shared" si="205"/>
        <v>22</v>
      </c>
      <c r="M339" s="264" t="str">
        <f t="shared" si="206"/>
        <v>PASS DEUS TEM PODER</v>
      </c>
      <c r="N339" s="267"/>
      <c r="O339" s="1295"/>
      <c r="P339" s="1295"/>
      <c r="Q339" s="1295"/>
      <c r="R339" s="273">
        <f t="shared" si="207"/>
        <v>22</v>
      </c>
      <c r="S339" s="264" t="str">
        <f t="shared" si="208"/>
        <v>PASS DEUS TEM PODER</v>
      </c>
      <c r="T339" s="267">
        <f t="shared" si="201"/>
        <v>0</v>
      </c>
      <c r="U339" s="352">
        <f>ORÇAMENTO!$J$108</f>
        <v>128.85</v>
      </c>
      <c r="V339" s="352">
        <f t="shared" si="202"/>
        <v>901.95</v>
      </c>
      <c r="X339" s="352">
        <f>ORÇAMENTO!$J$115</f>
        <v>4992.99</v>
      </c>
      <c r="Y339" s="352">
        <f t="shared" si="203"/>
        <v>0</v>
      </c>
      <c r="AA339" s="352">
        <f>ORÇAMENTO!$I$112</f>
        <v>4671.29</v>
      </c>
      <c r="AB339" s="352">
        <f t="shared" si="204"/>
        <v>0</v>
      </c>
    </row>
    <row r="340" spans="1:28" ht="50.1" customHeight="1">
      <c r="A340" s="273">
        <f t="shared" si="194"/>
        <v>23</v>
      </c>
      <c r="B340" s="264" t="str">
        <f t="shared" si="195"/>
        <v>PASS UNIÃO</v>
      </c>
      <c r="C340" s="1650">
        <v>1</v>
      </c>
      <c r="D340" s="1651"/>
      <c r="E340" s="1652"/>
      <c r="F340" s="1288"/>
      <c r="G340" s="1288"/>
      <c r="H340" s="273">
        <f t="shared" si="196"/>
        <v>23</v>
      </c>
      <c r="I340" s="264" t="str">
        <f t="shared" si="197"/>
        <v>PASS UNIÃO</v>
      </c>
      <c r="J340" s="267">
        <f t="shared" si="198"/>
        <v>1</v>
      </c>
      <c r="K340" s="1295"/>
      <c r="L340" s="273">
        <f t="shared" si="205"/>
        <v>23</v>
      </c>
      <c r="M340" s="264" t="str">
        <f t="shared" si="206"/>
        <v>PASS UNIÃO</v>
      </c>
      <c r="N340" s="267"/>
      <c r="O340" s="1295"/>
      <c r="P340" s="1295"/>
      <c r="Q340" s="1295"/>
      <c r="R340" s="273">
        <f t="shared" si="207"/>
        <v>23</v>
      </c>
      <c r="S340" s="264" t="str">
        <f t="shared" si="208"/>
        <v>PASS UNIÃO</v>
      </c>
      <c r="T340" s="267">
        <f t="shared" si="201"/>
        <v>0</v>
      </c>
      <c r="U340" s="352">
        <f>ORÇAMENTO!$J$108</f>
        <v>128.85</v>
      </c>
      <c r="V340" s="352">
        <f t="shared" si="202"/>
        <v>128.85</v>
      </c>
      <c r="X340" s="352">
        <f>ORÇAMENTO!$J$115</f>
        <v>4992.99</v>
      </c>
      <c r="Y340" s="352">
        <f t="shared" si="203"/>
        <v>0</v>
      </c>
      <c r="AA340" s="352">
        <f>ORÇAMENTO!$I$112</f>
        <v>4671.29</v>
      </c>
      <c r="AB340" s="352">
        <f t="shared" si="204"/>
        <v>0</v>
      </c>
    </row>
    <row r="341" spans="1:28" ht="50.1" customHeight="1">
      <c r="A341" s="273">
        <f t="shared" si="194"/>
        <v>24</v>
      </c>
      <c r="B341" s="264" t="str">
        <f t="shared" si="195"/>
        <v>PASS SÃO JORGE</v>
      </c>
      <c r="C341" s="1650"/>
      <c r="D341" s="1651"/>
      <c r="E341" s="1652"/>
      <c r="F341" s="1288"/>
      <c r="G341" s="1288"/>
      <c r="H341" s="273">
        <f t="shared" ref="H341:H358" si="209">A341</f>
        <v>24</v>
      </c>
      <c r="I341" s="264" t="str">
        <f t="shared" ref="I341:I358" si="210">B341</f>
        <v>PASS SÃO JORGE</v>
      </c>
      <c r="J341" s="267">
        <f t="shared" ref="J341:J358" si="211">C341</f>
        <v>0</v>
      </c>
      <c r="K341" s="1295"/>
      <c r="L341" s="273">
        <f t="shared" ref="L341:L358" si="212">H341</f>
        <v>24</v>
      </c>
      <c r="M341" s="264" t="str">
        <f t="shared" ref="M341:M358" si="213">I341</f>
        <v>PASS SÃO JORGE</v>
      </c>
      <c r="N341" s="267"/>
      <c r="O341" s="1295"/>
      <c r="P341" s="1295"/>
      <c r="Q341" s="1295"/>
      <c r="R341" s="273">
        <f t="shared" ref="R341:R358" si="214">L341</f>
        <v>24</v>
      </c>
      <c r="S341" s="264" t="str">
        <f t="shared" ref="S341:S358" si="215">M341</f>
        <v>PASS SÃO JORGE</v>
      </c>
      <c r="T341" s="267">
        <f t="shared" ref="T341:T358" si="216">ROUNDUP(N292/2,)</f>
        <v>0</v>
      </c>
      <c r="U341" s="352">
        <f>ORÇAMENTO!$J$108</f>
        <v>128.85</v>
      </c>
      <c r="V341" s="352">
        <f t="shared" si="202"/>
        <v>0</v>
      </c>
      <c r="X341" s="352">
        <f>ORÇAMENTO!$J$115</f>
        <v>4992.99</v>
      </c>
      <c r="Y341" s="352">
        <f t="shared" si="203"/>
        <v>0</v>
      </c>
      <c r="AA341" s="352">
        <f>ORÇAMENTO!$I$112</f>
        <v>4671.29</v>
      </c>
      <c r="AB341" s="352">
        <f t="shared" si="204"/>
        <v>0</v>
      </c>
    </row>
    <row r="342" spans="1:28" ht="50.1" customHeight="1">
      <c r="A342" s="273">
        <f t="shared" si="194"/>
        <v>25</v>
      </c>
      <c r="B342" s="264" t="str">
        <f t="shared" si="195"/>
        <v>PASS AIRTON SENA</v>
      </c>
      <c r="C342" s="1650">
        <v>6</v>
      </c>
      <c r="D342" s="1651"/>
      <c r="E342" s="1652"/>
      <c r="F342" s="1288"/>
      <c r="G342" s="1288"/>
      <c r="H342" s="273">
        <f t="shared" si="209"/>
        <v>25</v>
      </c>
      <c r="I342" s="264" t="str">
        <f t="shared" si="210"/>
        <v>PASS AIRTON SENA</v>
      </c>
      <c r="J342" s="267">
        <f t="shared" si="211"/>
        <v>6</v>
      </c>
      <c r="K342" s="1295"/>
      <c r="L342" s="273">
        <f t="shared" si="212"/>
        <v>25</v>
      </c>
      <c r="M342" s="264" t="str">
        <f t="shared" si="213"/>
        <v>PASS AIRTON SENA</v>
      </c>
      <c r="N342" s="267"/>
      <c r="O342" s="1295"/>
      <c r="P342" s="1295"/>
      <c r="Q342" s="1295"/>
      <c r="R342" s="273">
        <f t="shared" si="214"/>
        <v>25</v>
      </c>
      <c r="S342" s="264" t="str">
        <f t="shared" si="215"/>
        <v>PASS AIRTON SENA</v>
      </c>
      <c r="T342" s="267">
        <f t="shared" si="216"/>
        <v>0</v>
      </c>
      <c r="U342" s="352">
        <f>ORÇAMENTO!$J$108</f>
        <v>128.85</v>
      </c>
      <c r="V342" s="352">
        <f t="shared" si="202"/>
        <v>773.1</v>
      </c>
      <c r="X342" s="352">
        <f>ORÇAMENTO!$J$115</f>
        <v>4992.99</v>
      </c>
      <c r="Y342" s="352">
        <f t="shared" si="203"/>
        <v>0</v>
      </c>
      <c r="AA342" s="352">
        <f>ORÇAMENTO!$I$112</f>
        <v>4671.29</v>
      </c>
      <c r="AB342" s="352">
        <f t="shared" si="204"/>
        <v>0</v>
      </c>
    </row>
    <row r="343" spans="1:28" ht="50.1" customHeight="1">
      <c r="A343" s="273">
        <f t="shared" si="194"/>
        <v>26</v>
      </c>
      <c r="B343" s="264" t="str">
        <f t="shared" si="195"/>
        <v>RUA AMINTAS PINHEIRO</v>
      </c>
      <c r="C343" s="1650">
        <v>5</v>
      </c>
      <c r="D343" s="1651"/>
      <c r="E343" s="1652"/>
      <c r="F343" s="1288"/>
      <c r="G343" s="1288"/>
      <c r="H343" s="273">
        <f t="shared" si="209"/>
        <v>26</v>
      </c>
      <c r="I343" s="264" t="str">
        <f t="shared" si="210"/>
        <v>RUA AMINTAS PINHEIRO</v>
      </c>
      <c r="J343" s="267">
        <f t="shared" si="211"/>
        <v>5</v>
      </c>
      <c r="K343" s="1295"/>
      <c r="L343" s="273">
        <f t="shared" si="212"/>
        <v>26</v>
      </c>
      <c r="M343" s="264" t="str">
        <f t="shared" si="213"/>
        <v>RUA AMINTAS PINHEIRO</v>
      </c>
      <c r="N343" s="267">
        <v>1</v>
      </c>
      <c r="O343" s="1295"/>
      <c r="P343" s="1295"/>
      <c r="Q343" s="1295"/>
      <c r="R343" s="273">
        <f t="shared" si="214"/>
        <v>26</v>
      </c>
      <c r="S343" s="264" t="str">
        <f t="shared" si="215"/>
        <v>RUA AMINTAS PINHEIRO</v>
      </c>
      <c r="T343" s="267">
        <f t="shared" si="216"/>
        <v>0</v>
      </c>
      <c r="U343" s="352">
        <f>ORÇAMENTO!$J$108</f>
        <v>128.85</v>
      </c>
      <c r="V343" s="352">
        <f t="shared" si="202"/>
        <v>644.25</v>
      </c>
      <c r="X343" s="352">
        <f>ORÇAMENTO!$J$115</f>
        <v>4992.99</v>
      </c>
      <c r="Y343" s="352">
        <f t="shared" si="203"/>
        <v>4992.99</v>
      </c>
      <c r="AA343" s="352">
        <f>ORÇAMENTO!$I$112</f>
        <v>4671.29</v>
      </c>
      <c r="AB343" s="352">
        <f t="shared" si="204"/>
        <v>0</v>
      </c>
    </row>
    <row r="344" spans="1:28" ht="50.1" customHeight="1">
      <c r="A344" s="273">
        <f t="shared" si="194"/>
        <v>27</v>
      </c>
      <c r="B344" s="264" t="str">
        <f t="shared" si="195"/>
        <v>PASS PRINC ISABEL</v>
      </c>
      <c r="C344" s="1650"/>
      <c r="D344" s="1651"/>
      <c r="E344" s="1652"/>
      <c r="F344" s="1288"/>
      <c r="G344" s="1288"/>
      <c r="H344" s="273">
        <f t="shared" si="209"/>
        <v>27</v>
      </c>
      <c r="I344" s="264" t="str">
        <f t="shared" si="210"/>
        <v>PASS PRINC ISABEL</v>
      </c>
      <c r="J344" s="267">
        <f t="shared" si="211"/>
        <v>0</v>
      </c>
      <c r="K344" s="1295"/>
      <c r="L344" s="273">
        <f t="shared" si="212"/>
        <v>27</v>
      </c>
      <c r="M344" s="264" t="str">
        <f t="shared" si="213"/>
        <v>PASS PRINC ISABEL</v>
      </c>
      <c r="N344" s="267"/>
      <c r="O344" s="1295"/>
      <c r="P344" s="1295"/>
      <c r="Q344" s="1295"/>
      <c r="R344" s="273">
        <f t="shared" si="214"/>
        <v>27</v>
      </c>
      <c r="S344" s="264" t="str">
        <f t="shared" si="215"/>
        <v>PASS PRINC ISABEL</v>
      </c>
      <c r="T344" s="267">
        <f t="shared" si="216"/>
        <v>0</v>
      </c>
      <c r="U344" s="352">
        <f>ORÇAMENTO!$J$108</f>
        <v>128.85</v>
      </c>
      <c r="V344" s="352">
        <f t="shared" si="202"/>
        <v>0</v>
      </c>
      <c r="X344" s="352">
        <f>ORÇAMENTO!$J$115</f>
        <v>4992.99</v>
      </c>
      <c r="Y344" s="352">
        <f t="shared" si="203"/>
        <v>0</v>
      </c>
      <c r="AA344" s="352">
        <f>ORÇAMENTO!$I$112</f>
        <v>4671.29</v>
      </c>
      <c r="AB344" s="352">
        <f t="shared" si="204"/>
        <v>0</v>
      </c>
    </row>
    <row r="345" spans="1:28" ht="50.1" customHeight="1">
      <c r="A345" s="273">
        <f t="shared" si="194"/>
        <v>28</v>
      </c>
      <c r="B345" s="264" t="str">
        <f t="shared" si="195"/>
        <v>PASS SANTA CLARA</v>
      </c>
      <c r="C345" s="1650"/>
      <c r="D345" s="1651"/>
      <c r="E345" s="1652"/>
      <c r="F345" s="1288"/>
      <c r="G345" s="1288"/>
      <c r="H345" s="273">
        <f t="shared" si="209"/>
        <v>28</v>
      </c>
      <c r="I345" s="264" t="str">
        <f t="shared" si="210"/>
        <v>PASS SANTA CLARA</v>
      </c>
      <c r="J345" s="267">
        <f t="shared" si="211"/>
        <v>0</v>
      </c>
      <c r="K345" s="1295"/>
      <c r="L345" s="273">
        <f t="shared" si="212"/>
        <v>28</v>
      </c>
      <c r="M345" s="264" t="str">
        <f t="shared" si="213"/>
        <v>PASS SANTA CLARA</v>
      </c>
      <c r="N345" s="267"/>
      <c r="O345" s="1295"/>
      <c r="P345" s="1295"/>
      <c r="Q345" s="1295"/>
      <c r="R345" s="273">
        <f t="shared" si="214"/>
        <v>28</v>
      </c>
      <c r="S345" s="264" t="str">
        <f t="shared" si="215"/>
        <v>PASS SANTA CLARA</v>
      </c>
      <c r="T345" s="267">
        <f t="shared" si="216"/>
        <v>0</v>
      </c>
      <c r="U345" s="352">
        <f>ORÇAMENTO!$J$108</f>
        <v>128.85</v>
      </c>
      <c r="V345" s="352">
        <f t="shared" si="202"/>
        <v>0</v>
      </c>
      <c r="X345" s="352">
        <f>ORÇAMENTO!$J$115</f>
        <v>4992.99</v>
      </c>
      <c r="Y345" s="352">
        <f t="shared" si="203"/>
        <v>0</v>
      </c>
      <c r="AA345" s="352">
        <f>ORÇAMENTO!$I$112</f>
        <v>4671.29</v>
      </c>
      <c r="AB345" s="352">
        <f t="shared" si="204"/>
        <v>0</v>
      </c>
    </row>
    <row r="346" spans="1:28" ht="50.1" customHeight="1">
      <c r="A346" s="273">
        <f t="shared" si="194"/>
        <v>29</v>
      </c>
      <c r="B346" s="264" t="str">
        <f t="shared" si="195"/>
        <v>PASS AIRTON SENA 1</v>
      </c>
      <c r="C346" s="1650">
        <v>1</v>
      </c>
      <c r="D346" s="1651"/>
      <c r="E346" s="1652"/>
      <c r="F346" s="1288"/>
      <c r="G346" s="1288"/>
      <c r="H346" s="273">
        <f t="shared" si="209"/>
        <v>29</v>
      </c>
      <c r="I346" s="264" t="str">
        <f t="shared" si="210"/>
        <v>PASS AIRTON SENA 1</v>
      </c>
      <c r="J346" s="267">
        <f t="shared" si="211"/>
        <v>1</v>
      </c>
      <c r="K346" s="1295"/>
      <c r="L346" s="273">
        <f t="shared" si="212"/>
        <v>29</v>
      </c>
      <c r="M346" s="264" t="str">
        <f t="shared" si="213"/>
        <v>PASS AIRTON SENA 1</v>
      </c>
      <c r="N346" s="267"/>
      <c r="O346" s="1295"/>
      <c r="P346" s="1295"/>
      <c r="Q346" s="1295"/>
      <c r="R346" s="273">
        <f t="shared" si="214"/>
        <v>29</v>
      </c>
      <c r="S346" s="264" t="str">
        <f t="shared" si="215"/>
        <v>PASS AIRTON SENA 1</v>
      </c>
      <c r="T346" s="267">
        <f t="shared" si="216"/>
        <v>0</v>
      </c>
      <c r="U346" s="352">
        <f>ORÇAMENTO!$J$108</f>
        <v>128.85</v>
      </c>
      <c r="V346" s="352">
        <f t="shared" si="202"/>
        <v>128.85</v>
      </c>
      <c r="X346" s="352">
        <f>ORÇAMENTO!$J$115</f>
        <v>4992.99</v>
      </c>
      <c r="Y346" s="352">
        <f t="shared" si="203"/>
        <v>0</v>
      </c>
      <c r="AA346" s="352">
        <f>ORÇAMENTO!$I$112</f>
        <v>4671.29</v>
      </c>
      <c r="AB346" s="352">
        <f t="shared" si="204"/>
        <v>0</v>
      </c>
    </row>
    <row r="347" spans="1:28" ht="50.1" customHeight="1">
      <c r="A347" s="273">
        <f t="shared" si="194"/>
        <v>30</v>
      </c>
      <c r="B347" s="264" t="str">
        <f t="shared" si="195"/>
        <v>PASS TIM LOPES</v>
      </c>
      <c r="C347" s="1650">
        <v>1</v>
      </c>
      <c r="D347" s="1651"/>
      <c r="E347" s="1652"/>
      <c r="F347" s="1288"/>
      <c r="G347" s="1288"/>
      <c r="H347" s="273">
        <f t="shared" si="209"/>
        <v>30</v>
      </c>
      <c r="I347" s="264" t="str">
        <f t="shared" si="210"/>
        <v>PASS TIM LOPES</v>
      </c>
      <c r="J347" s="267">
        <f t="shared" si="211"/>
        <v>1</v>
      </c>
      <c r="K347" s="1295"/>
      <c r="L347" s="273">
        <f t="shared" si="212"/>
        <v>30</v>
      </c>
      <c r="M347" s="264" t="str">
        <f t="shared" si="213"/>
        <v>PASS TIM LOPES</v>
      </c>
      <c r="N347" s="267"/>
      <c r="O347" s="1295"/>
      <c r="P347" s="1295"/>
      <c r="Q347" s="1295"/>
      <c r="R347" s="273">
        <f t="shared" si="214"/>
        <v>30</v>
      </c>
      <c r="S347" s="264" t="str">
        <f t="shared" si="215"/>
        <v>PASS TIM LOPES</v>
      </c>
      <c r="T347" s="267">
        <f t="shared" si="216"/>
        <v>0</v>
      </c>
      <c r="U347" s="352">
        <f>ORÇAMENTO!$J$108</f>
        <v>128.85</v>
      </c>
      <c r="V347" s="352">
        <f t="shared" si="202"/>
        <v>128.85</v>
      </c>
      <c r="X347" s="352">
        <f>ORÇAMENTO!$J$115</f>
        <v>4992.99</v>
      </c>
      <c r="Y347" s="352">
        <f t="shared" si="203"/>
        <v>0</v>
      </c>
      <c r="AA347" s="352">
        <f>ORÇAMENTO!$I$112</f>
        <v>4671.29</v>
      </c>
      <c r="AB347" s="352">
        <f t="shared" si="204"/>
        <v>0</v>
      </c>
    </row>
    <row r="348" spans="1:28" ht="50.1" hidden="1" customHeight="1">
      <c r="A348" s="273"/>
      <c r="B348" s="264"/>
      <c r="C348" s="1650"/>
      <c r="D348" s="1651"/>
      <c r="E348" s="1652"/>
      <c r="F348" s="1288"/>
      <c r="G348" s="1288"/>
      <c r="H348" s="273">
        <f t="shared" si="209"/>
        <v>0</v>
      </c>
      <c r="I348" s="264">
        <f t="shared" si="210"/>
        <v>0</v>
      </c>
      <c r="J348" s="267">
        <f t="shared" si="211"/>
        <v>0</v>
      </c>
      <c r="K348" s="1295"/>
      <c r="L348" s="273">
        <f t="shared" si="212"/>
        <v>0</v>
      </c>
      <c r="M348" s="264">
        <f t="shared" si="213"/>
        <v>0</v>
      </c>
      <c r="N348" s="267"/>
      <c r="O348" s="1295"/>
      <c r="P348" s="1295"/>
      <c r="Q348" s="1295"/>
      <c r="R348" s="273">
        <f t="shared" si="214"/>
        <v>0</v>
      </c>
      <c r="S348" s="264">
        <f t="shared" si="215"/>
        <v>0</v>
      </c>
      <c r="T348" s="267">
        <f t="shared" si="216"/>
        <v>0</v>
      </c>
      <c r="U348" s="352">
        <f>ORÇAMENTO!$J$113</f>
        <v>1976.59</v>
      </c>
      <c r="V348" s="352">
        <f t="shared" si="202"/>
        <v>0</v>
      </c>
      <c r="X348" s="352">
        <f>ORÇAMENTO!$J$116</f>
        <v>7497.13</v>
      </c>
      <c r="Y348" s="352">
        <f t="shared" si="203"/>
        <v>0</v>
      </c>
      <c r="AA348" s="352">
        <f>ORÇAMENTO!$I$112</f>
        <v>4671.29</v>
      </c>
      <c r="AB348" s="352">
        <f t="shared" si="204"/>
        <v>0</v>
      </c>
    </row>
    <row r="349" spans="1:28" ht="50.1" hidden="1" customHeight="1">
      <c r="A349" s="273"/>
      <c r="B349" s="264"/>
      <c r="C349" s="1650"/>
      <c r="D349" s="1651"/>
      <c r="E349" s="1652"/>
      <c r="F349" s="1288"/>
      <c r="G349" s="1288"/>
      <c r="H349" s="273">
        <f t="shared" si="209"/>
        <v>0</v>
      </c>
      <c r="I349" s="264">
        <f t="shared" si="210"/>
        <v>0</v>
      </c>
      <c r="J349" s="267">
        <f t="shared" si="211"/>
        <v>0</v>
      </c>
      <c r="K349" s="1295"/>
      <c r="L349" s="273">
        <f t="shared" si="212"/>
        <v>0</v>
      </c>
      <c r="M349" s="264">
        <f t="shared" si="213"/>
        <v>0</v>
      </c>
      <c r="N349" s="267"/>
      <c r="O349" s="1295"/>
      <c r="P349" s="1295"/>
      <c r="Q349" s="1295"/>
      <c r="R349" s="273">
        <f t="shared" si="214"/>
        <v>0</v>
      </c>
      <c r="S349" s="264">
        <f t="shared" si="215"/>
        <v>0</v>
      </c>
      <c r="T349" s="267" t="e">
        <f t="shared" si="216"/>
        <v>#REF!</v>
      </c>
      <c r="U349" s="352">
        <f>ORÇAMENTO!$J$113</f>
        <v>1976.59</v>
      </c>
      <c r="V349" s="352">
        <f t="shared" si="202"/>
        <v>0</v>
      </c>
      <c r="X349" s="352">
        <f>ORÇAMENTO!$J$116</f>
        <v>7497.13</v>
      </c>
      <c r="Y349" s="352">
        <f t="shared" si="203"/>
        <v>0</v>
      </c>
      <c r="AA349" s="352">
        <f>ORÇAMENTO!$I$112</f>
        <v>4671.29</v>
      </c>
      <c r="AB349" s="352" t="e">
        <f t="shared" si="204"/>
        <v>#REF!</v>
      </c>
    </row>
    <row r="350" spans="1:28" ht="50.1" hidden="1" customHeight="1">
      <c r="A350" s="273"/>
      <c r="B350" s="264"/>
      <c r="C350" s="1650"/>
      <c r="D350" s="1651"/>
      <c r="E350" s="1652"/>
      <c r="F350" s="1288"/>
      <c r="G350" s="1288"/>
      <c r="H350" s="273">
        <f t="shared" si="209"/>
        <v>0</v>
      </c>
      <c r="I350" s="264">
        <f t="shared" si="210"/>
        <v>0</v>
      </c>
      <c r="J350" s="267">
        <f t="shared" si="211"/>
        <v>0</v>
      </c>
      <c r="K350" s="1295"/>
      <c r="L350" s="273">
        <f t="shared" si="212"/>
        <v>0</v>
      </c>
      <c r="M350" s="264">
        <f t="shared" si="213"/>
        <v>0</v>
      </c>
      <c r="N350" s="267"/>
      <c r="O350" s="1295"/>
      <c r="P350" s="1295"/>
      <c r="Q350" s="1295"/>
      <c r="R350" s="273">
        <f t="shared" si="214"/>
        <v>0</v>
      </c>
      <c r="S350" s="264">
        <f t="shared" si="215"/>
        <v>0</v>
      </c>
      <c r="T350" s="267">
        <f t="shared" si="216"/>
        <v>0</v>
      </c>
      <c r="U350" s="352">
        <f>ORÇAMENTO!$J$113</f>
        <v>1976.59</v>
      </c>
      <c r="V350" s="352">
        <f t="shared" si="202"/>
        <v>0</v>
      </c>
      <c r="X350" s="352">
        <f>ORÇAMENTO!$J$116</f>
        <v>7497.13</v>
      </c>
      <c r="Y350" s="352">
        <f t="shared" si="203"/>
        <v>0</v>
      </c>
      <c r="AA350" s="352">
        <f>ORÇAMENTO!$I$112</f>
        <v>4671.29</v>
      </c>
      <c r="AB350" s="352">
        <f t="shared" si="204"/>
        <v>0</v>
      </c>
    </row>
    <row r="351" spans="1:28" ht="50.1" hidden="1" customHeight="1">
      <c r="A351" s="273"/>
      <c r="B351" s="264"/>
      <c r="C351" s="1650"/>
      <c r="D351" s="1651"/>
      <c r="E351" s="1652"/>
      <c r="F351" s="1288"/>
      <c r="G351" s="1288"/>
      <c r="H351" s="273">
        <f t="shared" si="209"/>
        <v>0</v>
      </c>
      <c r="I351" s="264">
        <f t="shared" si="210"/>
        <v>0</v>
      </c>
      <c r="J351" s="267">
        <f t="shared" si="211"/>
        <v>0</v>
      </c>
      <c r="K351" s="1295"/>
      <c r="L351" s="273">
        <f t="shared" si="212"/>
        <v>0</v>
      </c>
      <c r="M351" s="264">
        <f t="shared" si="213"/>
        <v>0</v>
      </c>
      <c r="N351" s="267"/>
      <c r="O351" s="1295"/>
      <c r="P351" s="1295"/>
      <c r="Q351" s="1295"/>
      <c r="R351" s="273">
        <f t="shared" si="214"/>
        <v>0</v>
      </c>
      <c r="S351" s="264">
        <f t="shared" si="215"/>
        <v>0</v>
      </c>
      <c r="T351" s="267">
        <f t="shared" si="216"/>
        <v>0</v>
      </c>
      <c r="U351" s="352">
        <f>ORÇAMENTO!$J$113</f>
        <v>1976.59</v>
      </c>
      <c r="V351" s="352">
        <f t="shared" si="202"/>
        <v>0</v>
      </c>
      <c r="X351" s="352">
        <f>ORÇAMENTO!$J$116</f>
        <v>7497.13</v>
      </c>
      <c r="Y351" s="352">
        <f t="shared" si="203"/>
        <v>0</v>
      </c>
      <c r="AA351" s="352">
        <f>ORÇAMENTO!$I$112</f>
        <v>4671.29</v>
      </c>
      <c r="AB351" s="352">
        <f t="shared" si="204"/>
        <v>0</v>
      </c>
    </row>
    <row r="352" spans="1:28" ht="50.1" hidden="1" customHeight="1">
      <c r="A352" s="273"/>
      <c r="B352" s="264"/>
      <c r="C352" s="1650"/>
      <c r="D352" s="1651"/>
      <c r="E352" s="1652"/>
      <c r="F352" s="1288"/>
      <c r="G352" s="1288"/>
      <c r="H352" s="273">
        <f t="shared" si="209"/>
        <v>0</v>
      </c>
      <c r="I352" s="264">
        <f t="shared" si="210"/>
        <v>0</v>
      </c>
      <c r="J352" s="267">
        <f t="shared" si="211"/>
        <v>0</v>
      </c>
      <c r="K352" s="1295"/>
      <c r="L352" s="273">
        <f t="shared" si="212"/>
        <v>0</v>
      </c>
      <c r="M352" s="264">
        <f t="shared" si="213"/>
        <v>0</v>
      </c>
      <c r="N352" s="267"/>
      <c r="O352" s="1295"/>
      <c r="P352" s="1295"/>
      <c r="Q352" s="1295"/>
      <c r="R352" s="273">
        <f t="shared" si="214"/>
        <v>0</v>
      </c>
      <c r="S352" s="264">
        <f t="shared" si="215"/>
        <v>0</v>
      </c>
      <c r="T352" s="267">
        <f t="shared" si="216"/>
        <v>0</v>
      </c>
      <c r="U352" s="352">
        <f>ORÇAMENTO!$J$113</f>
        <v>1976.59</v>
      </c>
      <c r="V352" s="352">
        <f t="shared" si="202"/>
        <v>0</v>
      </c>
      <c r="X352" s="352">
        <f>ORÇAMENTO!$J$116</f>
        <v>7497.13</v>
      </c>
      <c r="Y352" s="352">
        <f t="shared" si="203"/>
        <v>0</v>
      </c>
      <c r="AA352" s="352">
        <f>ORÇAMENTO!$I$112</f>
        <v>4671.29</v>
      </c>
      <c r="AB352" s="352">
        <f t="shared" si="204"/>
        <v>0</v>
      </c>
    </row>
    <row r="353" spans="1:28" ht="50.1" hidden="1" customHeight="1">
      <c r="A353" s="273"/>
      <c r="B353" s="264"/>
      <c r="C353" s="1650"/>
      <c r="D353" s="1651"/>
      <c r="E353" s="1652"/>
      <c r="F353" s="1288"/>
      <c r="G353" s="1288"/>
      <c r="H353" s="273">
        <f t="shared" si="209"/>
        <v>0</v>
      </c>
      <c r="I353" s="264">
        <f t="shared" si="210"/>
        <v>0</v>
      </c>
      <c r="J353" s="267">
        <f t="shared" si="211"/>
        <v>0</v>
      </c>
      <c r="K353" s="1295"/>
      <c r="L353" s="273">
        <f t="shared" si="212"/>
        <v>0</v>
      </c>
      <c r="M353" s="264">
        <f t="shared" si="213"/>
        <v>0</v>
      </c>
      <c r="N353" s="267"/>
      <c r="O353" s="1295"/>
      <c r="P353" s="1295"/>
      <c r="Q353" s="1295"/>
      <c r="R353" s="273">
        <f t="shared" si="214"/>
        <v>0</v>
      </c>
      <c r="S353" s="264">
        <f t="shared" si="215"/>
        <v>0</v>
      </c>
      <c r="T353" s="267" t="e">
        <f t="shared" si="216"/>
        <v>#REF!</v>
      </c>
      <c r="U353" s="352">
        <f>ORÇAMENTO!$J$113</f>
        <v>1976.59</v>
      </c>
      <c r="V353" s="352">
        <f t="shared" si="202"/>
        <v>0</v>
      </c>
      <c r="X353" s="352">
        <f>ORÇAMENTO!$J$116</f>
        <v>7497.13</v>
      </c>
      <c r="Y353" s="352">
        <f t="shared" si="203"/>
        <v>0</v>
      </c>
      <c r="AA353" s="352">
        <f>ORÇAMENTO!$I$112</f>
        <v>4671.29</v>
      </c>
      <c r="AB353" s="352" t="e">
        <f t="shared" si="204"/>
        <v>#REF!</v>
      </c>
    </row>
    <row r="354" spans="1:28" ht="50.1" hidden="1" customHeight="1">
      <c r="A354" s="273"/>
      <c r="B354" s="264"/>
      <c r="C354" s="1650"/>
      <c r="D354" s="1651"/>
      <c r="E354" s="1652"/>
      <c r="F354" s="1288"/>
      <c r="G354" s="1288"/>
      <c r="H354" s="273">
        <f t="shared" si="209"/>
        <v>0</v>
      </c>
      <c r="I354" s="264">
        <f t="shared" si="210"/>
        <v>0</v>
      </c>
      <c r="J354" s="267">
        <f t="shared" si="211"/>
        <v>0</v>
      </c>
      <c r="K354" s="1295"/>
      <c r="L354" s="273">
        <f t="shared" si="212"/>
        <v>0</v>
      </c>
      <c r="M354" s="264">
        <f t="shared" si="213"/>
        <v>0</v>
      </c>
      <c r="N354" s="267"/>
      <c r="O354" s="1295"/>
      <c r="P354" s="1295"/>
      <c r="Q354" s="1295"/>
      <c r="R354" s="273">
        <f t="shared" si="214"/>
        <v>0</v>
      </c>
      <c r="S354" s="264">
        <f t="shared" si="215"/>
        <v>0</v>
      </c>
      <c r="T354" s="267">
        <f t="shared" si="216"/>
        <v>0</v>
      </c>
      <c r="U354" s="352">
        <f>ORÇAMENTO!$J$113</f>
        <v>1976.59</v>
      </c>
      <c r="V354" s="352">
        <f t="shared" si="202"/>
        <v>0</v>
      </c>
      <c r="X354" s="352">
        <f>ORÇAMENTO!$J$116</f>
        <v>7497.13</v>
      </c>
      <c r="Y354" s="352">
        <f t="shared" si="203"/>
        <v>0</v>
      </c>
      <c r="AA354" s="352">
        <f>ORÇAMENTO!$I$112</f>
        <v>4671.29</v>
      </c>
      <c r="AB354" s="352">
        <f t="shared" si="204"/>
        <v>0</v>
      </c>
    </row>
    <row r="355" spans="1:28" ht="50.1" hidden="1" customHeight="1">
      <c r="A355" s="273"/>
      <c r="B355" s="264"/>
      <c r="C355" s="1650"/>
      <c r="D355" s="1651"/>
      <c r="E355" s="1652"/>
      <c r="F355" s="1288"/>
      <c r="G355" s="1288"/>
      <c r="H355" s="273">
        <f t="shared" si="209"/>
        <v>0</v>
      </c>
      <c r="I355" s="264">
        <f t="shared" si="210"/>
        <v>0</v>
      </c>
      <c r="J355" s="267">
        <f t="shared" si="211"/>
        <v>0</v>
      </c>
      <c r="K355" s="1295"/>
      <c r="L355" s="273">
        <f t="shared" si="212"/>
        <v>0</v>
      </c>
      <c r="M355" s="264">
        <f t="shared" si="213"/>
        <v>0</v>
      </c>
      <c r="N355" s="267"/>
      <c r="O355" s="1295"/>
      <c r="P355" s="1295"/>
      <c r="Q355" s="1295"/>
      <c r="R355" s="273">
        <f t="shared" si="214"/>
        <v>0</v>
      </c>
      <c r="S355" s="264">
        <f t="shared" si="215"/>
        <v>0</v>
      </c>
      <c r="T355" s="267">
        <f t="shared" si="216"/>
        <v>0</v>
      </c>
      <c r="U355" s="352">
        <f>ORÇAMENTO!$J$113</f>
        <v>1976.59</v>
      </c>
      <c r="V355" s="352">
        <f t="shared" si="202"/>
        <v>0</v>
      </c>
      <c r="X355" s="352">
        <f>ORÇAMENTO!$J$116</f>
        <v>7497.13</v>
      </c>
      <c r="Y355" s="352">
        <f t="shared" si="203"/>
        <v>0</v>
      </c>
      <c r="AA355" s="352">
        <f>ORÇAMENTO!$I$112</f>
        <v>4671.29</v>
      </c>
      <c r="AB355" s="352">
        <f t="shared" si="204"/>
        <v>0</v>
      </c>
    </row>
    <row r="356" spans="1:28" ht="50.1" hidden="1" customHeight="1">
      <c r="A356" s="273"/>
      <c r="B356" s="264"/>
      <c r="C356" s="1650"/>
      <c r="D356" s="1651"/>
      <c r="E356" s="1652"/>
      <c r="F356" s="1288"/>
      <c r="G356" s="1288"/>
      <c r="H356" s="273">
        <f t="shared" si="209"/>
        <v>0</v>
      </c>
      <c r="I356" s="264">
        <f t="shared" si="210"/>
        <v>0</v>
      </c>
      <c r="J356" s="267">
        <f t="shared" si="211"/>
        <v>0</v>
      </c>
      <c r="K356" s="1295"/>
      <c r="L356" s="273">
        <f t="shared" si="212"/>
        <v>0</v>
      </c>
      <c r="M356" s="264">
        <f t="shared" si="213"/>
        <v>0</v>
      </c>
      <c r="N356" s="267"/>
      <c r="O356" s="1295"/>
      <c r="P356" s="1295"/>
      <c r="Q356" s="1295"/>
      <c r="R356" s="273">
        <f t="shared" si="214"/>
        <v>0</v>
      </c>
      <c r="S356" s="264">
        <f t="shared" si="215"/>
        <v>0</v>
      </c>
      <c r="T356" s="267">
        <f t="shared" si="216"/>
        <v>0</v>
      </c>
      <c r="U356" s="352">
        <f>ORÇAMENTO!$J$113</f>
        <v>1976.59</v>
      </c>
      <c r="V356" s="352">
        <f t="shared" si="202"/>
        <v>0</v>
      </c>
      <c r="X356" s="352">
        <f>ORÇAMENTO!$J$116</f>
        <v>7497.13</v>
      </c>
      <c r="Y356" s="352">
        <f t="shared" si="203"/>
        <v>0</v>
      </c>
      <c r="AA356" s="352">
        <f>ORÇAMENTO!$I$112</f>
        <v>4671.29</v>
      </c>
      <c r="AB356" s="352">
        <f t="shared" si="204"/>
        <v>0</v>
      </c>
    </row>
    <row r="357" spans="1:28" ht="50.1" hidden="1" customHeight="1">
      <c r="A357" s="273"/>
      <c r="B357" s="264"/>
      <c r="C357" s="1650"/>
      <c r="D357" s="1651"/>
      <c r="E357" s="1652"/>
      <c r="F357" s="1288"/>
      <c r="G357" s="1288"/>
      <c r="H357" s="273">
        <f t="shared" si="209"/>
        <v>0</v>
      </c>
      <c r="I357" s="264">
        <f t="shared" si="210"/>
        <v>0</v>
      </c>
      <c r="J357" s="267">
        <f t="shared" si="211"/>
        <v>0</v>
      </c>
      <c r="K357" s="1295"/>
      <c r="L357" s="273">
        <f t="shared" si="212"/>
        <v>0</v>
      </c>
      <c r="M357" s="264">
        <f t="shared" si="213"/>
        <v>0</v>
      </c>
      <c r="N357" s="267"/>
      <c r="O357" s="1295"/>
      <c r="P357" s="1295"/>
      <c r="Q357" s="1295"/>
      <c r="R357" s="273">
        <f t="shared" si="214"/>
        <v>0</v>
      </c>
      <c r="S357" s="264">
        <f t="shared" si="215"/>
        <v>0</v>
      </c>
      <c r="T357" s="267">
        <f t="shared" si="216"/>
        <v>0</v>
      </c>
      <c r="U357" s="352">
        <f>ORÇAMENTO!$J$113</f>
        <v>1976.59</v>
      </c>
      <c r="V357" s="352">
        <f t="shared" si="202"/>
        <v>0</v>
      </c>
      <c r="X357" s="352">
        <f>ORÇAMENTO!$J$116</f>
        <v>7497.13</v>
      </c>
      <c r="Y357" s="352">
        <f t="shared" si="203"/>
        <v>0</v>
      </c>
      <c r="AA357" s="352">
        <f>ORÇAMENTO!$I$112</f>
        <v>4671.29</v>
      </c>
      <c r="AB357" s="352">
        <f t="shared" si="204"/>
        <v>0</v>
      </c>
    </row>
    <row r="358" spans="1:28" ht="50.1" hidden="1" customHeight="1">
      <c r="A358" s="273"/>
      <c r="B358" s="264"/>
      <c r="C358" s="1650"/>
      <c r="D358" s="1651"/>
      <c r="E358" s="1652"/>
      <c r="F358" s="1288"/>
      <c r="G358" s="1288"/>
      <c r="H358" s="273">
        <f t="shared" si="209"/>
        <v>0</v>
      </c>
      <c r="I358" s="264">
        <f t="shared" si="210"/>
        <v>0</v>
      </c>
      <c r="J358" s="267">
        <f t="shared" si="211"/>
        <v>0</v>
      </c>
      <c r="K358" s="1295"/>
      <c r="L358" s="273">
        <f t="shared" si="212"/>
        <v>0</v>
      </c>
      <c r="M358" s="264">
        <f t="shared" si="213"/>
        <v>0</v>
      </c>
      <c r="N358" s="267"/>
      <c r="O358" s="1295"/>
      <c r="P358" s="1295"/>
      <c r="Q358" s="1295"/>
      <c r="R358" s="273">
        <f t="shared" si="214"/>
        <v>0</v>
      </c>
      <c r="S358" s="264">
        <f t="shared" si="215"/>
        <v>0</v>
      </c>
      <c r="T358" s="267">
        <f t="shared" si="216"/>
        <v>0</v>
      </c>
      <c r="U358" s="352">
        <f>ORÇAMENTO!$J$113</f>
        <v>1976.59</v>
      </c>
      <c r="V358" s="352">
        <f t="shared" si="202"/>
        <v>0</v>
      </c>
      <c r="X358" s="352">
        <f>ORÇAMENTO!$J$116</f>
        <v>7497.13</v>
      </c>
      <c r="Y358" s="352">
        <f t="shared" si="203"/>
        <v>0</v>
      </c>
      <c r="AA358" s="352">
        <f>ORÇAMENTO!$I$112</f>
        <v>4671.29</v>
      </c>
      <c r="AB358" s="352">
        <f t="shared" si="204"/>
        <v>0</v>
      </c>
    </row>
    <row r="359" spans="1:28" ht="50.1" hidden="1" customHeight="1">
      <c r="A359" s="273"/>
      <c r="B359" s="264"/>
      <c r="C359" s="1296"/>
      <c r="D359" s="1297"/>
      <c r="E359" s="1298"/>
      <c r="F359" s="1288"/>
      <c r="G359" s="1288"/>
      <c r="H359" s="273"/>
      <c r="I359" s="264"/>
      <c r="J359" s="267"/>
      <c r="K359" s="1295"/>
      <c r="L359" s="273"/>
      <c r="M359" s="264"/>
      <c r="N359" s="267"/>
      <c r="O359" s="1295"/>
      <c r="P359" s="1295"/>
      <c r="Q359" s="1295"/>
      <c r="R359" s="273"/>
      <c r="S359" s="264"/>
      <c r="T359" s="267"/>
      <c r="U359" s="353"/>
      <c r="V359" s="353"/>
      <c r="X359" s="353"/>
      <c r="Y359" s="353"/>
      <c r="AA359" s="353"/>
      <c r="AB359" s="353"/>
    </row>
    <row r="360" spans="1:28" ht="50.1" customHeight="1">
      <c r="A360" s="1653" t="s">
        <v>21</v>
      </c>
      <c r="B360" s="1653"/>
      <c r="C360" s="1654">
        <f>SUM(C321:E358)</f>
        <v>28</v>
      </c>
      <c r="D360" s="1654"/>
      <c r="E360" s="1654"/>
      <c r="F360" s="1288"/>
      <c r="G360" s="1288"/>
      <c r="H360" s="287" t="s">
        <v>21</v>
      </c>
      <c r="I360" s="1292"/>
      <c r="J360" s="1293">
        <f>SUM(J321:J358)</f>
        <v>28</v>
      </c>
      <c r="K360" s="1299"/>
      <c r="L360" s="287" t="s">
        <v>21</v>
      </c>
      <c r="M360" s="1292"/>
      <c r="N360" s="1293">
        <f>SUM(N321:N358)</f>
        <v>2</v>
      </c>
      <c r="O360" s="1299"/>
      <c r="P360" s="1299"/>
      <c r="Q360" s="1299"/>
      <c r="R360" s="287" t="s">
        <v>21</v>
      </c>
      <c r="S360" s="1292"/>
      <c r="T360" s="1293" t="e">
        <f>SUM(T321:T358)</f>
        <v>#REF!</v>
      </c>
    </row>
    <row r="361" spans="1:28" ht="50.1" customHeight="1"/>
    <row r="362" spans="1:28" ht="50.1" customHeight="1"/>
    <row r="363" spans="1:28" ht="50.1" customHeight="1"/>
    <row r="364" spans="1:28" ht="50.1" customHeight="1"/>
    <row r="365" spans="1:28" ht="50.1" customHeight="1"/>
    <row r="366" spans="1:28" ht="50.1" customHeight="1"/>
    <row r="367" spans="1:28" ht="50.1" customHeight="1"/>
    <row r="368" spans="1:28" ht="50.1" customHeight="1"/>
  </sheetData>
  <sheetProtection formatCells="0" formatColumns="0" formatRows="0" insertColumns="0" insertRows="0" insertHyperlinks="0" deleteColumns="0" deleteRows="0"/>
  <mergeCells count="212">
    <mergeCell ref="P15:P17"/>
    <mergeCell ref="Q15:Q17"/>
    <mergeCell ref="P61:P63"/>
    <mergeCell ref="Q61:Q63"/>
    <mergeCell ref="P104:P106"/>
    <mergeCell ref="Q104:Q106"/>
    <mergeCell ref="P148:P150"/>
    <mergeCell ref="Q148:Q150"/>
    <mergeCell ref="C355:E355"/>
    <mergeCell ref="C329:E329"/>
    <mergeCell ref="C337:E337"/>
    <mergeCell ref="C332:E332"/>
    <mergeCell ref="C330:E330"/>
    <mergeCell ref="C317:E317"/>
    <mergeCell ref="C320:E320"/>
    <mergeCell ref="A319:E319"/>
    <mergeCell ref="C331:E331"/>
    <mergeCell ref="C323:E323"/>
    <mergeCell ref="C328:E328"/>
    <mergeCell ref="C333:E333"/>
    <mergeCell ref="C334:E334"/>
    <mergeCell ref="C322:E322"/>
    <mergeCell ref="C321:E321"/>
    <mergeCell ref="C324:E324"/>
    <mergeCell ref="AA319:AB319"/>
    <mergeCell ref="C292:E292"/>
    <mergeCell ref="C293:E293"/>
    <mergeCell ref="C294:E294"/>
    <mergeCell ref="C295:E295"/>
    <mergeCell ref="C296:E296"/>
    <mergeCell ref="C297:E297"/>
    <mergeCell ref="C298:E298"/>
    <mergeCell ref="C299:E299"/>
    <mergeCell ref="C300:E300"/>
    <mergeCell ref="C301:E301"/>
    <mergeCell ref="C302:E302"/>
    <mergeCell ref="C303:E303"/>
    <mergeCell ref="C304:E304"/>
    <mergeCell ref="C305:E305"/>
    <mergeCell ref="C306:E306"/>
    <mergeCell ref="C307:E307"/>
    <mergeCell ref="C308:E308"/>
    <mergeCell ref="C309:E309"/>
    <mergeCell ref="C310:E310"/>
    <mergeCell ref="C311:E311"/>
    <mergeCell ref="C312:E312"/>
    <mergeCell ref="C313:E313"/>
    <mergeCell ref="X319:Y319"/>
    <mergeCell ref="M61:M63"/>
    <mergeCell ref="N61:N62"/>
    <mergeCell ref="A147:S147"/>
    <mergeCell ref="I148:I150"/>
    <mergeCell ref="K61:K63"/>
    <mergeCell ref="A190:S190"/>
    <mergeCell ref="A188:B188"/>
    <mergeCell ref="L148:L150"/>
    <mergeCell ref="A148:A152"/>
    <mergeCell ref="B148:B152"/>
    <mergeCell ref="M148:M150"/>
    <mergeCell ref="N148:N149"/>
    <mergeCell ref="O148:O149"/>
    <mergeCell ref="S148:S150"/>
    <mergeCell ref="C148:E149"/>
    <mergeCell ref="K104:K106"/>
    <mergeCell ref="A145:B145"/>
    <mergeCell ref="F148:H149"/>
    <mergeCell ref="K148:K150"/>
    <mergeCell ref="J61:J63"/>
    <mergeCell ref="A103:S103"/>
    <mergeCell ref="J148:J150"/>
    <mergeCell ref="A104:A108"/>
    <mergeCell ref="L104:L106"/>
    <mergeCell ref="X270:Y270"/>
    <mergeCell ref="R319:T319"/>
    <mergeCell ref="O232:O233"/>
    <mergeCell ref="L232:L234"/>
    <mergeCell ref="R191:R193"/>
    <mergeCell ref="P191:P193"/>
    <mergeCell ref="Q191:Q193"/>
    <mergeCell ref="P232:P234"/>
    <mergeCell ref="Q232:Q234"/>
    <mergeCell ref="U319:V319"/>
    <mergeCell ref="C277:E277"/>
    <mergeCell ref="C284:E284"/>
    <mergeCell ref="C314:E314"/>
    <mergeCell ref="L191:L193"/>
    <mergeCell ref="I191:I193"/>
    <mergeCell ref="U270:V270"/>
    <mergeCell ref="S191:S193"/>
    <mergeCell ref="M232:M234"/>
    <mergeCell ref="N232:N233"/>
    <mergeCell ref="L270:N270"/>
    <mergeCell ref="C104:E105"/>
    <mergeCell ref="C273:E273"/>
    <mergeCell ref="C274:E274"/>
    <mergeCell ref="C283:E283"/>
    <mergeCell ref="C279:E279"/>
    <mergeCell ref="C280:E280"/>
    <mergeCell ref="I232:I234"/>
    <mergeCell ref="C325:E325"/>
    <mergeCell ref="C326:E326"/>
    <mergeCell ref="C271:E271"/>
    <mergeCell ref="C288:E288"/>
    <mergeCell ref="C291:E291"/>
    <mergeCell ref="C286:E286"/>
    <mergeCell ref="C287:E287"/>
    <mergeCell ref="C290:E290"/>
    <mergeCell ref="A270:E270"/>
    <mergeCell ref="C272:E272"/>
    <mergeCell ref="C285:E285"/>
    <mergeCell ref="C281:E281"/>
    <mergeCell ref="C282:E282"/>
    <mergeCell ref="C315:E315"/>
    <mergeCell ref="C289:E289"/>
    <mergeCell ref="C278:E278"/>
    <mergeCell ref="C276:E276"/>
    <mergeCell ref="C327:E327"/>
    <mergeCell ref="A60:S60"/>
    <mergeCell ref="F61:H62"/>
    <mergeCell ref="S104:S106"/>
    <mergeCell ref="B104:B108"/>
    <mergeCell ref="I104:I106"/>
    <mergeCell ref="S61:S63"/>
    <mergeCell ref="A61:A65"/>
    <mergeCell ref="B61:B65"/>
    <mergeCell ref="F104:H105"/>
    <mergeCell ref="O61:O62"/>
    <mergeCell ref="M104:M106"/>
    <mergeCell ref="R61:R63"/>
    <mergeCell ref="N104:N105"/>
    <mergeCell ref="O104:O105"/>
    <mergeCell ref="A101:B101"/>
    <mergeCell ref="L61:L63"/>
    <mergeCell ref="H319:J319"/>
    <mergeCell ref="L319:N319"/>
    <mergeCell ref="C275:E275"/>
    <mergeCell ref="F232:H233"/>
    <mergeCell ref="K232:K234"/>
    <mergeCell ref="A317:B317"/>
    <mergeCell ref="C316:E316"/>
    <mergeCell ref="A7:S7"/>
    <mergeCell ref="A8:S8"/>
    <mergeCell ref="A12:S12"/>
    <mergeCell ref="A14:S14"/>
    <mergeCell ref="R148:R150"/>
    <mergeCell ref="I15:I17"/>
    <mergeCell ref="A13:S13"/>
    <mergeCell ref="A15:A19"/>
    <mergeCell ref="B15:B19"/>
    <mergeCell ref="C15:E16"/>
    <mergeCell ref="F15:H16"/>
    <mergeCell ref="R15:R17"/>
    <mergeCell ref="S15:S17"/>
    <mergeCell ref="J15:J17"/>
    <mergeCell ref="K15:K17"/>
    <mergeCell ref="L15:L17"/>
    <mergeCell ref="M15:M17"/>
    <mergeCell ref="N15:N16"/>
    <mergeCell ref="O15:O16"/>
    <mergeCell ref="A58:B58"/>
    <mergeCell ref="J104:J106"/>
    <mergeCell ref="R104:R106"/>
    <mergeCell ref="C61:E62"/>
    <mergeCell ref="I61:I63"/>
    <mergeCell ref="C340:E340"/>
    <mergeCell ref="A360:B360"/>
    <mergeCell ref="C360:E360"/>
    <mergeCell ref="C338:E338"/>
    <mergeCell ref="C335:E335"/>
    <mergeCell ref="C336:E336"/>
    <mergeCell ref="C346:E346"/>
    <mergeCell ref="C347:E347"/>
    <mergeCell ref="C348:E348"/>
    <mergeCell ref="C349:E349"/>
    <mergeCell ref="C341:E341"/>
    <mergeCell ref="C342:E342"/>
    <mergeCell ref="C343:E343"/>
    <mergeCell ref="C344:E344"/>
    <mergeCell ref="C345:E345"/>
    <mergeCell ref="C339:E339"/>
    <mergeCell ref="C356:E356"/>
    <mergeCell ref="C357:E357"/>
    <mergeCell ref="C358:E358"/>
    <mergeCell ref="C350:E350"/>
    <mergeCell ref="C351:E351"/>
    <mergeCell ref="C352:E352"/>
    <mergeCell ref="C353:E353"/>
    <mergeCell ref="C354:E354"/>
    <mergeCell ref="A2:S2"/>
    <mergeCell ref="A3:S3"/>
    <mergeCell ref="A4:S4"/>
    <mergeCell ref="C10:S10"/>
    <mergeCell ref="H270:J270"/>
    <mergeCell ref="A268:B268"/>
    <mergeCell ref="A231:S231"/>
    <mergeCell ref="A232:A236"/>
    <mergeCell ref="B232:B236"/>
    <mergeCell ref="C232:E233"/>
    <mergeCell ref="R232:R234"/>
    <mergeCell ref="S232:S234"/>
    <mergeCell ref="J232:J234"/>
    <mergeCell ref="A229:B229"/>
    <mergeCell ref="B191:B195"/>
    <mergeCell ref="C191:E192"/>
    <mergeCell ref="F191:H192"/>
    <mergeCell ref="K191:K193"/>
    <mergeCell ref="O191:O192"/>
    <mergeCell ref="M191:M193"/>
    <mergeCell ref="N191:N192"/>
    <mergeCell ref="A191:A195"/>
    <mergeCell ref="J191:J193"/>
    <mergeCell ref="A6:S6"/>
  </mergeCells>
  <conditionalFormatting sqref="A20:A57">
    <cfRule type="cellIs" dxfId="43" priority="680" operator="equal">
      <formula>0</formula>
    </cfRule>
  </conditionalFormatting>
  <conditionalFormatting sqref="A20:A58">
    <cfRule type="cellIs" dxfId="42" priority="679" operator="equal">
      <formula>0</formula>
    </cfRule>
  </conditionalFormatting>
  <conditionalFormatting sqref="A66:A100">
    <cfRule type="cellIs" dxfId="41" priority="54" operator="equal">
      <formula>0</formula>
    </cfRule>
  </conditionalFormatting>
  <conditionalFormatting sqref="A66:A101">
    <cfRule type="cellIs" dxfId="40" priority="53" operator="equal">
      <formula>0</formula>
    </cfRule>
  </conditionalFormatting>
  <conditionalFormatting sqref="A101 B93:B100">
    <cfRule type="cellIs" dxfId="39" priority="560" stopIfTrue="1" operator="equal">
      <formula>0</formula>
    </cfRule>
  </conditionalFormatting>
  <conditionalFormatting sqref="A109:A144">
    <cfRule type="cellIs" dxfId="38" priority="550" operator="equal">
      <formula>0</formula>
    </cfRule>
  </conditionalFormatting>
  <conditionalFormatting sqref="A109:A145">
    <cfRule type="cellIs" dxfId="37" priority="549" operator="equal">
      <formula>0</formula>
    </cfRule>
  </conditionalFormatting>
  <conditionalFormatting sqref="A145">
    <cfRule type="cellIs" dxfId="36" priority="552" stopIfTrue="1" operator="equal">
      <formula>0</formula>
    </cfRule>
  </conditionalFormatting>
  <conditionalFormatting sqref="A153:A187">
    <cfRule type="cellIs" dxfId="35" priority="542" operator="equal">
      <formula>0</formula>
    </cfRule>
  </conditionalFormatting>
  <conditionalFormatting sqref="A153:A188">
    <cfRule type="cellIs" dxfId="34" priority="541" operator="equal">
      <formula>0</formula>
    </cfRule>
  </conditionalFormatting>
  <conditionalFormatting sqref="A188">
    <cfRule type="cellIs" dxfId="33" priority="544" stopIfTrue="1" operator="equal">
      <formula>0</formula>
    </cfRule>
  </conditionalFormatting>
  <conditionalFormatting sqref="A196:A228">
    <cfRule type="cellIs" dxfId="32" priority="390" operator="equal">
      <formula>0</formula>
    </cfRule>
  </conditionalFormatting>
  <conditionalFormatting sqref="A196:A229">
    <cfRule type="cellIs" dxfId="31" priority="389" operator="equal">
      <formula>0</formula>
    </cfRule>
  </conditionalFormatting>
  <conditionalFormatting sqref="A229">
    <cfRule type="cellIs" dxfId="30" priority="392" stopIfTrue="1" operator="equal">
      <formula>0</formula>
    </cfRule>
  </conditionalFormatting>
  <conditionalFormatting sqref="A237:A267">
    <cfRule type="cellIs" dxfId="29" priority="366" operator="equal">
      <formula>0</formula>
    </cfRule>
  </conditionalFormatting>
  <conditionalFormatting sqref="A237:A268">
    <cfRule type="cellIs" dxfId="28" priority="365" operator="equal">
      <formula>0</formula>
    </cfRule>
  </conditionalFormatting>
  <conditionalFormatting sqref="A268">
    <cfRule type="cellIs" dxfId="27" priority="368" stopIfTrue="1" operator="equal">
      <formula>0</formula>
    </cfRule>
  </conditionalFormatting>
  <conditionalFormatting sqref="B66:B92">
    <cfRule type="cellIs" dxfId="26" priority="18" operator="equal">
      <formula>0</formula>
    </cfRule>
  </conditionalFormatting>
  <conditionalFormatting sqref="B66:B100">
    <cfRule type="cellIs" dxfId="25" priority="17" operator="equal">
      <formula>0</formula>
    </cfRule>
  </conditionalFormatting>
  <conditionalFormatting sqref="B20:T57">
    <cfRule type="cellIs" dxfId="24" priority="2" stopIfTrue="1" operator="equal">
      <formula>0</formula>
    </cfRule>
    <cfRule type="cellIs" dxfId="23" priority="1" operator="equal">
      <formula>0</formula>
    </cfRule>
  </conditionalFormatting>
  <conditionalFormatting sqref="B109:T144">
    <cfRule type="cellIs" dxfId="22" priority="32" stopIfTrue="1" operator="equal">
      <formula>0</formula>
    </cfRule>
    <cfRule type="cellIs" dxfId="21" priority="31" operator="equal">
      <formula>0</formula>
    </cfRule>
  </conditionalFormatting>
  <conditionalFormatting sqref="B153:T187">
    <cfRule type="cellIs" dxfId="20" priority="16" stopIfTrue="1" operator="equal">
      <formula>0</formula>
    </cfRule>
    <cfRule type="cellIs" dxfId="19" priority="15" operator="equal">
      <formula>0</formula>
    </cfRule>
  </conditionalFormatting>
  <conditionalFormatting sqref="B196:T228">
    <cfRule type="cellIs" dxfId="18" priority="24" stopIfTrue="1" operator="equal">
      <formula>0</formula>
    </cfRule>
    <cfRule type="cellIs" dxfId="17" priority="23" operator="equal">
      <formula>0</formula>
    </cfRule>
  </conditionalFormatting>
  <conditionalFormatting sqref="B237:T267">
    <cfRule type="cellIs" dxfId="16" priority="20" stopIfTrue="1" operator="equal">
      <formula>0</formula>
    </cfRule>
    <cfRule type="cellIs" dxfId="15" priority="19" operator="equal">
      <formula>0</formula>
    </cfRule>
  </conditionalFormatting>
  <conditionalFormatting sqref="C58:T58 C145:T145 C188:T188 C229:T229 C268:T268 A58">
    <cfRule type="cellIs" dxfId="14" priority="682" stopIfTrue="1" operator="equal">
      <formula>0</formula>
    </cfRule>
  </conditionalFormatting>
  <conditionalFormatting sqref="C58:T58 C145:T145 C188:T188 C229:T229 C268:T268">
    <cfRule type="cellIs" dxfId="13" priority="681" operator="equal">
      <formula>0</formula>
    </cfRule>
  </conditionalFormatting>
  <conditionalFormatting sqref="C66:T101">
    <cfRule type="cellIs" dxfId="12" priority="36" stopIfTrue="1" operator="equal">
      <formula>0</formula>
    </cfRule>
    <cfRule type="cellIs" dxfId="11" priority="35" operator="equal">
      <formula>0</formula>
    </cfRule>
  </conditionalFormatting>
  <printOptions horizontalCentered="1"/>
  <pageMargins left="0.51181102362204722" right="0.51181102362204722" top="0.78740157480314965" bottom="0.78740157480314965" header="0.31496062992125984" footer="0.31496062992125984"/>
  <pageSetup paperSize="9" scale="21" fitToHeight="0" orientation="landscape"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8">
    <tabColor theme="7" tint="0.39997558519241921"/>
    <pageSetUpPr fitToPage="1"/>
  </sheetPr>
  <dimension ref="A1:Y513"/>
  <sheetViews>
    <sheetView view="pageBreakPreview" zoomScale="25" zoomScaleNormal="25" zoomScaleSheetLayoutView="25" workbookViewId="0">
      <selection activeCell="A3" sqref="A3:Y3"/>
    </sheetView>
  </sheetViews>
  <sheetFormatPr defaultColWidth="9.140625" defaultRowHeight="30.75"/>
  <cols>
    <col min="1" max="1" width="10.85546875" style="354" bestFit="1" customWidth="1"/>
    <col min="2" max="2" width="124.140625" style="361" bestFit="1" customWidth="1"/>
    <col min="3" max="3" width="41.28515625" style="361" bestFit="1" customWidth="1"/>
    <col min="4" max="4" width="30.7109375" style="361" customWidth="1"/>
    <col min="5" max="14" width="45.7109375" style="361" customWidth="1"/>
    <col min="15" max="17" width="35.7109375" style="361" customWidth="1"/>
    <col min="18" max="19" width="45.7109375" style="361" customWidth="1"/>
    <col min="20" max="22" width="35.7109375" style="361" customWidth="1"/>
    <col min="23" max="23" width="35.7109375" style="361" hidden="1" customWidth="1"/>
    <col min="24" max="24" width="68.42578125" style="361" bestFit="1" customWidth="1"/>
    <col min="25" max="25" width="68.140625" style="361" customWidth="1"/>
    <col min="26" max="16384" width="9.140625" style="354"/>
  </cols>
  <sheetData>
    <row r="1" spans="1:25" ht="39.950000000000003" customHeight="1">
      <c r="A1" s="488"/>
      <c r="B1" s="489"/>
      <c r="C1" s="489"/>
      <c r="D1" s="489"/>
      <c r="E1" s="489"/>
      <c r="F1" s="489"/>
      <c r="G1" s="489"/>
      <c r="H1" s="489"/>
      <c r="I1" s="489"/>
      <c r="J1" s="489"/>
      <c r="K1" s="489"/>
      <c r="L1" s="489"/>
      <c r="M1" s="489"/>
      <c r="N1" s="489"/>
      <c r="O1" s="489"/>
      <c r="P1" s="489"/>
      <c r="Q1" s="489"/>
      <c r="R1" s="489"/>
      <c r="S1" s="489"/>
      <c r="T1" s="489"/>
      <c r="U1" s="489"/>
      <c r="V1" s="489"/>
      <c r="W1" s="489"/>
      <c r="X1" s="1701"/>
      <c r="Y1" s="1702"/>
    </row>
    <row r="2" spans="1:25" ht="39.950000000000003" customHeight="1">
      <c r="A2" s="1703"/>
      <c r="B2" s="1704"/>
      <c r="C2" s="1704"/>
      <c r="D2" s="1704"/>
      <c r="E2" s="1704"/>
      <c r="F2" s="1704"/>
      <c r="G2" s="1704"/>
      <c r="H2" s="1704"/>
      <c r="I2" s="1704"/>
      <c r="J2" s="1704"/>
      <c r="K2" s="1704"/>
      <c r="L2" s="1704"/>
      <c r="M2" s="1704"/>
      <c r="N2" s="1704"/>
      <c r="O2" s="1704"/>
      <c r="P2" s="1704"/>
      <c r="Q2" s="1704"/>
      <c r="R2" s="1704"/>
      <c r="S2" s="1704"/>
      <c r="T2" s="1704"/>
      <c r="U2" s="1704"/>
      <c r="V2" s="1704"/>
      <c r="W2" s="1704"/>
      <c r="X2" s="1704"/>
      <c r="Y2" s="1705"/>
    </row>
    <row r="3" spans="1:25" ht="39.950000000000003" customHeight="1">
      <c r="A3" s="1706"/>
      <c r="B3" s="1707"/>
      <c r="C3" s="1707"/>
      <c r="D3" s="1707"/>
      <c r="E3" s="1707"/>
      <c r="F3" s="1707"/>
      <c r="G3" s="1707"/>
      <c r="H3" s="1707"/>
      <c r="I3" s="1707"/>
      <c r="J3" s="1707"/>
      <c r="K3" s="1707"/>
      <c r="L3" s="1707"/>
      <c r="M3" s="1707"/>
      <c r="N3" s="1707"/>
      <c r="O3" s="1707"/>
      <c r="P3" s="1707"/>
      <c r="Q3" s="1707"/>
      <c r="R3" s="1707"/>
      <c r="S3" s="1707"/>
      <c r="T3" s="1707"/>
      <c r="U3" s="1707"/>
      <c r="V3" s="1707"/>
      <c r="W3" s="1707"/>
      <c r="X3" s="1707"/>
      <c r="Y3" s="1708"/>
    </row>
    <row r="4" spans="1:25" ht="39.950000000000003" customHeight="1">
      <c r="A4" s="1706"/>
      <c r="B4" s="1707"/>
      <c r="C4" s="1707"/>
      <c r="D4" s="1707"/>
      <c r="E4" s="1707"/>
      <c r="F4" s="1707"/>
      <c r="G4" s="1707"/>
      <c r="H4" s="1707"/>
      <c r="I4" s="1707"/>
      <c r="J4" s="1707"/>
      <c r="K4" s="1707"/>
      <c r="L4" s="1707"/>
      <c r="M4" s="1707"/>
      <c r="N4" s="1707"/>
      <c r="O4" s="1707"/>
      <c r="P4" s="1707"/>
      <c r="Q4" s="1707"/>
      <c r="R4" s="1707"/>
      <c r="S4" s="1707"/>
      <c r="T4" s="1707"/>
      <c r="U4" s="1707"/>
      <c r="V4" s="1707"/>
      <c r="W4" s="1707"/>
      <c r="X4" s="1707"/>
      <c r="Y4" s="1708"/>
    </row>
    <row r="5" spans="1:25" ht="39.950000000000003" customHeight="1">
      <c r="A5" s="1709" t="s">
        <v>17</v>
      </c>
      <c r="B5" s="1710"/>
      <c r="C5" s="1710"/>
      <c r="D5" s="1710"/>
      <c r="E5" s="1710"/>
      <c r="F5" s="1710"/>
      <c r="G5" s="1710"/>
      <c r="H5" s="1710"/>
      <c r="I5" s="1710"/>
      <c r="J5" s="1710"/>
      <c r="K5" s="1710"/>
      <c r="L5" s="1710"/>
      <c r="M5" s="1710"/>
      <c r="N5" s="1710"/>
      <c r="O5" s="1710"/>
      <c r="P5" s="1710"/>
      <c r="Q5" s="1710"/>
      <c r="R5" s="1710"/>
      <c r="S5" s="1710"/>
      <c r="T5" s="1710"/>
      <c r="U5" s="1710"/>
      <c r="V5" s="1710"/>
      <c r="W5" s="1710"/>
      <c r="X5" s="1710"/>
      <c r="Y5" s="1711"/>
    </row>
    <row r="6" spans="1:25" ht="39.950000000000003" customHeight="1">
      <c r="A6" s="1712" t="s">
        <v>185</v>
      </c>
      <c r="B6" s="1713"/>
      <c r="C6" s="1713"/>
      <c r="D6" s="1713"/>
      <c r="E6" s="1713"/>
      <c r="F6" s="1713"/>
      <c r="G6" s="1713"/>
      <c r="H6" s="1713"/>
      <c r="I6" s="1713"/>
      <c r="J6" s="1713"/>
      <c r="K6" s="1713"/>
      <c r="L6" s="1713"/>
      <c r="M6" s="1713"/>
      <c r="N6" s="1713"/>
      <c r="O6" s="1713"/>
      <c r="P6" s="1713"/>
      <c r="Q6" s="1713"/>
      <c r="R6" s="1713"/>
      <c r="S6" s="1713"/>
      <c r="T6" s="1713"/>
      <c r="U6" s="1713"/>
      <c r="V6" s="1713"/>
      <c r="W6" s="1713"/>
      <c r="X6" s="1713"/>
      <c r="Y6" s="1714"/>
    </row>
    <row r="7" spans="1:25" ht="39.950000000000003" customHeight="1">
      <c r="A7" s="1712" t="s">
        <v>16</v>
      </c>
      <c r="B7" s="1713"/>
      <c r="C7" s="1713"/>
      <c r="D7" s="1713"/>
      <c r="E7" s="1713"/>
      <c r="F7" s="1713"/>
      <c r="G7" s="1713"/>
      <c r="H7" s="1713"/>
      <c r="I7" s="1713"/>
      <c r="J7" s="1713"/>
      <c r="K7" s="1713"/>
      <c r="L7" s="1713"/>
      <c r="M7" s="1713"/>
      <c r="N7" s="1713"/>
      <c r="O7" s="1713"/>
      <c r="P7" s="1713"/>
      <c r="Q7" s="1713"/>
      <c r="R7" s="1713"/>
      <c r="S7" s="1713"/>
      <c r="T7" s="1713"/>
      <c r="U7" s="1713"/>
      <c r="V7" s="1713"/>
      <c r="W7" s="1713"/>
      <c r="X7" s="1713"/>
      <c r="Y7" s="1714"/>
    </row>
    <row r="8" spans="1:25" ht="54.95" customHeight="1">
      <c r="A8" s="1661"/>
      <c r="B8" s="1662"/>
      <c r="C8" s="1662"/>
      <c r="D8" s="1662"/>
      <c r="E8" s="1662"/>
      <c r="F8" s="1662"/>
      <c r="G8" s="1662"/>
      <c r="H8" s="1662"/>
      <c r="I8" s="1662"/>
      <c r="J8" s="1662"/>
      <c r="K8" s="1662"/>
      <c r="L8" s="1662"/>
      <c r="M8" s="1662"/>
      <c r="N8" s="1662"/>
      <c r="O8" s="1662"/>
      <c r="P8" s="1662"/>
      <c r="Q8" s="1662"/>
      <c r="R8" s="1662"/>
      <c r="S8" s="1662"/>
      <c r="T8" s="1662"/>
      <c r="U8" s="1662"/>
      <c r="V8" s="1662"/>
      <c r="W8" s="1662"/>
      <c r="X8" s="1662"/>
      <c r="Y8" s="1663"/>
    </row>
    <row r="9" spans="1:25" ht="54.95" customHeight="1">
      <c r="A9" s="404"/>
      <c r="B9" s="400" t="s">
        <v>532</v>
      </c>
      <c r="C9" s="1715" t="str">
        <f>'MC-DRE'!C10:S10</f>
        <v>SISTEMA DE SANEAMENTO INTEGRADO NO BAIRRO DO ICUÍ: ABASTECIMENTO DE ÁGUA, DRENAGEM URBANA E MANEJO DE ÁGUAS PLUVIAIS E PAVIMENTAÇÃO NO MUNICÍPIO DE ANANINDEUA/ PA</v>
      </c>
      <c r="D9" s="1716"/>
      <c r="E9" s="1716"/>
      <c r="F9" s="1716"/>
      <c r="G9" s="1716"/>
      <c r="H9" s="1716"/>
      <c r="I9" s="1716"/>
      <c r="J9" s="1716"/>
      <c r="K9" s="1716"/>
      <c r="L9" s="1716"/>
      <c r="M9" s="1716"/>
      <c r="N9" s="1716"/>
      <c r="O9" s="1716"/>
      <c r="P9" s="1716"/>
      <c r="Q9" s="1716"/>
      <c r="R9" s="1716"/>
      <c r="S9" s="1716"/>
      <c r="T9" s="1716"/>
      <c r="U9" s="1716"/>
      <c r="V9" s="1716"/>
      <c r="W9" s="1716"/>
      <c r="X9" s="1716"/>
      <c r="Y9" s="1717"/>
    </row>
    <row r="10" spans="1:25" ht="39.950000000000003" customHeight="1" thickBot="1">
      <c r="A10" s="355"/>
      <c r="B10" s="356"/>
      <c r="C10" s="356"/>
      <c r="D10" s="356"/>
      <c r="E10" s="356"/>
      <c r="F10" s="356"/>
      <c r="G10" s="356"/>
      <c r="H10" s="356"/>
      <c r="I10" s="356"/>
      <c r="J10" s="356"/>
      <c r="K10" s="356"/>
      <c r="L10" s="356"/>
      <c r="M10" s="356"/>
      <c r="N10" s="356"/>
      <c r="O10" s="356"/>
      <c r="P10" s="356"/>
      <c r="Q10" s="356"/>
      <c r="R10" s="356"/>
      <c r="S10" s="356"/>
      <c r="T10" s="356"/>
      <c r="U10" s="356"/>
      <c r="V10" s="356"/>
      <c r="W10" s="356"/>
      <c r="X10" s="1718"/>
      <c r="Y10" s="1719"/>
    </row>
    <row r="11" spans="1:25" s="357" customFormat="1" ht="66.75" customHeight="1" thickTop="1" thickBot="1">
      <c r="A11" s="1720" t="s">
        <v>335</v>
      </c>
      <c r="B11" s="1721"/>
      <c r="C11" s="1721"/>
      <c r="D11" s="1721"/>
      <c r="E11" s="1721"/>
      <c r="F11" s="1721"/>
      <c r="G11" s="1721"/>
      <c r="H11" s="1721"/>
      <c r="I11" s="1721"/>
      <c r="J11" s="1721"/>
      <c r="K11" s="1721"/>
      <c r="L11" s="1721"/>
      <c r="M11" s="1721"/>
      <c r="N11" s="1721"/>
      <c r="O11" s="1721"/>
      <c r="P11" s="1721"/>
      <c r="Q11" s="1721"/>
      <c r="R11" s="1721"/>
      <c r="S11" s="1721"/>
      <c r="T11" s="1721"/>
      <c r="U11" s="1721"/>
      <c r="V11" s="1721"/>
      <c r="W11" s="1721"/>
      <c r="X11" s="1721"/>
      <c r="Y11" s="1722"/>
    </row>
    <row r="12" spans="1:25" ht="39.75" customHeight="1" thickTop="1" thickBot="1">
      <c r="A12" s="1698"/>
      <c r="B12" s="1699"/>
      <c r="C12" s="1699"/>
      <c r="D12" s="1699"/>
      <c r="E12" s="1699"/>
      <c r="F12" s="1699"/>
      <c r="G12" s="1699"/>
      <c r="H12" s="1699"/>
      <c r="I12" s="1699"/>
      <c r="J12" s="1699"/>
      <c r="K12" s="1699"/>
      <c r="L12" s="1699"/>
      <c r="M12" s="1699"/>
      <c r="N12" s="1699"/>
      <c r="O12" s="1699"/>
      <c r="P12" s="1699"/>
      <c r="Q12" s="1699"/>
      <c r="R12" s="1699"/>
      <c r="S12" s="1699"/>
      <c r="T12" s="1699"/>
      <c r="U12" s="1699"/>
      <c r="V12" s="1699"/>
      <c r="W12" s="1699"/>
      <c r="X12" s="1699"/>
      <c r="Y12" s="1700"/>
    </row>
    <row r="13" spans="1:25" ht="39.950000000000003" customHeight="1">
      <c r="A13" s="1670" t="s">
        <v>318</v>
      </c>
      <c r="B13" s="1671"/>
      <c r="C13" s="1674" t="s">
        <v>327</v>
      </c>
      <c r="D13" s="1677" t="s">
        <v>325</v>
      </c>
      <c r="E13" s="1680" t="s">
        <v>319</v>
      </c>
      <c r="F13" s="1681"/>
      <c r="G13" s="1681"/>
      <c r="H13" s="1681"/>
      <c r="I13" s="1681"/>
      <c r="J13" s="1681"/>
      <c r="K13" s="1681"/>
      <c r="L13" s="1681"/>
      <c r="M13" s="1682"/>
      <c r="N13" s="490"/>
      <c r="O13" s="1686" t="s">
        <v>320</v>
      </c>
      <c r="P13" s="1686"/>
      <c r="Q13" s="1686"/>
      <c r="R13" s="1686"/>
      <c r="S13" s="1686"/>
      <c r="T13" s="1686"/>
      <c r="U13" s="1686"/>
      <c r="V13" s="1686"/>
      <c r="W13" s="1686"/>
      <c r="X13" s="1687"/>
      <c r="Y13" s="1688"/>
    </row>
    <row r="14" spans="1:25" ht="39.950000000000003" customHeight="1">
      <c r="A14" s="1672"/>
      <c r="B14" s="1673"/>
      <c r="C14" s="1675"/>
      <c r="D14" s="1678"/>
      <c r="E14" s="1683"/>
      <c r="F14" s="1684"/>
      <c r="G14" s="1684"/>
      <c r="H14" s="1684"/>
      <c r="I14" s="1684"/>
      <c r="J14" s="1684"/>
      <c r="K14" s="1684"/>
      <c r="L14" s="1684"/>
      <c r="M14" s="1685"/>
      <c r="N14" s="493"/>
      <c r="O14" s="1689" t="s">
        <v>616</v>
      </c>
      <c r="P14" s="1690"/>
      <c r="Q14" s="1690"/>
      <c r="R14" s="1690"/>
      <c r="S14" s="1691"/>
      <c r="T14" s="1692" t="s">
        <v>442</v>
      </c>
      <c r="U14" s="1692"/>
      <c r="V14" s="1692"/>
      <c r="W14" s="1692"/>
      <c r="X14" s="1689"/>
      <c r="Y14" s="1693"/>
    </row>
    <row r="15" spans="1:25" ht="92.25">
      <c r="A15" s="1672"/>
      <c r="B15" s="1673"/>
      <c r="C15" s="1675"/>
      <c r="D15" s="1678"/>
      <c r="E15" s="358" t="s">
        <v>332</v>
      </c>
      <c r="F15" s="358" t="s">
        <v>419</v>
      </c>
      <c r="G15" s="358" t="s">
        <v>632</v>
      </c>
      <c r="H15" s="358" t="s">
        <v>585</v>
      </c>
      <c r="I15" s="358" t="s">
        <v>586</v>
      </c>
      <c r="J15" s="358" t="s">
        <v>633</v>
      </c>
      <c r="K15" s="358" t="s">
        <v>634</v>
      </c>
      <c r="L15" s="358" t="s">
        <v>587</v>
      </c>
      <c r="M15" s="358" t="s">
        <v>588</v>
      </c>
      <c r="N15" s="358" t="s">
        <v>589</v>
      </c>
      <c r="O15" s="358" t="s">
        <v>324</v>
      </c>
      <c r="P15" s="358" t="s">
        <v>472</v>
      </c>
      <c r="Q15" s="358" t="s">
        <v>650</v>
      </c>
      <c r="R15" s="358" t="s">
        <v>651</v>
      </c>
      <c r="S15" s="358" t="s">
        <v>588</v>
      </c>
      <c r="T15" s="358" t="s">
        <v>324</v>
      </c>
      <c r="U15" s="358" t="s">
        <v>472</v>
      </c>
      <c r="V15" s="358" t="s">
        <v>649</v>
      </c>
      <c r="W15" s="358" t="s">
        <v>635</v>
      </c>
      <c r="X15" s="494" t="s">
        <v>651</v>
      </c>
      <c r="Y15" s="495" t="s">
        <v>588</v>
      </c>
    </row>
    <row r="16" spans="1:25">
      <c r="A16" s="491"/>
      <c r="B16" s="492"/>
      <c r="C16" s="1675"/>
      <c r="D16" s="1678"/>
      <c r="E16" s="496"/>
      <c r="F16" s="496"/>
      <c r="G16" s="496"/>
      <c r="H16" s="496"/>
      <c r="I16" s="496"/>
      <c r="J16" s="496"/>
      <c r="K16" s="496"/>
      <c r="L16" s="496"/>
      <c r="M16" s="496"/>
      <c r="N16" s="496"/>
      <c r="O16" s="496"/>
      <c r="P16" s="496"/>
      <c r="Q16" s="358"/>
      <c r="R16" s="496"/>
      <c r="S16" s="496"/>
      <c r="T16" s="496"/>
      <c r="U16" s="496"/>
      <c r="V16" s="496"/>
      <c r="W16" s="496"/>
      <c r="X16" s="497"/>
      <c r="Y16" s="498"/>
    </row>
    <row r="17" spans="1:25" ht="39.950000000000003" customHeight="1">
      <c r="A17" s="1694" t="s">
        <v>6</v>
      </c>
      <c r="B17" s="1696" t="s">
        <v>323</v>
      </c>
      <c r="C17" s="1676"/>
      <c r="D17" s="1679"/>
      <c r="E17" s="499"/>
      <c r="F17" s="499"/>
      <c r="G17" s="500">
        <v>5</v>
      </c>
      <c r="H17" s="500">
        <v>15.4</v>
      </c>
      <c r="I17" s="500"/>
      <c r="J17" s="500"/>
      <c r="K17" s="500">
        <f>G17</f>
        <v>5</v>
      </c>
      <c r="L17" s="500">
        <v>30</v>
      </c>
      <c r="M17" s="500">
        <v>7.3</v>
      </c>
      <c r="N17" s="500"/>
      <c r="O17" s="499"/>
      <c r="P17" s="500">
        <f>G17</f>
        <v>5</v>
      </c>
      <c r="Q17" s="500"/>
      <c r="R17" s="500">
        <v>30</v>
      </c>
      <c r="S17" s="500">
        <v>151</v>
      </c>
      <c r="T17" s="499">
        <v>5</v>
      </c>
      <c r="U17" s="500">
        <f>P17</f>
        <v>5</v>
      </c>
      <c r="V17" s="499"/>
      <c r="W17" s="499"/>
      <c r="X17" s="501">
        <v>30</v>
      </c>
      <c r="Y17" s="502">
        <v>7.3</v>
      </c>
    </row>
    <row r="18" spans="1:25" ht="39.950000000000003" customHeight="1" thickBot="1">
      <c r="A18" s="1695"/>
      <c r="B18" s="1697"/>
      <c r="C18" s="503" t="s">
        <v>49</v>
      </c>
      <c r="D18" s="504" t="s">
        <v>52</v>
      </c>
      <c r="E18" s="505" t="s">
        <v>458</v>
      </c>
      <c r="F18" s="505" t="s">
        <v>7</v>
      </c>
      <c r="G18" s="505" t="s">
        <v>467</v>
      </c>
      <c r="H18" s="505" t="s">
        <v>468</v>
      </c>
      <c r="I18" s="505" t="s">
        <v>467</v>
      </c>
      <c r="J18" s="505"/>
      <c r="K18" s="505" t="s">
        <v>590</v>
      </c>
      <c r="L18" s="505" t="s">
        <v>591</v>
      </c>
      <c r="M18" s="505" t="s">
        <v>468</v>
      </c>
      <c r="N18" s="505" t="s">
        <v>592</v>
      </c>
      <c r="O18" s="505" t="s">
        <v>636</v>
      </c>
      <c r="P18" s="505" t="s">
        <v>637</v>
      </c>
      <c r="Q18" s="505" t="s">
        <v>638</v>
      </c>
      <c r="R18" s="505" t="s">
        <v>639</v>
      </c>
      <c r="S18" s="505" t="s">
        <v>470</v>
      </c>
      <c r="T18" s="505" t="s">
        <v>640</v>
      </c>
      <c r="U18" s="503" t="s">
        <v>641</v>
      </c>
      <c r="V18" s="503" t="s">
        <v>642</v>
      </c>
      <c r="W18" s="503" t="s">
        <v>643</v>
      </c>
      <c r="X18" s="506" t="s">
        <v>644</v>
      </c>
      <c r="Y18" s="507" t="s">
        <v>500</v>
      </c>
    </row>
    <row r="19" spans="1:25" ht="73.5" customHeight="1" thickTop="1" thickBot="1">
      <c r="A19" s="359"/>
      <c r="B19" s="360"/>
      <c r="C19" s="360"/>
      <c r="D19" s="360"/>
      <c r="E19" s="360"/>
      <c r="F19" s="360"/>
      <c r="G19" s="360"/>
      <c r="H19" s="360"/>
      <c r="I19" s="360"/>
      <c r="J19" s="360"/>
      <c r="K19" s="360"/>
      <c r="L19" s="360"/>
      <c r="M19" s="360"/>
      <c r="N19" s="360"/>
      <c r="O19" s="360"/>
      <c r="P19" s="360"/>
      <c r="Q19" s="360"/>
      <c r="R19" s="360"/>
      <c r="S19" s="360"/>
      <c r="T19" s="360"/>
      <c r="U19" s="360"/>
      <c r="V19" s="360"/>
      <c r="W19" s="360"/>
      <c r="X19" s="360"/>
      <c r="Y19" s="508"/>
    </row>
    <row r="20" spans="1:25" s="515" customFormat="1" ht="90" customHeight="1" thickTop="1">
      <c r="A20" s="509">
        <f>'DADOS (F)'!A12</f>
        <v>1</v>
      </c>
      <c r="B20" s="510" t="str">
        <f>'DADOS (F)'!B12</f>
        <v>R. DA PUPUNHEIRA</v>
      </c>
      <c r="C20" s="511">
        <f>'DADOS (F)'!F12</f>
        <v>302</v>
      </c>
      <c r="D20" s="512">
        <f>'DADOS (F)'!G12</f>
        <v>4</v>
      </c>
      <c r="E20" s="512">
        <f t="shared" ref="E20:E51" si="0">C20*(D20)</f>
        <v>1208</v>
      </c>
      <c r="F20" s="512">
        <v>0.5</v>
      </c>
      <c r="G20" s="512">
        <f>C20*F20*G17</f>
        <v>755</v>
      </c>
      <c r="H20" s="512">
        <f>G20*1.3*$H$17</f>
        <v>15115.1</v>
      </c>
      <c r="I20" s="512">
        <f>E20*J20</f>
        <v>459.04</v>
      </c>
      <c r="J20" s="512">
        <f>IF(F20-(O20+T20)&lt;0,,F20-(O20+T20)+0.2)</f>
        <v>0.38</v>
      </c>
      <c r="K20" s="512">
        <f>J20*C20*K17</f>
        <v>573.79999999999995</v>
      </c>
      <c r="L20" s="512">
        <f>K20*1.3*$L$17</f>
        <v>22378.2</v>
      </c>
      <c r="M20" s="512">
        <f>K20*1.3*$M$17</f>
        <v>5445.36</v>
      </c>
      <c r="N20" s="512">
        <f>K20</f>
        <v>573.79999999999995</v>
      </c>
      <c r="O20" s="512">
        <v>0.12</v>
      </c>
      <c r="P20" s="512">
        <f>C20*O20*P17</f>
        <v>181.2</v>
      </c>
      <c r="Q20" s="512">
        <f>P20</f>
        <v>181.2</v>
      </c>
      <c r="R20" s="512">
        <f>P20*1.3*$R$17</f>
        <v>7066.8</v>
      </c>
      <c r="S20" s="512">
        <f>P20*1.3*$S$17</f>
        <v>35569.56</v>
      </c>
      <c r="T20" s="512">
        <v>0.2</v>
      </c>
      <c r="U20" s="512">
        <f>C20*T20*U17</f>
        <v>302</v>
      </c>
      <c r="V20" s="512">
        <f>U20</f>
        <v>302</v>
      </c>
      <c r="W20" s="512">
        <v>0</v>
      </c>
      <c r="X20" s="513">
        <f>U20*1.3*$X$17</f>
        <v>11778</v>
      </c>
      <c r="Y20" s="514">
        <f>U20*1.3*$Y$17</f>
        <v>2865.98</v>
      </c>
    </row>
    <row r="21" spans="1:25" s="516" customFormat="1" ht="90" customHeight="1">
      <c r="A21" s="509">
        <f>'DADOS (F)'!A13</f>
        <v>2</v>
      </c>
      <c r="B21" s="510" t="str">
        <f>'DADOS (F)'!B13</f>
        <v>R. TANGERINA</v>
      </c>
      <c r="C21" s="511">
        <f>'DADOS (F)'!F13</f>
        <v>319</v>
      </c>
      <c r="D21" s="512">
        <f>'DADOS (F)'!G13</f>
        <v>4</v>
      </c>
      <c r="E21" s="512">
        <f t="shared" si="0"/>
        <v>1276</v>
      </c>
      <c r="F21" s="512">
        <v>0.5</v>
      </c>
      <c r="G21" s="512">
        <f t="shared" ref="G21:G39" si="1">E21*F21</f>
        <v>638</v>
      </c>
      <c r="H21" s="512">
        <f t="shared" ref="H21:H39" si="2">G21*1.3*$H$17</f>
        <v>12772.76</v>
      </c>
      <c r="I21" s="512">
        <f>E21*J21</f>
        <v>484.88</v>
      </c>
      <c r="J21" s="512">
        <f t="shared" ref="J21:J77" si="3">IF(F21-(O21+T21)&lt;0,,F21-(O21+T21)+0.2)</f>
        <v>0.38</v>
      </c>
      <c r="K21" s="512">
        <f t="shared" ref="K21:K39" si="4">J21*E21</f>
        <v>484.88</v>
      </c>
      <c r="L21" s="512">
        <f t="shared" ref="L21:L39" si="5">K21*1.3*$L$17</f>
        <v>18910.32</v>
      </c>
      <c r="M21" s="512">
        <f>K21*1.3*$M$17</f>
        <v>4601.51</v>
      </c>
      <c r="N21" s="512">
        <f t="shared" ref="N21:N39" si="6">K21</f>
        <v>484.88</v>
      </c>
      <c r="O21" s="512">
        <v>0.12</v>
      </c>
      <c r="P21" s="512">
        <f t="shared" ref="P21:P39" si="7">E21*O21</f>
        <v>153.12</v>
      </c>
      <c r="Q21" s="512">
        <f t="shared" ref="Q21:Q39" si="8">P21</f>
        <v>153.12</v>
      </c>
      <c r="R21" s="512">
        <f t="shared" ref="R21:R39" si="9">P21*1.3*$R$17</f>
        <v>5971.68</v>
      </c>
      <c r="S21" s="512">
        <f t="shared" ref="S21:S39" si="10">P21*1.3*$S$17</f>
        <v>30057.46</v>
      </c>
      <c r="T21" s="512">
        <v>0.2</v>
      </c>
      <c r="U21" s="512">
        <f t="shared" ref="U21:U39" si="11">E21*T21</f>
        <v>255.2</v>
      </c>
      <c r="V21" s="512">
        <f t="shared" ref="V21:V39" si="12">U21</f>
        <v>255.2</v>
      </c>
      <c r="W21" s="512">
        <v>1</v>
      </c>
      <c r="X21" s="513">
        <f t="shared" ref="X21:X39" si="13">U21*1.3*$X$17</f>
        <v>9952.7999999999993</v>
      </c>
      <c r="Y21" s="514">
        <f t="shared" ref="Y21:Y39" si="14">U21*1.3*$Y$17</f>
        <v>2421.85</v>
      </c>
    </row>
    <row r="22" spans="1:25" s="516" customFormat="1" ht="90" customHeight="1">
      <c r="A22" s="509">
        <f>'DADOS (F)'!A14</f>
        <v>3</v>
      </c>
      <c r="B22" s="510" t="str">
        <f>'DADOS (F)'!B14</f>
        <v>PASS. LARANJEIRA</v>
      </c>
      <c r="C22" s="511">
        <f>'DADOS (F)'!F14</f>
        <v>293</v>
      </c>
      <c r="D22" s="512">
        <f>'DADOS (F)'!G14</f>
        <v>4.5</v>
      </c>
      <c r="E22" s="512">
        <f t="shared" si="0"/>
        <v>1318.5</v>
      </c>
      <c r="F22" s="512">
        <v>0.5</v>
      </c>
      <c r="G22" s="512">
        <f t="shared" si="1"/>
        <v>659.25</v>
      </c>
      <c r="H22" s="512">
        <f t="shared" si="2"/>
        <v>13198.19</v>
      </c>
      <c r="I22" s="512">
        <f t="shared" ref="I22:I34" si="15">E22*J22</f>
        <v>501.03</v>
      </c>
      <c r="J22" s="512">
        <f t="shared" si="3"/>
        <v>0.38</v>
      </c>
      <c r="K22" s="512">
        <f t="shared" si="4"/>
        <v>501.03</v>
      </c>
      <c r="L22" s="512">
        <f t="shared" si="5"/>
        <v>19540.169999999998</v>
      </c>
      <c r="M22" s="512">
        <f t="shared" ref="M22:M76" si="16">K22*1.3*$M$17</f>
        <v>4754.7700000000004</v>
      </c>
      <c r="N22" s="512">
        <f t="shared" si="6"/>
        <v>501.03</v>
      </c>
      <c r="O22" s="512">
        <v>0.12</v>
      </c>
      <c r="P22" s="512">
        <f t="shared" si="7"/>
        <v>158.22</v>
      </c>
      <c r="Q22" s="512">
        <f t="shared" si="8"/>
        <v>158.22</v>
      </c>
      <c r="R22" s="512">
        <f t="shared" si="9"/>
        <v>6170.58</v>
      </c>
      <c r="S22" s="512">
        <f t="shared" si="10"/>
        <v>31058.59</v>
      </c>
      <c r="T22" s="512">
        <v>0.2</v>
      </c>
      <c r="U22" s="512">
        <f t="shared" si="11"/>
        <v>263.7</v>
      </c>
      <c r="V22" s="512">
        <f t="shared" si="12"/>
        <v>263.7</v>
      </c>
      <c r="W22" s="512">
        <v>2</v>
      </c>
      <c r="X22" s="513">
        <f t="shared" si="13"/>
        <v>10284.299999999999</v>
      </c>
      <c r="Y22" s="514">
        <f t="shared" si="14"/>
        <v>2502.5100000000002</v>
      </c>
    </row>
    <row r="23" spans="1:25" s="516" customFormat="1" ht="90" customHeight="1">
      <c r="A23" s="509">
        <f>'DADOS (F)'!A15</f>
        <v>4</v>
      </c>
      <c r="B23" s="510" t="str">
        <f>'DADOS (F)'!B15</f>
        <v xml:space="preserve">TV. FÉ EM DEUS </v>
      </c>
      <c r="C23" s="511">
        <f>'DADOS (F)'!F15</f>
        <v>159.88</v>
      </c>
      <c r="D23" s="512">
        <f>'DADOS (F)'!G15</f>
        <v>5.71</v>
      </c>
      <c r="E23" s="512">
        <f t="shared" si="0"/>
        <v>912.91</v>
      </c>
      <c r="F23" s="512">
        <v>0.5</v>
      </c>
      <c r="G23" s="512">
        <f t="shared" si="1"/>
        <v>456.46</v>
      </c>
      <c r="H23" s="512">
        <f t="shared" si="2"/>
        <v>9138.33</v>
      </c>
      <c r="I23" s="512">
        <f t="shared" si="15"/>
        <v>346.91</v>
      </c>
      <c r="J23" s="512">
        <f t="shared" si="3"/>
        <v>0.38</v>
      </c>
      <c r="K23" s="512">
        <f t="shared" si="4"/>
        <v>346.91</v>
      </c>
      <c r="L23" s="512">
        <f t="shared" si="5"/>
        <v>13529.49</v>
      </c>
      <c r="M23" s="512">
        <f t="shared" si="16"/>
        <v>3292.18</v>
      </c>
      <c r="N23" s="512">
        <f t="shared" si="6"/>
        <v>346.91</v>
      </c>
      <c r="O23" s="512">
        <v>0.12</v>
      </c>
      <c r="P23" s="512">
        <f t="shared" si="7"/>
        <v>109.55</v>
      </c>
      <c r="Q23" s="512">
        <f t="shared" si="8"/>
        <v>109.55</v>
      </c>
      <c r="R23" s="512">
        <f t="shared" si="9"/>
        <v>4272.45</v>
      </c>
      <c r="S23" s="512">
        <f t="shared" si="10"/>
        <v>21504.67</v>
      </c>
      <c r="T23" s="512">
        <v>0.2</v>
      </c>
      <c r="U23" s="512">
        <f t="shared" si="11"/>
        <v>182.58</v>
      </c>
      <c r="V23" s="512">
        <f t="shared" si="12"/>
        <v>182.58</v>
      </c>
      <c r="W23" s="512">
        <v>3</v>
      </c>
      <c r="X23" s="513">
        <f t="shared" si="13"/>
        <v>7120.62</v>
      </c>
      <c r="Y23" s="514">
        <f t="shared" si="14"/>
        <v>1732.68</v>
      </c>
    </row>
    <row r="24" spans="1:25" s="516" customFormat="1" ht="90" customHeight="1">
      <c r="A24" s="509">
        <f>'DADOS (F)'!A16</f>
        <v>5</v>
      </c>
      <c r="B24" s="510" t="str">
        <f>'DADOS (F)'!B16</f>
        <v>RUA PAULO ASSUNÇÃO</v>
      </c>
      <c r="C24" s="511">
        <f>'DADOS (F)'!F16</f>
        <v>698.13</v>
      </c>
      <c r="D24" s="512">
        <f>'DADOS (F)'!G16</f>
        <v>5.58</v>
      </c>
      <c r="E24" s="512">
        <f t="shared" si="0"/>
        <v>3895.57</v>
      </c>
      <c r="F24" s="512">
        <v>0.5</v>
      </c>
      <c r="G24" s="512">
        <f t="shared" si="1"/>
        <v>1947.79</v>
      </c>
      <c r="H24" s="512">
        <f t="shared" si="2"/>
        <v>38994.76</v>
      </c>
      <c r="I24" s="512">
        <f t="shared" si="15"/>
        <v>1480.32</v>
      </c>
      <c r="J24" s="512">
        <f t="shared" si="3"/>
        <v>0.38</v>
      </c>
      <c r="K24" s="512">
        <f t="shared" si="4"/>
        <v>1480.32</v>
      </c>
      <c r="L24" s="512">
        <f t="shared" si="5"/>
        <v>57732.480000000003</v>
      </c>
      <c r="M24" s="512">
        <f t="shared" si="16"/>
        <v>14048.24</v>
      </c>
      <c r="N24" s="512">
        <f t="shared" si="6"/>
        <v>1480.32</v>
      </c>
      <c r="O24" s="512">
        <v>0.12</v>
      </c>
      <c r="P24" s="512">
        <f t="shared" si="7"/>
        <v>467.47</v>
      </c>
      <c r="Q24" s="512">
        <f t="shared" si="8"/>
        <v>467.47</v>
      </c>
      <c r="R24" s="512">
        <f t="shared" si="9"/>
        <v>18231.330000000002</v>
      </c>
      <c r="S24" s="512">
        <f t="shared" si="10"/>
        <v>91764.36</v>
      </c>
      <c r="T24" s="512">
        <v>0.2</v>
      </c>
      <c r="U24" s="512">
        <f t="shared" si="11"/>
        <v>779.11</v>
      </c>
      <c r="V24" s="512">
        <f t="shared" si="12"/>
        <v>779.11</v>
      </c>
      <c r="W24" s="512">
        <v>4</v>
      </c>
      <c r="X24" s="513">
        <f t="shared" si="13"/>
        <v>30385.29</v>
      </c>
      <c r="Y24" s="514">
        <f t="shared" si="14"/>
        <v>7393.75</v>
      </c>
    </row>
    <row r="25" spans="1:25" s="516" customFormat="1" ht="90" customHeight="1">
      <c r="A25" s="509">
        <f>'DADOS (F)'!A17</f>
        <v>6</v>
      </c>
      <c r="B25" s="510" t="str">
        <f>'DADOS (F)'!B17</f>
        <v>PASS PAULO ASSUNÇÃO</v>
      </c>
      <c r="C25" s="511">
        <f>'DADOS (F)'!F17</f>
        <v>262.44</v>
      </c>
      <c r="D25" s="512">
        <f>'DADOS (F)'!G17</f>
        <v>5.2</v>
      </c>
      <c r="E25" s="512">
        <f t="shared" si="0"/>
        <v>1364.69</v>
      </c>
      <c r="F25" s="512">
        <v>0.5</v>
      </c>
      <c r="G25" s="512">
        <f t="shared" si="1"/>
        <v>682.35</v>
      </c>
      <c r="H25" s="512">
        <f t="shared" si="2"/>
        <v>13660.65</v>
      </c>
      <c r="I25" s="512">
        <f t="shared" si="15"/>
        <v>518.58000000000004</v>
      </c>
      <c r="J25" s="512">
        <f t="shared" si="3"/>
        <v>0.38</v>
      </c>
      <c r="K25" s="512">
        <f t="shared" si="4"/>
        <v>518.58000000000004</v>
      </c>
      <c r="L25" s="512">
        <f t="shared" si="5"/>
        <v>20224.62</v>
      </c>
      <c r="M25" s="512">
        <f t="shared" si="16"/>
        <v>4921.32</v>
      </c>
      <c r="N25" s="512">
        <f t="shared" si="6"/>
        <v>518.58000000000004</v>
      </c>
      <c r="O25" s="512">
        <v>0.12</v>
      </c>
      <c r="P25" s="512">
        <f t="shared" si="7"/>
        <v>163.76</v>
      </c>
      <c r="Q25" s="512">
        <f t="shared" si="8"/>
        <v>163.76</v>
      </c>
      <c r="R25" s="512">
        <f t="shared" si="9"/>
        <v>6386.64</v>
      </c>
      <c r="S25" s="512">
        <f t="shared" si="10"/>
        <v>32146.09</v>
      </c>
      <c r="T25" s="512">
        <v>0.2</v>
      </c>
      <c r="U25" s="512">
        <f t="shared" si="11"/>
        <v>272.94</v>
      </c>
      <c r="V25" s="512">
        <f t="shared" si="12"/>
        <v>272.94</v>
      </c>
      <c r="W25" s="512">
        <v>5</v>
      </c>
      <c r="X25" s="513">
        <f t="shared" si="13"/>
        <v>10644.66</v>
      </c>
      <c r="Y25" s="514">
        <f t="shared" si="14"/>
        <v>2590.1999999999998</v>
      </c>
    </row>
    <row r="26" spans="1:25" s="516" customFormat="1" ht="90" customHeight="1">
      <c r="A26" s="509">
        <f>'DADOS (F)'!A18</f>
        <v>7</v>
      </c>
      <c r="B26" s="510" t="str">
        <f>'DADOS (F)'!B18</f>
        <v>RUA DO PISCINÃO</v>
      </c>
      <c r="C26" s="511">
        <f>'DADOS (F)'!F18</f>
        <v>438</v>
      </c>
      <c r="D26" s="512">
        <f>'DADOS (F)'!G18</f>
        <v>4.2</v>
      </c>
      <c r="E26" s="512">
        <f t="shared" si="0"/>
        <v>1839.6</v>
      </c>
      <c r="F26" s="512">
        <v>0.5</v>
      </c>
      <c r="G26" s="512">
        <f t="shared" si="1"/>
        <v>919.8</v>
      </c>
      <c r="H26" s="512">
        <f t="shared" si="2"/>
        <v>18414.400000000001</v>
      </c>
      <c r="I26" s="512">
        <f t="shared" si="15"/>
        <v>699.05</v>
      </c>
      <c r="J26" s="512">
        <f t="shared" si="3"/>
        <v>0.38</v>
      </c>
      <c r="K26" s="512">
        <f t="shared" si="4"/>
        <v>699.05</v>
      </c>
      <c r="L26" s="512">
        <f t="shared" si="5"/>
        <v>27262.95</v>
      </c>
      <c r="M26" s="512">
        <f t="shared" si="16"/>
        <v>6633.98</v>
      </c>
      <c r="N26" s="512">
        <f t="shared" si="6"/>
        <v>699.05</v>
      </c>
      <c r="O26" s="512">
        <v>0.12</v>
      </c>
      <c r="P26" s="512">
        <f t="shared" si="7"/>
        <v>220.75</v>
      </c>
      <c r="Q26" s="512">
        <f t="shared" si="8"/>
        <v>220.75</v>
      </c>
      <c r="R26" s="512">
        <f t="shared" si="9"/>
        <v>8609.25</v>
      </c>
      <c r="S26" s="512">
        <f t="shared" si="10"/>
        <v>43333.23</v>
      </c>
      <c r="T26" s="512">
        <v>0.2</v>
      </c>
      <c r="U26" s="512">
        <f t="shared" si="11"/>
        <v>367.92</v>
      </c>
      <c r="V26" s="512">
        <f t="shared" si="12"/>
        <v>367.92</v>
      </c>
      <c r="W26" s="512">
        <v>6</v>
      </c>
      <c r="X26" s="513">
        <f t="shared" si="13"/>
        <v>14348.88</v>
      </c>
      <c r="Y26" s="514">
        <f t="shared" si="14"/>
        <v>3491.56</v>
      </c>
    </row>
    <row r="27" spans="1:25" s="515" customFormat="1" ht="90" customHeight="1">
      <c r="A27" s="509">
        <f>'DADOS (F)'!A19</f>
        <v>8</v>
      </c>
      <c r="B27" s="510" t="str">
        <f>'DADOS (F)'!B19</f>
        <v>TV DEUS PROVERÁ</v>
      </c>
      <c r="C27" s="511">
        <f>'DADOS (F)'!F19</f>
        <v>182.75</v>
      </c>
      <c r="D27" s="512">
        <f>'DADOS (F)'!G19</f>
        <v>3.9</v>
      </c>
      <c r="E27" s="512">
        <f t="shared" si="0"/>
        <v>712.73</v>
      </c>
      <c r="F27" s="512">
        <v>0.5</v>
      </c>
      <c r="G27" s="512">
        <f t="shared" si="1"/>
        <v>356.37</v>
      </c>
      <c r="H27" s="512">
        <f t="shared" si="2"/>
        <v>7134.53</v>
      </c>
      <c r="I27" s="512">
        <f t="shared" si="15"/>
        <v>270.83999999999997</v>
      </c>
      <c r="J27" s="512">
        <f t="shared" si="3"/>
        <v>0.38</v>
      </c>
      <c r="K27" s="512">
        <f t="shared" si="4"/>
        <v>270.83999999999997</v>
      </c>
      <c r="L27" s="512">
        <f t="shared" si="5"/>
        <v>10562.76</v>
      </c>
      <c r="M27" s="512">
        <f t="shared" si="16"/>
        <v>2570.27</v>
      </c>
      <c r="N27" s="512">
        <f t="shared" si="6"/>
        <v>270.83999999999997</v>
      </c>
      <c r="O27" s="512">
        <v>0.12</v>
      </c>
      <c r="P27" s="512">
        <f t="shared" si="7"/>
        <v>85.53</v>
      </c>
      <c r="Q27" s="512">
        <f t="shared" si="8"/>
        <v>85.53</v>
      </c>
      <c r="R27" s="512">
        <f t="shared" si="9"/>
        <v>3335.67</v>
      </c>
      <c r="S27" s="512">
        <f t="shared" si="10"/>
        <v>16789.54</v>
      </c>
      <c r="T27" s="512">
        <v>0.2</v>
      </c>
      <c r="U27" s="512">
        <f t="shared" si="11"/>
        <v>142.55000000000001</v>
      </c>
      <c r="V27" s="512">
        <f t="shared" si="12"/>
        <v>142.55000000000001</v>
      </c>
      <c r="W27" s="512">
        <v>7</v>
      </c>
      <c r="X27" s="513">
        <f t="shared" si="13"/>
        <v>5559.45</v>
      </c>
      <c r="Y27" s="514">
        <f t="shared" si="14"/>
        <v>1352.8</v>
      </c>
    </row>
    <row r="28" spans="1:25" s="515" customFormat="1" ht="90" customHeight="1">
      <c r="A28" s="509">
        <f>'DADOS (F)'!A20</f>
        <v>9</v>
      </c>
      <c r="B28" s="510" t="str">
        <f>'DADOS (F)'!B20</f>
        <v>RUA A</v>
      </c>
      <c r="C28" s="511">
        <f>59.26+58.32</f>
        <v>117.58</v>
      </c>
      <c r="D28" s="512">
        <v>6</v>
      </c>
      <c r="E28" s="512">
        <f t="shared" si="0"/>
        <v>705.48</v>
      </c>
      <c r="F28" s="512">
        <v>0.5</v>
      </c>
      <c r="G28" s="512">
        <f t="shared" si="1"/>
        <v>352.74</v>
      </c>
      <c r="H28" s="512">
        <f t="shared" si="2"/>
        <v>7061.85</v>
      </c>
      <c r="I28" s="512">
        <f t="shared" si="15"/>
        <v>268.08</v>
      </c>
      <c r="J28" s="512">
        <f t="shared" si="3"/>
        <v>0.38</v>
      </c>
      <c r="K28" s="512">
        <f t="shared" si="4"/>
        <v>268.08</v>
      </c>
      <c r="L28" s="512">
        <f t="shared" si="5"/>
        <v>10455.120000000001</v>
      </c>
      <c r="M28" s="512">
        <f t="shared" si="16"/>
        <v>2544.08</v>
      </c>
      <c r="N28" s="512">
        <f t="shared" si="6"/>
        <v>268.08</v>
      </c>
      <c r="O28" s="512">
        <v>0.12</v>
      </c>
      <c r="P28" s="512">
        <f t="shared" si="7"/>
        <v>84.66</v>
      </c>
      <c r="Q28" s="512">
        <f t="shared" si="8"/>
        <v>84.66</v>
      </c>
      <c r="R28" s="512">
        <f t="shared" si="9"/>
        <v>3301.74</v>
      </c>
      <c r="S28" s="512">
        <f t="shared" si="10"/>
        <v>16618.759999999998</v>
      </c>
      <c r="T28" s="512">
        <v>0.2</v>
      </c>
      <c r="U28" s="512">
        <f t="shared" si="11"/>
        <v>141.1</v>
      </c>
      <c r="V28" s="512">
        <f t="shared" si="12"/>
        <v>141.1</v>
      </c>
      <c r="W28" s="512">
        <v>8</v>
      </c>
      <c r="X28" s="513">
        <f t="shared" si="13"/>
        <v>5502.9</v>
      </c>
      <c r="Y28" s="514">
        <f t="shared" si="14"/>
        <v>1339.04</v>
      </c>
    </row>
    <row r="29" spans="1:25" s="515" customFormat="1" ht="90" customHeight="1">
      <c r="A29" s="509">
        <f>'DADOS (F)'!A21</f>
        <v>10</v>
      </c>
      <c r="B29" s="510" t="str">
        <f>'DADOS (F)'!B21</f>
        <v>RUA B</v>
      </c>
      <c r="C29" s="511">
        <f>59.26+58.32</f>
        <v>117.58</v>
      </c>
      <c r="D29" s="512">
        <v>5.0999999999999996</v>
      </c>
      <c r="E29" s="512">
        <f t="shared" si="0"/>
        <v>599.66</v>
      </c>
      <c r="F29" s="512">
        <v>0.5</v>
      </c>
      <c r="G29" s="512">
        <f t="shared" si="1"/>
        <v>299.83</v>
      </c>
      <c r="H29" s="512">
        <f t="shared" si="2"/>
        <v>6002.6</v>
      </c>
      <c r="I29" s="512">
        <f t="shared" si="15"/>
        <v>227.87</v>
      </c>
      <c r="J29" s="512">
        <f t="shared" si="3"/>
        <v>0.38</v>
      </c>
      <c r="K29" s="512">
        <f t="shared" si="4"/>
        <v>227.87</v>
      </c>
      <c r="L29" s="512">
        <f t="shared" si="5"/>
        <v>8886.93</v>
      </c>
      <c r="M29" s="512">
        <f t="shared" si="16"/>
        <v>2162.4899999999998</v>
      </c>
      <c r="N29" s="512">
        <f t="shared" si="6"/>
        <v>227.87</v>
      </c>
      <c r="O29" s="512">
        <v>0.12</v>
      </c>
      <c r="P29" s="512">
        <f t="shared" si="7"/>
        <v>71.959999999999994</v>
      </c>
      <c r="Q29" s="512">
        <f t="shared" si="8"/>
        <v>71.959999999999994</v>
      </c>
      <c r="R29" s="512">
        <f t="shared" si="9"/>
        <v>2806.44</v>
      </c>
      <c r="S29" s="512">
        <f t="shared" si="10"/>
        <v>14125.75</v>
      </c>
      <c r="T29" s="512">
        <v>0.2</v>
      </c>
      <c r="U29" s="512">
        <f t="shared" si="11"/>
        <v>119.93</v>
      </c>
      <c r="V29" s="512">
        <f t="shared" si="12"/>
        <v>119.93</v>
      </c>
      <c r="W29" s="512">
        <v>9</v>
      </c>
      <c r="X29" s="513">
        <f t="shared" si="13"/>
        <v>4677.2700000000004</v>
      </c>
      <c r="Y29" s="514">
        <f t="shared" si="14"/>
        <v>1138.1400000000001</v>
      </c>
    </row>
    <row r="30" spans="1:25" s="515" customFormat="1" ht="90" customHeight="1">
      <c r="A30" s="509">
        <v>11</v>
      </c>
      <c r="B30" s="510" t="str">
        <f>'DADOS (F)'!B22</f>
        <v>RUA C</v>
      </c>
      <c r="C30" s="511">
        <f>'DADOS (F)'!F22</f>
        <v>75</v>
      </c>
      <c r="D30" s="512">
        <v>5.0999999999999996</v>
      </c>
      <c r="E30" s="512">
        <f t="shared" si="0"/>
        <v>382.5</v>
      </c>
      <c r="F30" s="512">
        <v>0.5</v>
      </c>
      <c r="G30" s="512">
        <f>E30*F30</f>
        <v>191.25</v>
      </c>
      <c r="H30" s="512">
        <f>G30*1.3*$H$17</f>
        <v>3828.83</v>
      </c>
      <c r="I30" s="512">
        <f>E30*J30</f>
        <v>145.35</v>
      </c>
      <c r="J30" s="512">
        <f>IF(F30-(O30+T30)&lt;0,,F30-(O30+T30)+0.2)</f>
        <v>0.38</v>
      </c>
      <c r="K30" s="512">
        <f>J30*E30</f>
        <v>145.35</v>
      </c>
      <c r="L30" s="512">
        <f>K30*1.3*$L$17</f>
        <v>5668.65</v>
      </c>
      <c r="M30" s="512">
        <f>K30*1.3*$M$17</f>
        <v>1379.37</v>
      </c>
      <c r="N30" s="512">
        <f>K30</f>
        <v>145.35</v>
      </c>
      <c r="O30" s="512">
        <v>0.12</v>
      </c>
      <c r="P30" s="512">
        <f>E30*O30</f>
        <v>45.9</v>
      </c>
      <c r="Q30" s="512">
        <f>P30</f>
        <v>45.9</v>
      </c>
      <c r="R30" s="512">
        <f>P30*1.3*$R$17</f>
        <v>1790.1</v>
      </c>
      <c r="S30" s="512">
        <f>P30*1.3*$S$17</f>
        <v>9010.17</v>
      </c>
      <c r="T30" s="512">
        <v>0.2</v>
      </c>
      <c r="U30" s="512">
        <f>E30*T30</f>
        <v>76.5</v>
      </c>
      <c r="V30" s="512">
        <f>U30</f>
        <v>76.5</v>
      </c>
      <c r="W30" s="512">
        <v>10</v>
      </c>
      <c r="X30" s="513">
        <f>U30*1.3*$X$17</f>
        <v>2983.5</v>
      </c>
      <c r="Y30" s="514">
        <f>U30*1.3*$Y$17</f>
        <v>725.99</v>
      </c>
    </row>
    <row r="31" spans="1:25" s="515" customFormat="1" ht="90" customHeight="1">
      <c r="A31" s="509">
        <v>12</v>
      </c>
      <c r="B31" s="510" t="str">
        <f>'DADOS (F)'!B23</f>
        <v>CURVA ENTRE A RUA C E A RUA D</v>
      </c>
      <c r="C31" s="511">
        <v>28</v>
      </c>
      <c r="D31" s="512">
        <v>5.0999999999999996</v>
      </c>
      <c r="E31" s="512">
        <f t="shared" si="0"/>
        <v>142.80000000000001</v>
      </c>
      <c r="F31" s="512">
        <v>0.5</v>
      </c>
      <c r="G31" s="512">
        <f>E31*F31</f>
        <v>71.400000000000006</v>
      </c>
      <c r="H31" s="512">
        <f>G31*1.3*$H$17</f>
        <v>1429.43</v>
      </c>
      <c r="I31" s="512">
        <f>E31*J31</f>
        <v>54.26</v>
      </c>
      <c r="J31" s="512">
        <f>IF(F31-(O31+T31)&lt;0,,F31-(O31+T31)+0.2)</f>
        <v>0.38</v>
      </c>
      <c r="K31" s="512">
        <f>J31*E31</f>
        <v>54.26</v>
      </c>
      <c r="L31" s="512">
        <f>K31*1.3*$L$17</f>
        <v>2116.14</v>
      </c>
      <c r="M31" s="512">
        <f>K31*1.3*$M$17</f>
        <v>514.92999999999995</v>
      </c>
      <c r="N31" s="512">
        <f>K31</f>
        <v>54.26</v>
      </c>
      <c r="O31" s="512">
        <v>0.12</v>
      </c>
      <c r="P31" s="512">
        <f>E31*O31</f>
        <v>17.14</v>
      </c>
      <c r="Q31" s="512">
        <f>P31</f>
        <v>17.14</v>
      </c>
      <c r="R31" s="512">
        <f>P31*1.3*$R$17</f>
        <v>668.46</v>
      </c>
      <c r="S31" s="512">
        <f>P31*1.3*$S$17</f>
        <v>3364.58</v>
      </c>
      <c r="T31" s="512">
        <v>0.2</v>
      </c>
      <c r="U31" s="512">
        <f>E31*T31</f>
        <v>28.56</v>
      </c>
      <c r="V31" s="512">
        <f>U31</f>
        <v>28.56</v>
      </c>
      <c r="W31" s="512">
        <v>11</v>
      </c>
      <c r="X31" s="513">
        <f>U31*1.3*$X$17</f>
        <v>1113.8399999999999</v>
      </c>
      <c r="Y31" s="514">
        <f>U31*1.3*$Y$17</f>
        <v>271.02999999999997</v>
      </c>
    </row>
    <row r="32" spans="1:25" s="515" customFormat="1" ht="90" customHeight="1">
      <c r="A32" s="509">
        <v>13</v>
      </c>
      <c r="B32" s="510" t="str">
        <f>'DADOS (F)'!B24</f>
        <v>RUA D</v>
      </c>
      <c r="C32" s="511">
        <f>'DADOS (F)'!F24</f>
        <v>89</v>
      </c>
      <c r="D32" s="512">
        <v>5.0999999999999996</v>
      </c>
      <c r="E32" s="512">
        <f t="shared" si="0"/>
        <v>453.9</v>
      </c>
      <c r="F32" s="512">
        <v>0.5</v>
      </c>
      <c r="G32" s="512">
        <f>E32*F32</f>
        <v>226.95</v>
      </c>
      <c r="H32" s="512">
        <f>G32*1.3*$H$17</f>
        <v>4543.54</v>
      </c>
      <c r="I32" s="512">
        <f>E32*J32</f>
        <v>172.48</v>
      </c>
      <c r="J32" s="512">
        <f>IF(F32-(O32+T32)&lt;0,,F32-(O32+T32)+0.2)</f>
        <v>0.38</v>
      </c>
      <c r="K32" s="512">
        <f>J32*E32</f>
        <v>172.48</v>
      </c>
      <c r="L32" s="512">
        <f>K32*1.3*$L$17</f>
        <v>6726.72</v>
      </c>
      <c r="M32" s="512">
        <f>K32*1.3*$M$17</f>
        <v>1636.84</v>
      </c>
      <c r="N32" s="512">
        <f>K32</f>
        <v>172.48</v>
      </c>
      <c r="O32" s="512">
        <v>0.12</v>
      </c>
      <c r="P32" s="512">
        <f>E32*O32</f>
        <v>54.47</v>
      </c>
      <c r="Q32" s="512">
        <f>P32</f>
        <v>54.47</v>
      </c>
      <c r="R32" s="512">
        <f>P32*1.3*$R$17</f>
        <v>2124.33</v>
      </c>
      <c r="S32" s="512">
        <f>P32*1.3*$S$17</f>
        <v>10692.46</v>
      </c>
      <c r="T32" s="512">
        <v>0.2</v>
      </c>
      <c r="U32" s="512">
        <f>E32*T32</f>
        <v>90.78</v>
      </c>
      <c r="V32" s="512">
        <f>U32</f>
        <v>90.78</v>
      </c>
      <c r="W32" s="512">
        <v>12</v>
      </c>
      <c r="X32" s="513">
        <f>U32*1.3*$X$17</f>
        <v>3540.42</v>
      </c>
      <c r="Y32" s="514">
        <f>U32*1.3*$Y$17</f>
        <v>861.5</v>
      </c>
    </row>
    <row r="33" spans="1:25" s="515" customFormat="1" ht="90" customHeight="1">
      <c r="A33" s="509">
        <f>'DADOS (F)'!A25</f>
        <v>14</v>
      </c>
      <c r="B33" s="510" t="str">
        <f>'DADOS (F)'!B25</f>
        <v>RUA DAS ORQUIDEAS</v>
      </c>
      <c r="C33" s="511">
        <f>'DADOS (F)'!F25</f>
        <v>151.97999999999999</v>
      </c>
      <c r="D33" s="512">
        <f>'DADOS (F)'!G25</f>
        <v>6.73</v>
      </c>
      <c r="E33" s="512">
        <f t="shared" si="0"/>
        <v>1022.83</v>
      </c>
      <c r="F33" s="512">
        <v>0.5</v>
      </c>
      <c r="G33" s="512">
        <f t="shared" si="1"/>
        <v>511.42</v>
      </c>
      <c r="H33" s="512">
        <f t="shared" si="2"/>
        <v>10238.629999999999</v>
      </c>
      <c r="I33" s="512">
        <f t="shared" si="15"/>
        <v>388.68</v>
      </c>
      <c r="J33" s="512">
        <f t="shared" si="3"/>
        <v>0.38</v>
      </c>
      <c r="K33" s="512">
        <f t="shared" si="4"/>
        <v>388.68</v>
      </c>
      <c r="L33" s="512">
        <f t="shared" si="5"/>
        <v>15158.52</v>
      </c>
      <c r="M33" s="512">
        <f t="shared" si="16"/>
        <v>3688.57</v>
      </c>
      <c r="N33" s="512">
        <f t="shared" si="6"/>
        <v>388.68</v>
      </c>
      <c r="O33" s="512">
        <v>0.12</v>
      </c>
      <c r="P33" s="512">
        <f t="shared" si="7"/>
        <v>122.74</v>
      </c>
      <c r="Q33" s="512">
        <f t="shared" si="8"/>
        <v>122.74</v>
      </c>
      <c r="R33" s="512">
        <f t="shared" si="9"/>
        <v>4786.8599999999997</v>
      </c>
      <c r="S33" s="512">
        <f t="shared" si="10"/>
        <v>24093.86</v>
      </c>
      <c r="T33" s="512">
        <v>0.2</v>
      </c>
      <c r="U33" s="512">
        <f t="shared" si="11"/>
        <v>204.57</v>
      </c>
      <c r="V33" s="512">
        <f t="shared" si="12"/>
        <v>204.57</v>
      </c>
      <c r="W33" s="512">
        <v>10</v>
      </c>
      <c r="X33" s="513">
        <f t="shared" si="13"/>
        <v>7978.23</v>
      </c>
      <c r="Y33" s="514">
        <f t="shared" si="14"/>
        <v>1941.37</v>
      </c>
    </row>
    <row r="34" spans="1:25" s="516" customFormat="1" ht="90" customHeight="1">
      <c r="A34" s="509">
        <f>'DADOS (F)'!A26</f>
        <v>15</v>
      </c>
      <c r="B34" s="510" t="str">
        <f>'DADOS (F)'!B26</f>
        <v>RUA HUM</v>
      </c>
      <c r="C34" s="511">
        <f>'DADOS (F)'!F26</f>
        <v>255</v>
      </c>
      <c r="D34" s="512">
        <f>'DADOS (F)'!G26</f>
        <v>4.5</v>
      </c>
      <c r="E34" s="512">
        <f t="shared" si="0"/>
        <v>1147.5</v>
      </c>
      <c r="F34" s="512">
        <v>0.5</v>
      </c>
      <c r="G34" s="512">
        <f t="shared" si="1"/>
        <v>573.75</v>
      </c>
      <c r="H34" s="512">
        <f t="shared" si="2"/>
        <v>11486.48</v>
      </c>
      <c r="I34" s="512">
        <f t="shared" si="15"/>
        <v>436.05</v>
      </c>
      <c r="J34" s="512">
        <f t="shared" si="3"/>
        <v>0.38</v>
      </c>
      <c r="K34" s="512">
        <f t="shared" si="4"/>
        <v>436.05</v>
      </c>
      <c r="L34" s="512">
        <f t="shared" si="5"/>
        <v>17005.95</v>
      </c>
      <c r="M34" s="512">
        <f t="shared" si="16"/>
        <v>4138.1099999999997</v>
      </c>
      <c r="N34" s="512">
        <f t="shared" si="6"/>
        <v>436.05</v>
      </c>
      <c r="O34" s="512">
        <v>0.12</v>
      </c>
      <c r="P34" s="512">
        <f t="shared" si="7"/>
        <v>137.69999999999999</v>
      </c>
      <c r="Q34" s="512">
        <f t="shared" si="8"/>
        <v>137.69999999999999</v>
      </c>
      <c r="R34" s="512">
        <f t="shared" si="9"/>
        <v>5370.3</v>
      </c>
      <c r="S34" s="512">
        <f t="shared" si="10"/>
        <v>27030.51</v>
      </c>
      <c r="T34" s="512">
        <v>0.2</v>
      </c>
      <c r="U34" s="512">
        <f t="shared" si="11"/>
        <v>229.5</v>
      </c>
      <c r="V34" s="512">
        <f t="shared" si="12"/>
        <v>229.5</v>
      </c>
      <c r="W34" s="512">
        <v>11</v>
      </c>
      <c r="X34" s="513">
        <f t="shared" si="13"/>
        <v>8950.5</v>
      </c>
      <c r="Y34" s="514">
        <f t="shared" si="14"/>
        <v>2177.96</v>
      </c>
    </row>
    <row r="35" spans="1:25" s="516" customFormat="1" ht="90" customHeight="1">
      <c r="A35" s="509">
        <f>'DADOS (F)'!A27</f>
        <v>16</v>
      </c>
      <c r="B35" s="510" t="str">
        <f>'DADOS (F)'!B27</f>
        <v>RUA DOIS</v>
      </c>
      <c r="C35" s="511">
        <f>'DADOS (F)'!F27</f>
        <v>155</v>
      </c>
      <c r="D35" s="512">
        <f>'DADOS (F)'!G27</f>
        <v>5.3</v>
      </c>
      <c r="E35" s="512">
        <f t="shared" si="0"/>
        <v>821.5</v>
      </c>
      <c r="F35" s="512">
        <v>0.5</v>
      </c>
      <c r="G35" s="512">
        <f t="shared" si="1"/>
        <v>410.75</v>
      </c>
      <c r="H35" s="512">
        <f t="shared" si="2"/>
        <v>8223.2199999999993</v>
      </c>
      <c r="I35" s="512">
        <f t="shared" ref="I35:I56" si="17">E35*F35</f>
        <v>410.75</v>
      </c>
      <c r="J35" s="512">
        <f t="shared" si="3"/>
        <v>0.38</v>
      </c>
      <c r="K35" s="512">
        <f t="shared" si="4"/>
        <v>312.17</v>
      </c>
      <c r="L35" s="512">
        <f t="shared" si="5"/>
        <v>12174.63</v>
      </c>
      <c r="M35" s="512">
        <f t="shared" si="16"/>
        <v>2962.49</v>
      </c>
      <c r="N35" s="512">
        <f t="shared" si="6"/>
        <v>312.17</v>
      </c>
      <c r="O35" s="512">
        <v>0.12</v>
      </c>
      <c r="P35" s="512">
        <f t="shared" si="7"/>
        <v>98.58</v>
      </c>
      <c r="Q35" s="512">
        <f t="shared" si="8"/>
        <v>98.58</v>
      </c>
      <c r="R35" s="512">
        <f t="shared" si="9"/>
        <v>3844.62</v>
      </c>
      <c r="S35" s="512">
        <f t="shared" si="10"/>
        <v>19351.25</v>
      </c>
      <c r="T35" s="512">
        <v>0.2</v>
      </c>
      <c r="U35" s="512">
        <f t="shared" si="11"/>
        <v>164.3</v>
      </c>
      <c r="V35" s="512">
        <f t="shared" si="12"/>
        <v>164.3</v>
      </c>
      <c r="W35" s="512">
        <v>12</v>
      </c>
      <c r="X35" s="513">
        <f t="shared" si="13"/>
        <v>6407.7</v>
      </c>
      <c r="Y35" s="514">
        <f t="shared" si="14"/>
        <v>1559.21</v>
      </c>
    </row>
    <row r="36" spans="1:25" s="516" customFormat="1" ht="90" customHeight="1">
      <c r="A36" s="509">
        <f>'DADOS (F)'!A28</f>
        <v>17</v>
      </c>
      <c r="B36" s="510" t="str">
        <f>'DADOS (F)'!B28</f>
        <v>RUA TRÊS</v>
      </c>
      <c r="C36" s="511">
        <f>'DADOS (F)'!F28</f>
        <v>131</v>
      </c>
      <c r="D36" s="512">
        <f>'DADOS (F)'!G28</f>
        <v>6.5</v>
      </c>
      <c r="E36" s="512">
        <f t="shared" si="0"/>
        <v>851.5</v>
      </c>
      <c r="F36" s="512">
        <v>0.5</v>
      </c>
      <c r="G36" s="512">
        <f t="shared" si="1"/>
        <v>425.75</v>
      </c>
      <c r="H36" s="512">
        <f t="shared" si="2"/>
        <v>8523.52</v>
      </c>
      <c r="I36" s="512">
        <f t="shared" si="17"/>
        <v>425.75</v>
      </c>
      <c r="J36" s="512">
        <f t="shared" si="3"/>
        <v>0.38</v>
      </c>
      <c r="K36" s="512">
        <f t="shared" si="4"/>
        <v>323.57</v>
      </c>
      <c r="L36" s="512">
        <f t="shared" si="5"/>
        <v>12619.23</v>
      </c>
      <c r="M36" s="512">
        <f t="shared" si="16"/>
        <v>3070.68</v>
      </c>
      <c r="N36" s="512">
        <f t="shared" si="6"/>
        <v>323.57</v>
      </c>
      <c r="O36" s="512">
        <v>0.12</v>
      </c>
      <c r="P36" s="512">
        <f t="shared" si="7"/>
        <v>102.18</v>
      </c>
      <c r="Q36" s="512">
        <f t="shared" si="8"/>
        <v>102.18</v>
      </c>
      <c r="R36" s="512">
        <f t="shared" si="9"/>
        <v>3985.02</v>
      </c>
      <c r="S36" s="512">
        <f t="shared" si="10"/>
        <v>20057.93</v>
      </c>
      <c r="T36" s="512">
        <v>0.2</v>
      </c>
      <c r="U36" s="512">
        <f t="shared" si="11"/>
        <v>170.3</v>
      </c>
      <c r="V36" s="512">
        <f t="shared" si="12"/>
        <v>170.3</v>
      </c>
      <c r="W36" s="512">
        <v>13</v>
      </c>
      <c r="X36" s="513">
        <f t="shared" si="13"/>
        <v>6641.7</v>
      </c>
      <c r="Y36" s="514">
        <f t="shared" si="14"/>
        <v>1616.15</v>
      </c>
    </row>
    <row r="37" spans="1:25" s="516" customFormat="1" ht="90" customHeight="1">
      <c r="A37" s="509">
        <f>'DADOS (F)'!A29</f>
        <v>18</v>
      </c>
      <c r="B37" s="510" t="str">
        <f>'DADOS (F)'!B29</f>
        <v>PASS DA LUZ</v>
      </c>
      <c r="C37" s="511">
        <f>'DADOS (F)'!F29</f>
        <v>72.790000000000006</v>
      </c>
      <c r="D37" s="512">
        <f>'DADOS (F)'!G29</f>
        <v>4</v>
      </c>
      <c r="E37" s="512">
        <f t="shared" si="0"/>
        <v>291.16000000000003</v>
      </c>
      <c r="F37" s="512">
        <v>0.5</v>
      </c>
      <c r="G37" s="512">
        <f t="shared" si="1"/>
        <v>145.58000000000001</v>
      </c>
      <c r="H37" s="512">
        <f t="shared" si="2"/>
        <v>2914.51</v>
      </c>
      <c r="I37" s="512">
        <f t="shared" si="17"/>
        <v>145.58000000000001</v>
      </c>
      <c r="J37" s="512">
        <f t="shared" si="3"/>
        <v>0.38</v>
      </c>
      <c r="K37" s="512">
        <f t="shared" si="4"/>
        <v>110.64</v>
      </c>
      <c r="L37" s="512">
        <f t="shared" si="5"/>
        <v>4314.96</v>
      </c>
      <c r="M37" s="512">
        <f t="shared" si="16"/>
        <v>1049.97</v>
      </c>
      <c r="N37" s="512">
        <f t="shared" si="6"/>
        <v>110.64</v>
      </c>
      <c r="O37" s="512">
        <v>0.12</v>
      </c>
      <c r="P37" s="512">
        <f t="shared" si="7"/>
        <v>34.94</v>
      </c>
      <c r="Q37" s="512">
        <f t="shared" si="8"/>
        <v>34.94</v>
      </c>
      <c r="R37" s="512">
        <f t="shared" si="9"/>
        <v>1362.66</v>
      </c>
      <c r="S37" s="512">
        <f t="shared" si="10"/>
        <v>6858.72</v>
      </c>
      <c r="T37" s="512">
        <v>0.2</v>
      </c>
      <c r="U37" s="512">
        <f t="shared" si="11"/>
        <v>58.23</v>
      </c>
      <c r="V37" s="512">
        <f t="shared" si="12"/>
        <v>58.23</v>
      </c>
      <c r="W37" s="512">
        <v>14</v>
      </c>
      <c r="X37" s="513">
        <f t="shared" si="13"/>
        <v>2270.9699999999998</v>
      </c>
      <c r="Y37" s="514">
        <f t="shared" si="14"/>
        <v>552.6</v>
      </c>
    </row>
    <row r="38" spans="1:25" s="516" customFormat="1" ht="90" customHeight="1">
      <c r="A38" s="509">
        <f>'DADOS (F)'!A30</f>
        <v>19</v>
      </c>
      <c r="B38" s="510" t="str">
        <f>'DADOS (F)'!B30</f>
        <v>RUA FÉ EM DEUS</v>
      </c>
      <c r="C38" s="511">
        <f>'DADOS (F)'!F30</f>
        <v>183</v>
      </c>
      <c r="D38" s="512">
        <f>'DADOS (F)'!G30</f>
        <v>4.41</v>
      </c>
      <c r="E38" s="512">
        <f t="shared" si="0"/>
        <v>807.03</v>
      </c>
      <c r="F38" s="512">
        <v>0.5</v>
      </c>
      <c r="G38" s="512">
        <f t="shared" si="1"/>
        <v>403.52</v>
      </c>
      <c r="H38" s="512">
        <f t="shared" si="2"/>
        <v>8078.47</v>
      </c>
      <c r="I38" s="512">
        <f t="shared" si="17"/>
        <v>403.52</v>
      </c>
      <c r="J38" s="512">
        <f t="shared" si="3"/>
        <v>0.38</v>
      </c>
      <c r="K38" s="512">
        <f t="shared" si="4"/>
        <v>306.67</v>
      </c>
      <c r="L38" s="512">
        <f t="shared" si="5"/>
        <v>11960.13</v>
      </c>
      <c r="M38" s="512">
        <f t="shared" si="16"/>
        <v>2910.3</v>
      </c>
      <c r="N38" s="512">
        <f t="shared" si="6"/>
        <v>306.67</v>
      </c>
      <c r="O38" s="512">
        <v>0.12</v>
      </c>
      <c r="P38" s="512">
        <f t="shared" si="7"/>
        <v>96.84</v>
      </c>
      <c r="Q38" s="512">
        <f t="shared" si="8"/>
        <v>96.84</v>
      </c>
      <c r="R38" s="512">
        <f t="shared" si="9"/>
        <v>3776.76</v>
      </c>
      <c r="S38" s="512">
        <f t="shared" si="10"/>
        <v>19009.689999999999</v>
      </c>
      <c r="T38" s="512">
        <v>0.2</v>
      </c>
      <c r="U38" s="512">
        <f t="shared" si="11"/>
        <v>161.41</v>
      </c>
      <c r="V38" s="512">
        <f t="shared" si="12"/>
        <v>161.41</v>
      </c>
      <c r="W38" s="512">
        <v>15</v>
      </c>
      <c r="X38" s="513">
        <f t="shared" si="13"/>
        <v>6294.99</v>
      </c>
      <c r="Y38" s="514">
        <f t="shared" si="14"/>
        <v>1531.78</v>
      </c>
    </row>
    <row r="39" spans="1:25" s="515" customFormat="1" ht="90" customHeight="1">
      <c r="A39" s="509">
        <f>'DADOS (F)'!A31</f>
        <v>20</v>
      </c>
      <c r="B39" s="510" t="str">
        <f>'DADOS (F)'!B31</f>
        <v>PASS PRINCIPAL</v>
      </c>
      <c r="C39" s="511">
        <f>'DADOS (F)'!F31</f>
        <v>153</v>
      </c>
      <c r="D39" s="512">
        <f>'DADOS (F)'!G31</f>
        <v>4.3</v>
      </c>
      <c r="E39" s="512">
        <f t="shared" si="0"/>
        <v>657.9</v>
      </c>
      <c r="F39" s="512">
        <v>0.5</v>
      </c>
      <c r="G39" s="512">
        <f t="shared" si="1"/>
        <v>328.95</v>
      </c>
      <c r="H39" s="512">
        <f t="shared" si="2"/>
        <v>6585.58</v>
      </c>
      <c r="I39" s="512">
        <f t="shared" si="17"/>
        <v>328.95</v>
      </c>
      <c r="J39" s="512">
        <f t="shared" si="3"/>
        <v>0.38</v>
      </c>
      <c r="K39" s="512">
        <f t="shared" si="4"/>
        <v>250</v>
      </c>
      <c r="L39" s="512">
        <f t="shared" si="5"/>
        <v>9750</v>
      </c>
      <c r="M39" s="512">
        <f t="shared" si="16"/>
        <v>2372.5</v>
      </c>
      <c r="N39" s="512">
        <f t="shared" si="6"/>
        <v>250</v>
      </c>
      <c r="O39" s="512">
        <v>0.12</v>
      </c>
      <c r="P39" s="512">
        <f t="shared" si="7"/>
        <v>78.95</v>
      </c>
      <c r="Q39" s="512">
        <f t="shared" si="8"/>
        <v>78.95</v>
      </c>
      <c r="R39" s="512">
        <f t="shared" si="9"/>
        <v>3079.05</v>
      </c>
      <c r="S39" s="512">
        <f t="shared" si="10"/>
        <v>15497.89</v>
      </c>
      <c r="T39" s="512">
        <v>0.2</v>
      </c>
      <c r="U39" s="512">
        <f t="shared" si="11"/>
        <v>131.58000000000001</v>
      </c>
      <c r="V39" s="512">
        <f t="shared" si="12"/>
        <v>131.58000000000001</v>
      </c>
      <c r="W39" s="512">
        <v>16</v>
      </c>
      <c r="X39" s="513">
        <f t="shared" si="13"/>
        <v>5131.62</v>
      </c>
      <c r="Y39" s="514">
        <f t="shared" si="14"/>
        <v>1248.69</v>
      </c>
    </row>
    <row r="40" spans="1:25" s="515" customFormat="1" ht="90" customHeight="1">
      <c r="A40" s="509">
        <f>'DADOS (F)'!A32</f>
        <v>21</v>
      </c>
      <c r="B40" s="510" t="str">
        <f>'DADOS (F)'!B32</f>
        <v>PASSAGEM BACELAR</v>
      </c>
      <c r="C40" s="511">
        <f>'DADOS (F)'!F32</f>
        <v>520</v>
      </c>
      <c r="D40" s="512">
        <f>'DADOS (F)'!G32</f>
        <v>4.5</v>
      </c>
      <c r="E40" s="512">
        <f t="shared" si="0"/>
        <v>2340</v>
      </c>
      <c r="F40" s="512">
        <v>0.5</v>
      </c>
      <c r="G40" s="512">
        <f t="shared" ref="G40:G56" si="18">E40*F40</f>
        <v>1170</v>
      </c>
      <c r="H40" s="512">
        <f t="shared" ref="H40:H56" si="19">G40*1.3*$H$17</f>
        <v>23423.4</v>
      </c>
      <c r="I40" s="512">
        <f t="shared" si="17"/>
        <v>1170</v>
      </c>
      <c r="J40" s="512">
        <f t="shared" si="3"/>
        <v>0.38</v>
      </c>
      <c r="K40" s="512">
        <f t="shared" ref="K40:K56" si="20">J40*E40</f>
        <v>889.2</v>
      </c>
      <c r="L40" s="512">
        <f t="shared" ref="L40:L56" si="21">K40*1.3*$L$17</f>
        <v>34678.800000000003</v>
      </c>
      <c r="M40" s="512">
        <f t="shared" si="16"/>
        <v>8438.51</v>
      </c>
      <c r="N40" s="512">
        <f t="shared" ref="N40:N56" si="22">K40</f>
        <v>889.2</v>
      </c>
      <c r="O40" s="512">
        <v>0.12</v>
      </c>
      <c r="P40" s="512">
        <f t="shared" ref="P40:P56" si="23">E40*O40</f>
        <v>280.8</v>
      </c>
      <c r="Q40" s="512">
        <f t="shared" ref="Q40:Q56" si="24">P40</f>
        <v>280.8</v>
      </c>
      <c r="R40" s="512">
        <f t="shared" ref="R40:R56" si="25">P40*1.3*$R$17</f>
        <v>10951.2</v>
      </c>
      <c r="S40" s="512">
        <f t="shared" ref="S40:S56" si="26">P40*1.3*$S$17</f>
        <v>55121.04</v>
      </c>
      <c r="T40" s="512">
        <v>0.2</v>
      </c>
      <c r="U40" s="512">
        <f t="shared" ref="U40:U56" si="27">E40*T40</f>
        <v>468</v>
      </c>
      <c r="V40" s="512">
        <f t="shared" ref="V40:V56" si="28">U40</f>
        <v>468</v>
      </c>
      <c r="W40" s="512">
        <v>16</v>
      </c>
      <c r="X40" s="513">
        <f t="shared" ref="X40:X56" si="29">U40*1.3*$X$17</f>
        <v>18252</v>
      </c>
      <c r="Y40" s="514">
        <f t="shared" ref="Y40:Y56" si="30">U40*1.3*$Y$17</f>
        <v>4441.32</v>
      </c>
    </row>
    <row r="41" spans="1:25" s="515" customFormat="1" ht="90" customHeight="1">
      <c r="A41" s="509">
        <f>'DADOS (F)'!A33</f>
        <v>22</v>
      </c>
      <c r="B41" s="510" t="str">
        <f>'DADOS (F)'!B33</f>
        <v>PASS DEUS TEM PODER</v>
      </c>
      <c r="C41" s="511">
        <f>'DADOS (F)'!F33</f>
        <v>483</v>
      </c>
      <c r="D41" s="512">
        <f>'DADOS (F)'!G33</f>
        <v>4.8499999999999996</v>
      </c>
      <c r="E41" s="512">
        <f t="shared" si="0"/>
        <v>2342.5500000000002</v>
      </c>
      <c r="F41" s="512">
        <v>0.5</v>
      </c>
      <c r="G41" s="512">
        <f t="shared" si="18"/>
        <v>1171.28</v>
      </c>
      <c r="H41" s="512">
        <f t="shared" si="19"/>
        <v>23449.03</v>
      </c>
      <c r="I41" s="512">
        <f t="shared" si="17"/>
        <v>1171.28</v>
      </c>
      <c r="J41" s="512">
        <f t="shared" si="3"/>
        <v>0.38</v>
      </c>
      <c r="K41" s="512">
        <f t="shared" si="20"/>
        <v>890.17</v>
      </c>
      <c r="L41" s="512">
        <f t="shared" si="21"/>
        <v>34716.629999999997</v>
      </c>
      <c r="M41" s="512">
        <f t="shared" si="16"/>
        <v>8447.7099999999991</v>
      </c>
      <c r="N41" s="512">
        <f t="shared" si="22"/>
        <v>890.17</v>
      </c>
      <c r="O41" s="512">
        <v>0.12</v>
      </c>
      <c r="P41" s="512">
        <f t="shared" si="23"/>
        <v>281.11</v>
      </c>
      <c r="Q41" s="512">
        <f t="shared" si="24"/>
        <v>281.11</v>
      </c>
      <c r="R41" s="512">
        <f t="shared" si="25"/>
        <v>10963.29</v>
      </c>
      <c r="S41" s="512">
        <f t="shared" si="26"/>
        <v>55181.89</v>
      </c>
      <c r="T41" s="512">
        <v>0.2</v>
      </c>
      <c r="U41" s="512">
        <f t="shared" si="27"/>
        <v>468.51</v>
      </c>
      <c r="V41" s="512">
        <f t="shared" si="28"/>
        <v>468.51</v>
      </c>
      <c r="W41" s="512">
        <v>16</v>
      </c>
      <c r="X41" s="513">
        <f t="shared" si="29"/>
        <v>18271.89</v>
      </c>
      <c r="Y41" s="514">
        <f t="shared" si="30"/>
        <v>4446.16</v>
      </c>
    </row>
    <row r="42" spans="1:25" s="515" customFormat="1" ht="90" customHeight="1">
      <c r="A42" s="509">
        <f>'DADOS (F)'!A34</f>
        <v>23</v>
      </c>
      <c r="B42" s="510" t="str">
        <f>'DADOS (F)'!B34</f>
        <v>PASS UNIÃO</v>
      </c>
      <c r="C42" s="511">
        <f>'DADOS (F)'!F34</f>
        <v>147</v>
      </c>
      <c r="D42" s="512">
        <f>'DADOS (F)'!G34</f>
        <v>4.0999999999999996</v>
      </c>
      <c r="E42" s="512">
        <f t="shared" si="0"/>
        <v>602.70000000000005</v>
      </c>
      <c r="F42" s="512">
        <v>0.5</v>
      </c>
      <c r="G42" s="512">
        <f t="shared" si="18"/>
        <v>301.35000000000002</v>
      </c>
      <c r="H42" s="512">
        <f t="shared" si="19"/>
        <v>6033.03</v>
      </c>
      <c r="I42" s="512">
        <f t="shared" si="17"/>
        <v>301.35000000000002</v>
      </c>
      <c r="J42" s="512">
        <f t="shared" si="3"/>
        <v>0.38</v>
      </c>
      <c r="K42" s="512">
        <f t="shared" si="20"/>
        <v>229.03</v>
      </c>
      <c r="L42" s="512">
        <f t="shared" si="21"/>
        <v>8932.17</v>
      </c>
      <c r="M42" s="512">
        <f t="shared" si="16"/>
        <v>2173.4899999999998</v>
      </c>
      <c r="N42" s="512">
        <f t="shared" si="22"/>
        <v>229.03</v>
      </c>
      <c r="O42" s="512">
        <v>0.12</v>
      </c>
      <c r="P42" s="512">
        <f t="shared" si="23"/>
        <v>72.319999999999993</v>
      </c>
      <c r="Q42" s="512">
        <f t="shared" si="24"/>
        <v>72.319999999999993</v>
      </c>
      <c r="R42" s="512">
        <f t="shared" si="25"/>
        <v>2820.48</v>
      </c>
      <c r="S42" s="512">
        <f t="shared" si="26"/>
        <v>14196.42</v>
      </c>
      <c r="T42" s="512">
        <v>0.2</v>
      </c>
      <c r="U42" s="512">
        <f t="shared" si="27"/>
        <v>120.54</v>
      </c>
      <c r="V42" s="512">
        <f t="shared" si="28"/>
        <v>120.54</v>
      </c>
      <c r="W42" s="512">
        <v>16</v>
      </c>
      <c r="X42" s="513">
        <f t="shared" si="29"/>
        <v>4701.0600000000004</v>
      </c>
      <c r="Y42" s="514">
        <f t="shared" si="30"/>
        <v>1143.92</v>
      </c>
    </row>
    <row r="43" spans="1:25" s="515" customFormat="1" ht="90" customHeight="1">
      <c r="A43" s="509">
        <f>'DADOS (F)'!A35</f>
        <v>24</v>
      </c>
      <c r="B43" s="510" t="str">
        <f>'DADOS (F)'!B35</f>
        <v>PASS SÃO JORGE</v>
      </c>
      <c r="C43" s="511">
        <f>'DADOS (F)'!F35</f>
        <v>46.32</v>
      </c>
      <c r="D43" s="512">
        <f>'DADOS (F)'!G35</f>
        <v>4.5</v>
      </c>
      <c r="E43" s="512">
        <f t="shared" si="0"/>
        <v>208.44</v>
      </c>
      <c r="F43" s="512">
        <v>0.5</v>
      </c>
      <c r="G43" s="512">
        <f t="shared" si="18"/>
        <v>104.22</v>
      </c>
      <c r="H43" s="512">
        <f t="shared" si="19"/>
        <v>2086.48</v>
      </c>
      <c r="I43" s="512">
        <f t="shared" si="17"/>
        <v>104.22</v>
      </c>
      <c r="J43" s="512">
        <f t="shared" si="3"/>
        <v>0.38</v>
      </c>
      <c r="K43" s="512">
        <f t="shared" si="20"/>
        <v>79.209999999999994</v>
      </c>
      <c r="L43" s="512">
        <f t="shared" si="21"/>
        <v>3089.19</v>
      </c>
      <c r="M43" s="512">
        <f t="shared" si="16"/>
        <v>751.7</v>
      </c>
      <c r="N43" s="512">
        <f t="shared" si="22"/>
        <v>79.209999999999994</v>
      </c>
      <c r="O43" s="512">
        <v>0.12</v>
      </c>
      <c r="P43" s="512">
        <f t="shared" si="23"/>
        <v>25.01</v>
      </c>
      <c r="Q43" s="512">
        <f t="shared" si="24"/>
        <v>25.01</v>
      </c>
      <c r="R43" s="512">
        <f t="shared" si="25"/>
        <v>975.39</v>
      </c>
      <c r="S43" s="512">
        <f t="shared" si="26"/>
        <v>4909.46</v>
      </c>
      <c r="T43" s="512">
        <v>0.2</v>
      </c>
      <c r="U43" s="512">
        <f t="shared" si="27"/>
        <v>41.69</v>
      </c>
      <c r="V43" s="512">
        <f t="shared" si="28"/>
        <v>41.69</v>
      </c>
      <c r="W43" s="512">
        <v>16</v>
      </c>
      <c r="X43" s="513">
        <f t="shared" si="29"/>
        <v>1625.91</v>
      </c>
      <c r="Y43" s="514">
        <f t="shared" si="30"/>
        <v>395.64</v>
      </c>
    </row>
    <row r="44" spans="1:25" s="515" customFormat="1" ht="90" customHeight="1">
      <c r="A44" s="509">
        <f>'DADOS (F)'!A36</f>
        <v>25</v>
      </c>
      <c r="B44" s="510" t="str">
        <f>'DADOS (F)'!B36</f>
        <v>PASS AIRTON SENA</v>
      </c>
      <c r="C44" s="511">
        <f>'DADOS (F)'!F36</f>
        <v>280.29000000000002</v>
      </c>
      <c r="D44" s="512">
        <f>'DADOS (F)'!G36</f>
        <v>4.3</v>
      </c>
      <c r="E44" s="512">
        <f t="shared" si="0"/>
        <v>1205.25</v>
      </c>
      <c r="F44" s="512">
        <v>0.5</v>
      </c>
      <c r="G44" s="512">
        <f t="shared" si="18"/>
        <v>602.63</v>
      </c>
      <c r="H44" s="512">
        <f t="shared" si="19"/>
        <v>12064.65</v>
      </c>
      <c r="I44" s="512">
        <f t="shared" si="17"/>
        <v>602.63</v>
      </c>
      <c r="J44" s="512">
        <f t="shared" si="3"/>
        <v>0.38</v>
      </c>
      <c r="K44" s="512">
        <f t="shared" si="20"/>
        <v>458</v>
      </c>
      <c r="L44" s="512">
        <f t="shared" si="21"/>
        <v>17862</v>
      </c>
      <c r="M44" s="512">
        <f t="shared" si="16"/>
        <v>4346.42</v>
      </c>
      <c r="N44" s="512">
        <f t="shared" si="22"/>
        <v>458</v>
      </c>
      <c r="O44" s="512">
        <v>0.12</v>
      </c>
      <c r="P44" s="512">
        <f t="shared" si="23"/>
        <v>144.63</v>
      </c>
      <c r="Q44" s="512">
        <f t="shared" si="24"/>
        <v>144.63</v>
      </c>
      <c r="R44" s="512">
        <f t="shared" si="25"/>
        <v>5640.57</v>
      </c>
      <c r="S44" s="512">
        <f t="shared" si="26"/>
        <v>28390.87</v>
      </c>
      <c r="T44" s="512">
        <v>0.2</v>
      </c>
      <c r="U44" s="512">
        <f t="shared" si="27"/>
        <v>241.05</v>
      </c>
      <c r="V44" s="512">
        <f t="shared" si="28"/>
        <v>241.05</v>
      </c>
      <c r="W44" s="512">
        <v>16</v>
      </c>
      <c r="X44" s="513">
        <f t="shared" si="29"/>
        <v>9400.9500000000007</v>
      </c>
      <c r="Y44" s="514">
        <f t="shared" si="30"/>
        <v>2287.56</v>
      </c>
    </row>
    <row r="45" spans="1:25" s="515" customFormat="1" ht="90" customHeight="1">
      <c r="A45" s="509">
        <f>'DADOS (F)'!A37</f>
        <v>26</v>
      </c>
      <c r="B45" s="510" t="str">
        <f>'DADOS (F)'!B37</f>
        <v>RUA AMINTAS PINHEIRO</v>
      </c>
      <c r="C45" s="511">
        <f>'DADOS (F)'!F37</f>
        <v>514.52</v>
      </c>
      <c r="D45" s="512">
        <f>'DADOS (F)'!G37</f>
        <v>6.55</v>
      </c>
      <c r="E45" s="512">
        <f t="shared" si="0"/>
        <v>3370.11</v>
      </c>
      <c r="F45" s="512">
        <v>0.5</v>
      </c>
      <c r="G45" s="512">
        <f t="shared" si="18"/>
        <v>1685.06</v>
      </c>
      <c r="H45" s="512">
        <f t="shared" si="19"/>
        <v>33734.9</v>
      </c>
      <c r="I45" s="512">
        <f t="shared" si="17"/>
        <v>1685.06</v>
      </c>
      <c r="J45" s="512">
        <f t="shared" si="3"/>
        <v>0.38</v>
      </c>
      <c r="K45" s="512">
        <f t="shared" si="20"/>
        <v>1280.6400000000001</v>
      </c>
      <c r="L45" s="512">
        <f t="shared" si="21"/>
        <v>49944.959999999999</v>
      </c>
      <c r="M45" s="512">
        <f t="shared" si="16"/>
        <v>12153.27</v>
      </c>
      <c r="N45" s="512">
        <f t="shared" si="22"/>
        <v>1280.6400000000001</v>
      </c>
      <c r="O45" s="512">
        <v>0.12</v>
      </c>
      <c r="P45" s="512">
        <f t="shared" si="23"/>
        <v>404.41</v>
      </c>
      <c r="Q45" s="512">
        <f t="shared" si="24"/>
        <v>404.41</v>
      </c>
      <c r="R45" s="512">
        <f t="shared" si="25"/>
        <v>15771.99</v>
      </c>
      <c r="S45" s="512">
        <f t="shared" si="26"/>
        <v>79385.679999999993</v>
      </c>
      <c r="T45" s="512">
        <v>0.2</v>
      </c>
      <c r="U45" s="512">
        <f t="shared" si="27"/>
        <v>674.02</v>
      </c>
      <c r="V45" s="512">
        <f t="shared" si="28"/>
        <v>674.02</v>
      </c>
      <c r="W45" s="512">
        <v>16</v>
      </c>
      <c r="X45" s="513">
        <f t="shared" si="29"/>
        <v>26286.78</v>
      </c>
      <c r="Y45" s="514">
        <f t="shared" si="30"/>
        <v>6396.45</v>
      </c>
    </row>
    <row r="46" spans="1:25" s="515" customFormat="1" ht="90" customHeight="1">
      <c r="A46" s="509">
        <f>'DADOS (F)'!A38</f>
        <v>27</v>
      </c>
      <c r="B46" s="510" t="str">
        <f>'DADOS (F)'!B38</f>
        <v>PASS PRINC ISABEL</v>
      </c>
      <c r="C46" s="511">
        <f>'DADOS (F)'!F38</f>
        <v>96.66</v>
      </c>
      <c r="D46" s="512">
        <f>'DADOS (F)'!G38</f>
        <v>4.55</v>
      </c>
      <c r="E46" s="512">
        <f t="shared" si="0"/>
        <v>439.8</v>
      </c>
      <c r="F46" s="512">
        <v>0.5</v>
      </c>
      <c r="G46" s="512">
        <f t="shared" si="18"/>
        <v>219.9</v>
      </c>
      <c r="H46" s="512">
        <f t="shared" si="19"/>
        <v>4402.3999999999996</v>
      </c>
      <c r="I46" s="512">
        <f t="shared" si="17"/>
        <v>219.9</v>
      </c>
      <c r="J46" s="512">
        <f t="shared" si="3"/>
        <v>0.38</v>
      </c>
      <c r="K46" s="512">
        <f t="shared" si="20"/>
        <v>167.12</v>
      </c>
      <c r="L46" s="512">
        <f t="shared" si="21"/>
        <v>6517.68</v>
      </c>
      <c r="M46" s="512">
        <f t="shared" si="16"/>
        <v>1585.97</v>
      </c>
      <c r="N46" s="512">
        <f t="shared" si="22"/>
        <v>167.12</v>
      </c>
      <c r="O46" s="512">
        <v>0.12</v>
      </c>
      <c r="P46" s="512">
        <f t="shared" si="23"/>
        <v>52.78</v>
      </c>
      <c r="Q46" s="512">
        <f t="shared" si="24"/>
        <v>52.78</v>
      </c>
      <c r="R46" s="512">
        <f t="shared" si="25"/>
        <v>2058.42</v>
      </c>
      <c r="S46" s="512">
        <f t="shared" si="26"/>
        <v>10360.709999999999</v>
      </c>
      <c r="T46" s="512">
        <v>0.2</v>
      </c>
      <c r="U46" s="512">
        <f t="shared" si="27"/>
        <v>87.96</v>
      </c>
      <c r="V46" s="512">
        <f t="shared" si="28"/>
        <v>87.96</v>
      </c>
      <c r="W46" s="512">
        <v>16</v>
      </c>
      <c r="X46" s="513">
        <f t="shared" si="29"/>
        <v>3430.44</v>
      </c>
      <c r="Y46" s="514">
        <f t="shared" si="30"/>
        <v>834.74</v>
      </c>
    </row>
    <row r="47" spans="1:25" s="515" customFormat="1" ht="90" customHeight="1">
      <c r="A47" s="509">
        <f>'DADOS (F)'!A39</f>
        <v>28</v>
      </c>
      <c r="B47" s="510" t="str">
        <f>'DADOS (F)'!B39</f>
        <v>PASS SANTA CLARA</v>
      </c>
      <c r="C47" s="511">
        <f>'DADOS (F)'!F39</f>
        <v>95.95</v>
      </c>
      <c r="D47" s="512">
        <f>'DADOS (F)'!G39</f>
        <v>2.9</v>
      </c>
      <c r="E47" s="512">
        <f t="shared" si="0"/>
        <v>278.26</v>
      </c>
      <c r="F47" s="512">
        <v>0.5</v>
      </c>
      <c r="G47" s="512">
        <f t="shared" si="18"/>
        <v>139.13</v>
      </c>
      <c r="H47" s="512">
        <f t="shared" si="19"/>
        <v>2785.38</v>
      </c>
      <c r="I47" s="512">
        <f t="shared" si="17"/>
        <v>139.13</v>
      </c>
      <c r="J47" s="512">
        <f t="shared" si="3"/>
        <v>0.38</v>
      </c>
      <c r="K47" s="512">
        <f t="shared" si="20"/>
        <v>105.74</v>
      </c>
      <c r="L47" s="512">
        <f t="shared" si="21"/>
        <v>4123.8599999999997</v>
      </c>
      <c r="M47" s="512">
        <f t="shared" si="16"/>
        <v>1003.47</v>
      </c>
      <c r="N47" s="512">
        <f t="shared" si="22"/>
        <v>105.74</v>
      </c>
      <c r="O47" s="512">
        <v>0.12</v>
      </c>
      <c r="P47" s="512">
        <f t="shared" si="23"/>
        <v>33.39</v>
      </c>
      <c r="Q47" s="512">
        <f t="shared" si="24"/>
        <v>33.39</v>
      </c>
      <c r="R47" s="512">
        <f t="shared" si="25"/>
        <v>1302.21</v>
      </c>
      <c r="S47" s="512">
        <f t="shared" si="26"/>
        <v>6554.46</v>
      </c>
      <c r="T47" s="512">
        <v>0.2</v>
      </c>
      <c r="U47" s="512">
        <f t="shared" si="27"/>
        <v>55.65</v>
      </c>
      <c r="V47" s="512">
        <f t="shared" si="28"/>
        <v>55.65</v>
      </c>
      <c r="W47" s="512">
        <v>16</v>
      </c>
      <c r="X47" s="513">
        <f t="shared" si="29"/>
        <v>2170.35</v>
      </c>
      <c r="Y47" s="514">
        <f t="shared" si="30"/>
        <v>528.12</v>
      </c>
    </row>
    <row r="48" spans="1:25" s="515" customFormat="1" ht="90" customHeight="1">
      <c r="A48" s="509">
        <f>'DADOS (F)'!A40</f>
        <v>29</v>
      </c>
      <c r="B48" s="510" t="str">
        <f>'DADOS (F)'!B40</f>
        <v>PASS AIRTON SENA 1</v>
      </c>
      <c r="C48" s="511">
        <f>'DADOS (F)'!F40</f>
        <v>117.94</v>
      </c>
      <c r="D48" s="512">
        <f>'DADOS (F)'!G40</f>
        <v>4.7</v>
      </c>
      <c r="E48" s="512">
        <f t="shared" si="0"/>
        <v>554.32000000000005</v>
      </c>
      <c r="F48" s="512">
        <v>0.5</v>
      </c>
      <c r="G48" s="512">
        <f t="shared" si="18"/>
        <v>277.16000000000003</v>
      </c>
      <c r="H48" s="512">
        <f t="shared" si="19"/>
        <v>5548.74</v>
      </c>
      <c r="I48" s="512">
        <f t="shared" si="17"/>
        <v>277.16000000000003</v>
      </c>
      <c r="J48" s="512">
        <f t="shared" si="3"/>
        <v>0.38</v>
      </c>
      <c r="K48" s="512">
        <f t="shared" si="20"/>
        <v>210.64</v>
      </c>
      <c r="L48" s="512">
        <f t="shared" si="21"/>
        <v>8214.9599999999991</v>
      </c>
      <c r="M48" s="512">
        <f t="shared" si="16"/>
        <v>1998.97</v>
      </c>
      <c r="N48" s="512">
        <f t="shared" si="22"/>
        <v>210.64</v>
      </c>
      <c r="O48" s="512">
        <v>0.12</v>
      </c>
      <c r="P48" s="512">
        <f t="shared" si="23"/>
        <v>66.52</v>
      </c>
      <c r="Q48" s="512">
        <f t="shared" si="24"/>
        <v>66.52</v>
      </c>
      <c r="R48" s="512">
        <f t="shared" si="25"/>
        <v>2594.2800000000002</v>
      </c>
      <c r="S48" s="512">
        <f t="shared" si="26"/>
        <v>13057.88</v>
      </c>
      <c r="T48" s="512">
        <v>0.2</v>
      </c>
      <c r="U48" s="512">
        <f t="shared" si="27"/>
        <v>110.86</v>
      </c>
      <c r="V48" s="512">
        <f t="shared" si="28"/>
        <v>110.86</v>
      </c>
      <c r="W48" s="512">
        <v>16</v>
      </c>
      <c r="X48" s="513">
        <f t="shared" si="29"/>
        <v>4323.54</v>
      </c>
      <c r="Y48" s="514">
        <f t="shared" si="30"/>
        <v>1052.06</v>
      </c>
    </row>
    <row r="49" spans="1:25" s="515" customFormat="1" ht="90" customHeight="1">
      <c r="A49" s="509">
        <f>'DADOS (F)'!A41</f>
        <v>30</v>
      </c>
      <c r="B49" s="510" t="str">
        <f>'DADOS (F)'!B41</f>
        <v>PASS TIM LOPES</v>
      </c>
      <c r="C49" s="511">
        <f>'DADOS (F)'!F41</f>
        <v>108.35</v>
      </c>
      <c r="D49" s="512">
        <f>'DADOS (F)'!G41</f>
        <v>3.83</v>
      </c>
      <c r="E49" s="512">
        <f t="shared" si="0"/>
        <v>414.98</v>
      </c>
      <c r="F49" s="512">
        <v>0.5</v>
      </c>
      <c r="G49" s="512">
        <f t="shared" si="18"/>
        <v>207.49</v>
      </c>
      <c r="H49" s="512">
        <f t="shared" si="19"/>
        <v>4153.95</v>
      </c>
      <c r="I49" s="512">
        <f t="shared" si="17"/>
        <v>207.49</v>
      </c>
      <c r="J49" s="512">
        <f t="shared" si="3"/>
        <v>0.38</v>
      </c>
      <c r="K49" s="512">
        <f t="shared" si="20"/>
        <v>157.69</v>
      </c>
      <c r="L49" s="512">
        <f t="shared" si="21"/>
        <v>6149.91</v>
      </c>
      <c r="M49" s="512">
        <f t="shared" si="16"/>
        <v>1496.48</v>
      </c>
      <c r="N49" s="512">
        <f t="shared" si="22"/>
        <v>157.69</v>
      </c>
      <c r="O49" s="512">
        <v>0.12</v>
      </c>
      <c r="P49" s="512">
        <f t="shared" si="23"/>
        <v>49.8</v>
      </c>
      <c r="Q49" s="512">
        <f t="shared" si="24"/>
        <v>49.8</v>
      </c>
      <c r="R49" s="512">
        <f t="shared" si="25"/>
        <v>1942.2</v>
      </c>
      <c r="S49" s="512">
        <f t="shared" si="26"/>
        <v>9775.74</v>
      </c>
      <c r="T49" s="512">
        <v>0.2</v>
      </c>
      <c r="U49" s="512">
        <f t="shared" si="27"/>
        <v>83</v>
      </c>
      <c r="V49" s="512">
        <f t="shared" si="28"/>
        <v>83</v>
      </c>
      <c r="W49" s="512">
        <v>16</v>
      </c>
      <c r="X49" s="513">
        <f t="shared" si="29"/>
        <v>3237</v>
      </c>
      <c r="Y49" s="514">
        <f t="shared" si="30"/>
        <v>787.67</v>
      </c>
    </row>
    <row r="50" spans="1:25" s="515" customFormat="1" ht="90" hidden="1" customHeight="1">
      <c r="A50" s="509">
        <f>'DADOS (F)'!A42</f>
        <v>0</v>
      </c>
      <c r="B50" s="510">
        <f>'DADOS (F)'!B42</f>
        <v>0</v>
      </c>
      <c r="C50" s="511">
        <f>'DADOS (F)'!F42</f>
        <v>0</v>
      </c>
      <c r="D50" s="512">
        <f>'DADOS (F)'!G42</f>
        <v>0</v>
      </c>
      <c r="E50" s="512">
        <f t="shared" si="0"/>
        <v>0</v>
      </c>
      <c r="F50" s="512">
        <v>0.5</v>
      </c>
      <c r="G50" s="512">
        <f t="shared" si="18"/>
        <v>0</v>
      </c>
      <c r="H50" s="512">
        <f t="shared" si="19"/>
        <v>0</v>
      </c>
      <c r="I50" s="512">
        <f t="shared" si="17"/>
        <v>0</v>
      </c>
      <c r="J50" s="512">
        <f t="shared" si="3"/>
        <v>0.3</v>
      </c>
      <c r="K50" s="512">
        <f t="shared" si="20"/>
        <v>0</v>
      </c>
      <c r="L50" s="512">
        <f t="shared" si="21"/>
        <v>0</v>
      </c>
      <c r="M50" s="512">
        <f t="shared" si="16"/>
        <v>0</v>
      </c>
      <c r="N50" s="512">
        <f t="shared" si="22"/>
        <v>0</v>
      </c>
      <c r="O50" s="512">
        <v>0.2</v>
      </c>
      <c r="P50" s="512">
        <f t="shared" si="23"/>
        <v>0</v>
      </c>
      <c r="Q50" s="512">
        <f t="shared" si="24"/>
        <v>0</v>
      </c>
      <c r="R50" s="512">
        <f t="shared" si="25"/>
        <v>0</v>
      </c>
      <c r="S50" s="512">
        <f t="shared" si="26"/>
        <v>0</v>
      </c>
      <c r="T50" s="512">
        <v>0.2</v>
      </c>
      <c r="U50" s="512">
        <f t="shared" si="27"/>
        <v>0</v>
      </c>
      <c r="V50" s="512">
        <f t="shared" si="28"/>
        <v>0</v>
      </c>
      <c r="W50" s="512">
        <v>16</v>
      </c>
      <c r="X50" s="513">
        <f t="shared" si="29"/>
        <v>0</v>
      </c>
      <c r="Y50" s="514">
        <f t="shared" si="30"/>
        <v>0</v>
      </c>
    </row>
    <row r="51" spans="1:25" s="515" customFormat="1" ht="90" hidden="1" customHeight="1">
      <c r="A51" s="509">
        <f>'DADOS (F)'!A43</f>
        <v>0</v>
      </c>
      <c r="B51" s="510">
        <f>'DADOS (F)'!B43</f>
        <v>0</v>
      </c>
      <c r="C51" s="511">
        <f>'DADOS (F)'!F43</f>
        <v>0</v>
      </c>
      <c r="D51" s="512">
        <f>'DADOS (F)'!G43</f>
        <v>0</v>
      </c>
      <c r="E51" s="512">
        <f t="shared" si="0"/>
        <v>0</v>
      </c>
      <c r="F51" s="512">
        <v>0.5</v>
      </c>
      <c r="G51" s="512">
        <f t="shared" si="18"/>
        <v>0</v>
      </c>
      <c r="H51" s="512">
        <f t="shared" si="19"/>
        <v>0</v>
      </c>
      <c r="I51" s="512">
        <f t="shared" si="17"/>
        <v>0</v>
      </c>
      <c r="J51" s="512">
        <f t="shared" si="3"/>
        <v>0.3</v>
      </c>
      <c r="K51" s="512">
        <f t="shared" si="20"/>
        <v>0</v>
      </c>
      <c r="L51" s="512">
        <f t="shared" si="21"/>
        <v>0</v>
      </c>
      <c r="M51" s="512">
        <f t="shared" si="16"/>
        <v>0</v>
      </c>
      <c r="N51" s="512">
        <f t="shared" si="22"/>
        <v>0</v>
      </c>
      <c r="O51" s="512">
        <v>0.2</v>
      </c>
      <c r="P51" s="512">
        <f t="shared" si="23"/>
        <v>0</v>
      </c>
      <c r="Q51" s="512">
        <f t="shared" si="24"/>
        <v>0</v>
      </c>
      <c r="R51" s="512">
        <f t="shared" si="25"/>
        <v>0</v>
      </c>
      <c r="S51" s="512">
        <f t="shared" si="26"/>
        <v>0</v>
      </c>
      <c r="T51" s="512">
        <v>0.2</v>
      </c>
      <c r="U51" s="512">
        <f t="shared" si="27"/>
        <v>0</v>
      </c>
      <c r="V51" s="512">
        <f t="shared" si="28"/>
        <v>0</v>
      </c>
      <c r="W51" s="512">
        <v>16</v>
      </c>
      <c r="X51" s="513">
        <f t="shared" si="29"/>
        <v>0</v>
      </c>
      <c r="Y51" s="514">
        <f t="shared" si="30"/>
        <v>0</v>
      </c>
    </row>
    <row r="52" spans="1:25" s="515" customFormat="1" ht="90" hidden="1" customHeight="1">
      <c r="A52" s="509">
        <f>'DADOS (F)'!A44</f>
        <v>0</v>
      </c>
      <c r="B52" s="510">
        <f>'DADOS (F)'!B44</f>
        <v>0</v>
      </c>
      <c r="C52" s="511">
        <f>'DADOS (F)'!F44</f>
        <v>0</v>
      </c>
      <c r="D52" s="512">
        <f>'DADOS (F)'!G44</f>
        <v>0</v>
      </c>
      <c r="E52" s="512">
        <f t="shared" ref="E52:E77" si="31">C52*(D52)</f>
        <v>0</v>
      </c>
      <c r="F52" s="512">
        <v>0.5</v>
      </c>
      <c r="G52" s="512">
        <f t="shared" si="18"/>
        <v>0</v>
      </c>
      <c r="H52" s="512">
        <f t="shared" si="19"/>
        <v>0</v>
      </c>
      <c r="I52" s="512">
        <f t="shared" si="17"/>
        <v>0</v>
      </c>
      <c r="J52" s="512">
        <f t="shared" si="3"/>
        <v>0.3</v>
      </c>
      <c r="K52" s="512">
        <f t="shared" si="20"/>
        <v>0</v>
      </c>
      <c r="L52" s="512">
        <f t="shared" si="21"/>
        <v>0</v>
      </c>
      <c r="M52" s="512">
        <f t="shared" si="16"/>
        <v>0</v>
      </c>
      <c r="N52" s="512">
        <f t="shared" si="22"/>
        <v>0</v>
      </c>
      <c r="O52" s="512">
        <v>0.2</v>
      </c>
      <c r="P52" s="512">
        <f t="shared" si="23"/>
        <v>0</v>
      </c>
      <c r="Q52" s="512">
        <f t="shared" si="24"/>
        <v>0</v>
      </c>
      <c r="R52" s="512">
        <f t="shared" si="25"/>
        <v>0</v>
      </c>
      <c r="S52" s="512">
        <f t="shared" si="26"/>
        <v>0</v>
      </c>
      <c r="T52" s="512">
        <v>0.2</v>
      </c>
      <c r="U52" s="512">
        <f t="shared" si="27"/>
        <v>0</v>
      </c>
      <c r="V52" s="512">
        <f t="shared" si="28"/>
        <v>0</v>
      </c>
      <c r="W52" s="512">
        <v>16</v>
      </c>
      <c r="X52" s="513">
        <f t="shared" si="29"/>
        <v>0</v>
      </c>
      <c r="Y52" s="514">
        <f t="shared" si="30"/>
        <v>0</v>
      </c>
    </row>
    <row r="53" spans="1:25" s="515" customFormat="1" ht="90" hidden="1" customHeight="1">
      <c r="A53" s="509">
        <f>'DADOS (F)'!A45</f>
        <v>0</v>
      </c>
      <c r="B53" s="510">
        <f>'DADOS (F)'!B45</f>
        <v>0</v>
      </c>
      <c r="C53" s="511">
        <f>'DADOS (F)'!F45</f>
        <v>0</v>
      </c>
      <c r="D53" s="512">
        <f>'DADOS (F)'!G45</f>
        <v>0</v>
      </c>
      <c r="E53" s="512">
        <f t="shared" si="31"/>
        <v>0</v>
      </c>
      <c r="F53" s="512">
        <v>0.5</v>
      </c>
      <c r="G53" s="512">
        <f t="shared" si="18"/>
        <v>0</v>
      </c>
      <c r="H53" s="512">
        <f t="shared" si="19"/>
        <v>0</v>
      </c>
      <c r="I53" s="512">
        <f t="shared" si="17"/>
        <v>0</v>
      </c>
      <c r="J53" s="512">
        <f t="shared" si="3"/>
        <v>0.3</v>
      </c>
      <c r="K53" s="512">
        <f t="shared" si="20"/>
        <v>0</v>
      </c>
      <c r="L53" s="512">
        <f t="shared" si="21"/>
        <v>0</v>
      </c>
      <c r="M53" s="512">
        <f t="shared" si="16"/>
        <v>0</v>
      </c>
      <c r="N53" s="512">
        <f t="shared" si="22"/>
        <v>0</v>
      </c>
      <c r="O53" s="512">
        <v>0.2</v>
      </c>
      <c r="P53" s="512">
        <f t="shared" si="23"/>
        <v>0</v>
      </c>
      <c r="Q53" s="512">
        <f t="shared" si="24"/>
        <v>0</v>
      </c>
      <c r="R53" s="512">
        <f t="shared" si="25"/>
        <v>0</v>
      </c>
      <c r="S53" s="512">
        <f t="shared" si="26"/>
        <v>0</v>
      </c>
      <c r="T53" s="512">
        <v>0.2</v>
      </c>
      <c r="U53" s="512">
        <f t="shared" si="27"/>
        <v>0</v>
      </c>
      <c r="V53" s="512">
        <f t="shared" si="28"/>
        <v>0</v>
      </c>
      <c r="W53" s="512">
        <v>16</v>
      </c>
      <c r="X53" s="513">
        <f t="shared" si="29"/>
        <v>0</v>
      </c>
      <c r="Y53" s="514">
        <f t="shared" si="30"/>
        <v>0</v>
      </c>
    </row>
    <row r="54" spans="1:25" s="515" customFormat="1" ht="90" hidden="1" customHeight="1">
      <c r="A54" s="509">
        <f>'DADOS (F)'!A46</f>
        <v>0</v>
      </c>
      <c r="B54" s="510">
        <f>'DADOS (F)'!B46</f>
        <v>0</v>
      </c>
      <c r="C54" s="511">
        <f>'DADOS (F)'!F46</f>
        <v>0</v>
      </c>
      <c r="D54" s="512">
        <f>'DADOS (F)'!G46</f>
        <v>0</v>
      </c>
      <c r="E54" s="512">
        <f t="shared" si="31"/>
        <v>0</v>
      </c>
      <c r="F54" s="512">
        <v>0.5</v>
      </c>
      <c r="G54" s="512">
        <f t="shared" si="18"/>
        <v>0</v>
      </c>
      <c r="H54" s="512">
        <f t="shared" si="19"/>
        <v>0</v>
      </c>
      <c r="I54" s="512">
        <f t="shared" si="17"/>
        <v>0</v>
      </c>
      <c r="J54" s="512">
        <f t="shared" si="3"/>
        <v>0.3</v>
      </c>
      <c r="K54" s="512">
        <f t="shared" si="20"/>
        <v>0</v>
      </c>
      <c r="L54" s="512">
        <f t="shared" si="21"/>
        <v>0</v>
      </c>
      <c r="M54" s="512">
        <f t="shared" si="16"/>
        <v>0</v>
      </c>
      <c r="N54" s="512">
        <f t="shared" si="22"/>
        <v>0</v>
      </c>
      <c r="O54" s="512">
        <v>0.2</v>
      </c>
      <c r="P54" s="512">
        <f t="shared" si="23"/>
        <v>0</v>
      </c>
      <c r="Q54" s="512">
        <f t="shared" si="24"/>
        <v>0</v>
      </c>
      <c r="R54" s="512">
        <f t="shared" si="25"/>
        <v>0</v>
      </c>
      <c r="S54" s="512">
        <f t="shared" si="26"/>
        <v>0</v>
      </c>
      <c r="T54" s="512">
        <v>0.2</v>
      </c>
      <c r="U54" s="512">
        <f t="shared" si="27"/>
        <v>0</v>
      </c>
      <c r="V54" s="512">
        <f t="shared" si="28"/>
        <v>0</v>
      </c>
      <c r="W54" s="512">
        <v>16</v>
      </c>
      <c r="X54" s="513">
        <f t="shared" si="29"/>
        <v>0</v>
      </c>
      <c r="Y54" s="514">
        <f t="shared" si="30"/>
        <v>0</v>
      </c>
    </row>
    <row r="55" spans="1:25" s="515" customFormat="1" ht="90" hidden="1" customHeight="1">
      <c r="A55" s="509">
        <f>'DADOS (F)'!A47</f>
        <v>0</v>
      </c>
      <c r="B55" s="510">
        <f>'DADOS (F)'!B47</f>
        <v>0</v>
      </c>
      <c r="C55" s="511">
        <f>'DADOS (F)'!F47</f>
        <v>0</v>
      </c>
      <c r="D55" s="512">
        <f>'DADOS (F)'!G47</f>
        <v>0</v>
      </c>
      <c r="E55" s="512">
        <f t="shared" si="31"/>
        <v>0</v>
      </c>
      <c r="F55" s="512">
        <v>0.5</v>
      </c>
      <c r="G55" s="512">
        <f t="shared" si="18"/>
        <v>0</v>
      </c>
      <c r="H55" s="512">
        <f t="shared" si="19"/>
        <v>0</v>
      </c>
      <c r="I55" s="512">
        <f t="shared" si="17"/>
        <v>0</v>
      </c>
      <c r="J55" s="512">
        <f t="shared" si="3"/>
        <v>0.3</v>
      </c>
      <c r="K55" s="512">
        <f t="shared" si="20"/>
        <v>0</v>
      </c>
      <c r="L55" s="512">
        <f t="shared" si="21"/>
        <v>0</v>
      </c>
      <c r="M55" s="512">
        <f t="shared" si="16"/>
        <v>0</v>
      </c>
      <c r="N55" s="512">
        <f t="shared" si="22"/>
        <v>0</v>
      </c>
      <c r="O55" s="512">
        <v>0.2</v>
      </c>
      <c r="P55" s="512">
        <f t="shared" si="23"/>
        <v>0</v>
      </c>
      <c r="Q55" s="512">
        <f t="shared" si="24"/>
        <v>0</v>
      </c>
      <c r="R55" s="512">
        <f t="shared" si="25"/>
        <v>0</v>
      </c>
      <c r="S55" s="512">
        <f t="shared" si="26"/>
        <v>0</v>
      </c>
      <c r="T55" s="512">
        <v>0.2</v>
      </c>
      <c r="U55" s="512">
        <f t="shared" si="27"/>
        <v>0</v>
      </c>
      <c r="V55" s="512">
        <f t="shared" si="28"/>
        <v>0</v>
      </c>
      <c r="W55" s="512">
        <v>16</v>
      </c>
      <c r="X55" s="513">
        <f t="shared" si="29"/>
        <v>0</v>
      </c>
      <c r="Y55" s="514">
        <f t="shared" si="30"/>
        <v>0</v>
      </c>
    </row>
    <row r="56" spans="1:25" s="515" customFormat="1" ht="90" hidden="1" customHeight="1">
      <c r="A56" s="509">
        <f>'DADOS (F)'!A48</f>
        <v>0</v>
      </c>
      <c r="B56" s="510">
        <f>'DADOS (F)'!B48</f>
        <v>0</v>
      </c>
      <c r="C56" s="511">
        <f>'DADOS (F)'!F48</f>
        <v>0</v>
      </c>
      <c r="D56" s="512">
        <f>'DADOS (F)'!G48</f>
        <v>0</v>
      </c>
      <c r="E56" s="512">
        <f t="shared" si="31"/>
        <v>0</v>
      </c>
      <c r="F56" s="512">
        <v>0.5</v>
      </c>
      <c r="G56" s="512">
        <f t="shared" si="18"/>
        <v>0</v>
      </c>
      <c r="H56" s="512">
        <f t="shared" si="19"/>
        <v>0</v>
      </c>
      <c r="I56" s="512">
        <f t="shared" si="17"/>
        <v>0</v>
      </c>
      <c r="J56" s="512">
        <f t="shared" si="3"/>
        <v>0.3</v>
      </c>
      <c r="K56" s="512">
        <f t="shared" si="20"/>
        <v>0</v>
      </c>
      <c r="L56" s="512">
        <f t="shared" si="21"/>
        <v>0</v>
      </c>
      <c r="M56" s="512">
        <f t="shared" si="16"/>
        <v>0</v>
      </c>
      <c r="N56" s="512">
        <f t="shared" si="22"/>
        <v>0</v>
      </c>
      <c r="O56" s="512">
        <v>0.2</v>
      </c>
      <c r="P56" s="512">
        <f t="shared" si="23"/>
        <v>0</v>
      </c>
      <c r="Q56" s="512">
        <f t="shared" si="24"/>
        <v>0</v>
      </c>
      <c r="R56" s="512">
        <f t="shared" si="25"/>
        <v>0</v>
      </c>
      <c r="S56" s="512">
        <f t="shared" si="26"/>
        <v>0</v>
      </c>
      <c r="T56" s="512">
        <v>0.2</v>
      </c>
      <c r="U56" s="512">
        <f t="shared" si="27"/>
        <v>0</v>
      </c>
      <c r="V56" s="512">
        <f t="shared" si="28"/>
        <v>0</v>
      </c>
      <c r="W56" s="512">
        <v>16</v>
      </c>
      <c r="X56" s="513">
        <f t="shared" si="29"/>
        <v>0</v>
      </c>
      <c r="Y56" s="514">
        <f t="shared" si="30"/>
        <v>0</v>
      </c>
    </row>
    <row r="57" spans="1:25" s="515" customFormat="1" ht="90" hidden="1" customHeight="1">
      <c r="A57" s="509">
        <f>'DADOS (F)'!A49</f>
        <v>0</v>
      </c>
      <c r="B57" s="510">
        <f>'DADOS (F)'!B49</f>
        <v>0</v>
      </c>
      <c r="C57" s="511">
        <f>'DADOS (F)'!F49</f>
        <v>0</v>
      </c>
      <c r="D57" s="512">
        <f>'DADOS (F)'!G49</f>
        <v>0</v>
      </c>
      <c r="E57" s="512">
        <f t="shared" si="31"/>
        <v>0</v>
      </c>
      <c r="F57" s="512">
        <v>0.5</v>
      </c>
      <c r="G57" s="512">
        <f t="shared" ref="G57:G75" si="32">E57*F57</f>
        <v>0</v>
      </c>
      <c r="H57" s="512">
        <f t="shared" ref="H57:H75" si="33">G57*1.3*$H$17</f>
        <v>0</v>
      </c>
      <c r="I57" s="512">
        <f t="shared" ref="I57:I75" si="34">E57*F57</f>
        <v>0</v>
      </c>
      <c r="J57" s="512">
        <f t="shared" si="3"/>
        <v>0.3</v>
      </c>
      <c r="K57" s="512">
        <f t="shared" ref="K57:K75" si="35">J57*E57</f>
        <v>0</v>
      </c>
      <c r="L57" s="512">
        <f t="shared" ref="L57:L75" si="36">K57*1.3*$L$17</f>
        <v>0</v>
      </c>
      <c r="M57" s="512">
        <f t="shared" ref="M57:M75" si="37">K57*1.3*$M$17</f>
        <v>0</v>
      </c>
      <c r="N57" s="512">
        <f t="shared" ref="N57:N75" si="38">K57</f>
        <v>0</v>
      </c>
      <c r="O57" s="512">
        <v>0.2</v>
      </c>
      <c r="P57" s="512">
        <f t="shared" ref="P57:P75" si="39">E57*O57</f>
        <v>0</v>
      </c>
      <c r="Q57" s="512">
        <f t="shared" ref="Q57:Q75" si="40">P57</f>
        <v>0</v>
      </c>
      <c r="R57" s="512">
        <f t="shared" ref="R57:R75" si="41">P57*1.3*$R$17</f>
        <v>0</v>
      </c>
      <c r="S57" s="512">
        <f t="shared" ref="S57:S75" si="42">P57*1.3*$S$17</f>
        <v>0</v>
      </c>
      <c r="T57" s="512">
        <v>0.2</v>
      </c>
      <c r="U57" s="512">
        <f t="shared" ref="U57:U75" si="43">E57*T57</f>
        <v>0</v>
      </c>
      <c r="V57" s="512">
        <f t="shared" ref="V57:V75" si="44">U57</f>
        <v>0</v>
      </c>
      <c r="W57" s="512">
        <v>16</v>
      </c>
      <c r="X57" s="513">
        <f t="shared" ref="X57:X75" si="45">U57*1.3*$X$17</f>
        <v>0</v>
      </c>
      <c r="Y57" s="514">
        <f t="shared" ref="Y57:Y75" si="46">U57*1.3*$Y$17</f>
        <v>0</v>
      </c>
    </row>
    <row r="58" spans="1:25" s="515" customFormat="1" ht="90" hidden="1" customHeight="1">
      <c r="A58" s="509">
        <f>'DADOS (F)'!A50</f>
        <v>0</v>
      </c>
      <c r="B58" s="510">
        <f>'DADOS (F)'!B50</f>
        <v>0</v>
      </c>
      <c r="C58" s="511">
        <f>'DADOS (F)'!F50</f>
        <v>0</v>
      </c>
      <c r="D58" s="512">
        <f>'DADOS (F)'!G50</f>
        <v>0</v>
      </c>
      <c r="E58" s="512">
        <f t="shared" si="31"/>
        <v>0</v>
      </c>
      <c r="F58" s="512">
        <v>0.5</v>
      </c>
      <c r="G58" s="512">
        <f t="shared" si="32"/>
        <v>0</v>
      </c>
      <c r="H58" s="512">
        <f t="shared" si="33"/>
        <v>0</v>
      </c>
      <c r="I58" s="512">
        <f t="shared" si="34"/>
        <v>0</v>
      </c>
      <c r="J58" s="512">
        <f t="shared" si="3"/>
        <v>0.3</v>
      </c>
      <c r="K58" s="512">
        <f t="shared" si="35"/>
        <v>0</v>
      </c>
      <c r="L58" s="512">
        <f t="shared" si="36"/>
        <v>0</v>
      </c>
      <c r="M58" s="512">
        <f t="shared" si="37"/>
        <v>0</v>
      </c>
      <c r="N58" s="512">
        <f t="shared" si="38"/>
        <v>0</v>
      </c>
      <c r="O58" s="512">
        <v>0.2</v>
      </c>
      <c r="P58" s="512">
        <f t="shared" si="39"/>
        <v>0</v>
      </c>
      <c r="Q58" s="512">
        <f t="shared" si="40"/>
        <v>0</v>
      </c>
      <c r="R58" s="512">
        <f t="shared" si="41"/>
        <v>0</v>
      </c>
      <c r="S58" s="512">
        <f t="shared" si="42"/>
        <v>0</v>
      </c>
      <c r="T58" s="512">
        <v>0.2</v>
      </c>
      <c r="U58" s="512">
        <f t="shared" si="43"/>
        <v>0</v>
      </c>
      <c r="V58" s="512">
        <f t="shared" si="44"/>
        <v>0</v>
      </c>
      <c r="W58" s="512">
        <v>16</v>
      </c>
      <c r="X58" s="513">
        <f t="shared" si="45"/>
        <v>0</v>
      </c>
      <c r="Y58" s="514">
        <f t="shared" si="46"/>
        <v>0</v>
      </c>
    </row>
    <row r="59" spans="1:25" s="515" customFormat="1" ht="90" hidden="1" customHeight="1">
      <c r="A59" s="509">
        <f>'DADOS (F)'!A51</f>
        <v>0</v>
      </c>
      <c r="B59" s="510">
        <f>'DADOS (F)'!B51</f>
        <v>0</v>
      </c>
      <c r="C59" s="511">
        <f>'DADOS (F)'!F51</f>
        <v>0</v>
      </c>
      <c r="D59" s="512">
        <f>'DADOS (F)'!G51</f>
        <v>0</v>
      </c>
      <c r="E59" s="512">
        <f t="shared" si="31"/>
        <v>0</v>
      </c>
      <c r="F59" s="512">
        <v>0.5</v>
      </c>
      <c r="G59" s="512">
        <f t="shared" si="32"/>
        <v>0</v>
      </c>
      <c r="H59" s="512">
        <f t="shared" si="33"/>
        <v>0</v>
      </c>
      <c r="I59" s="512">
        <f t="shared" si="34"/>
        <v>0</v>
      </c>
      <c r="J59" s="512">
        <f t="shared" si="3"/>
        <v>0.3</v>
      </c>
      <c r="K59" s="512">
        <f t="shared" si="35"/>
        <v>0</v>
      </c>
      <c r="L59" s="512">
        <f t="shared" si="36"/>
        <v>0</v>
      </c>
      <c r="M59" s="512">
        <f t="shared" si="37"/>
        <v>0</v>
      </c>
      <c r="N59" s="512">
        <f t="shared" si="38"/>
        <v>0</v>
      </c>
      <c r="O59" s="512">
        <v>0.2</v>
      </c>
      <c r="P59" s="512">
        <f t="shared" si="39"/>
        <v>0</v>
      </c>
      <c r="Q59" s="512">
        <f t="shared" si="40"/>
        <v>0</v>
      </c>
      <c r="R59" s="512">
        <f t="shared" si="41"/>
        <v>0</v>
      </c>
      <c r="S59" s="512">
        <f t="shared" si="42"/>
        <v>0</v>
      </c>
      <c r="T59" s="512">
        <v>0.2</v>
      </c>
      <c r="U59" s="512">
        <f t="shared" si="43"/>
        <v>0</v>
      </c>
      <c r="V59" s="512">
        <f t="shared" si="44"/>
        <v>0</v>
      </c>
      <c r="W59" s="512">
        <v>16</v>
      </c>
      <c r="X59" s="513">
        <f t="shared" si="45"/>
        <v>0</v>
      </c>
      <c r="Y59" s="514">
        <f t="shared" si="46"/>
        <v>0</v>
      </c>
    </row>
    <row r="60" spans="1:25" s="515" customFormat="1" ht="90" hidden="1" customHeight="1">
      <c r="A60" s="509">
        <f>'DADOS (F)'!A52</f>
        <v>0</v>
      </c>
      <c r="B60" s="510">
        <f>'DADOS (F)'!B52</f>
        <v>0</v>
      </c>
      <c r="C60" s="511">
        <f>'DADOS (F)'!F52</f>
        <v>0</v>
      </c>
      <c r="D60" s="512">
        <f>'DADOS (F)'!G52</f>
        <v>0</v>
      </c>
      <c r="E60" s="512">
        <f t="shared" si="31"/>
        <v>0</v>
      </c>
      <c r="F60" s="512">
        <v>0.5</v>
      </c>
      <c r="G60" s="512">
        <f t="shared" si="32"/>
        <v>0</v>
      </c>
      <c r="H60" s="512">
        <f t="shared" si="33"/>
        <v>0</v>
      </c>
      <c r="I60" s="512">
        <f t="shared" si="34"/>
        <v>0</v>
      </c>
      <c r="J60" s="512">
        <f t="shared" si="3"/>
        <v>0.3</v>
      </c>
      <c r="K60" s="512">
        <f t="shared" si="35"/>
        <v>0</v>
      </c>
      <c r="L60" s="512">
        <f t="shared" si="36"/>
        <v>0</v>
      </c>
      <c r="M60" s="512">
        <f t="shared" si="37"/>
        <v>0</v>
      </c>
      <c r="N60" s="512">
        <f t="shared" si="38"/>
        <v>0</v>
      </c>
      <c r="O60" s="512">
        <v>0.2</v>
      </c>
      <c r="P60" s="512">
        <f t="shared" si="39"/>
        <v>0</v>
      </c>
      <c r="Q60" s="512">
        <f t="shared" si="40"/>
        <v>0</v>
      </c>
      <c r="R60" s="512">
        <f t="shared" si="41"/>
        <v>0</v>
      </c>
      <c r="S60" s="512">
        <f t="shared" si="42"/>
        <v>0</v>
      </c>
      <c r="T60" s="512">
        <v>0.2</v>
      </c>
      <c r="U60" s="512">
        <f t="shared" si="43"/>
        <v>0</v>
      </c>
      <c r="V60" s="512">
        <f t="shared" si="44"/>
        <v>0</v>
      </c>
      <c r="W60" s="512">
        <v>16</v>
      </c>
      <c r="X60" s="513">
        <f t="shared" si="45"/>
        <v>0</v>
      </c>
      <c r="Y60" s="514">
        <f t="shared" si="46"/>
        <v>0</v>
      </c>
    </row>
    <row r="61" spans="1:25" s="515" customFormat="1" ht="90" hidden="1" customHeight="1">
      <c r="A61" s="509">
        <f>'DADOS (F)'!A53</f>
        <v>0</v>
      </c>
      <c r="B61" s="510">
        <f>'DADOS (F)'!B53</f>
        <v>0</v>
      </c>
      <c r="C61" s="511">
        <f>'DADOS (F)'!F53</f>
        <v>0</v>
      </c>
      <c r="D61" s="512">
        <f>'DADOS (F)'!G53</f>
        <v>0</v>
      </c>
      <c r="E61" s="512">
        <f t="shared" si="31"/>
        <v>0</v>
      </c>
      <c r="F61" s="512">
        <v>0.5</v>
      </c>
      <c r="G61" s="512">
        <f t="shared" si="32"/>
        <v>0</v>
      </c>
      <c r="H61" s="512">
        <f t="shared" si="33"/>
        <v>0</v>
      </c>
      <c r="I61" s="512">
        <f t="shared" si="34"/>
        <v>0</v>
      </c>
      <c r="J61" s="512">
        <f t="shared" si="3"/>
        <v>0.3</v>
      </c>
      <c r="K61" s="512">
        <f t="shared" si="35"/>
        <v>0</v>
      </c>
      <c r="L61" s="512">
        <f t="shared" si="36"/>
        <v>0</v>
      </c>
      <c r="M61" s="512">
        <f t="shared" si="37"/>
        <v>0</v>
      </c>
      <c r="N61" s="512">
        <f t="shared" si="38"/>
        <v>0</v>
      </c>
      <c r="O61" s="512">
        <v>0.2</v>
      </c>
      <c r="P61" s="512">
        <f t="shared" si="39"/>
        <v>0</v>
      </c>
      <c r="Q61" s="512">
        <f t="shared" si="40"/>
        <v>0</v>
      </c>
      <c r="R61" s="512">
        <f t="shared" si="41"/>
        <v>0</v>
      </c>
      <c r="S61" s="512">
        <f t="shared" si="42"/>
        <v>0</v>
      </c>
      <c r="T61" s="512">
        <v>0.2</v>
      </c>
      <c r="U61" s="512">
        <f t="shared" si="43"/>
        <v>0</v>
      </c>
      <c r="V61" s="512">
        <f t="shared" si="44"/>
        <v>0</v>
      </c>
      <c r="W61" s="512">
        <v>16</v>
      </c>
      <c r="X61" s="513">
        <f t="shared" si="45"/>
        <v>0</v>
      </c>
      <c r="Y61" s="514">
        <f t="shared" si="46"/>
        <v>0</v>
      </c>
    </row>
    <row r="62" spans="1:25" s="515" customFormat="1" ht="90" hidden="1" customHeight="1">
      <c r="A62" s="509">
        <f>'DADOS (F)'!A54</f>
        <v>0</v>
      </c>
      <c r="B62" s="510">
        <f>'DADOS (F)'!B54</f>
        <v>0</v>
      </c>
      <c r="C62" s="511">
        <f>'DADOS (F)'!F54</f>
        <v>0</v>
      </c>
      <c r="D62" s="512">
        <f>'DADOS (F)'!G54</f>
        <v>0</v>
      </c>
      <c r="E62" s="512">
        <f t="shared" si="31"/>
        <v>0</v>
      </c>
      <c r="F62" s="512">
        <v>0.5</v>
      </c>
      <c r="G62" s="512">
        <f t="shared" si="32"/>
        <v>0</v>
      </c>
      <c r="H62" s="512">
        <f t="shared" si="33"/>
        <v>0</v>
      </c>
      <c r="I62" s="512">
        <f t="shared" si="34"/>
        <v>0</v>
      </c>
      <c r="J62" s="512">
        <f t="shared" si="3"/>
        <v>0.3</v>
      </c>
      <c r="K62" s="512">
        <f t="shared" si="35"/>
        <v>0</v>
      </c>
      <c r="L62" s="512">
        <f t="shared" si="36"/>
        <v>0</v>
      </c>
      <c r="M62" s="512">
        <f t="shared" si="37"/>
        <v>0</v>
      </c>
      <c r="N62" s="512">
        <f t="shared" si="38"/>
        <v>0</v>
      </c>
      <c r="O62" s="512">
        <v>0.2</v>
      </c>
      <c r="P62" s="512">
        <f t="shared" si="39"/>
        <v>0</v>
      </c>
      <c r="Q62" s="512">
        <f t="shared" si="40"/>
        <v>0</v>
      </c>
      <c r="R62" s="512">
        <f t="shared" si="41"/>
        <v>0</v>
      </c>
      <c r="S62" s="512">
        <f t="shared" si="42"/>
        <v>0</v>
      </c>
      <c r="T62" s="512">
        <v>0.2</v>
      </c>
      <c r="U62" s="512">
        <f t="shared" si="43"/>
        <v>0</v>
      </c>
      <c r="V62" s="512">
        <f t="shared" si="44"/>
        <v>0</v>
      </c>
      <c r="W62" s="512">
        <v>16</v>
      </c>
      <c r="X62" s="513">
        <f t="shared" si="45"/>
        <v>0</v>
      </c>
      <c r="Y62" s="514">
        <f t="shared" si="46"/>
        <v>0</v>
      </c>
    </row>
    <row r="63" spans="1:25" s="515" customFormat="1" ht="90" hidden="1" customHeight="1">
      <c r="A63" s="509">
        <f>'DADOS (F)'!A55</f>
        <v>0</v>
      </c>
      <c r="B63" s="510">
        <f>'DADOS (F)'!B55</f>
        <v>0</v>
      </c>
      <c r="C63" s="511">
        <f>'DADOS (F)'!F55</f>
        <v>0</v>
      </c>
      <c r="D63" s="512">
        <f>'DADOS (F)'!G55</f>
        <v>0</v>
      </c>
      <c r="E63" s="512">
        <f t="shared" si="31"/>
        <v>0</v>
      </c>
      <c r="F63" s="512">
        <v>0.5</v>
      </c>
      <c r="G63" s="512">
        <f t="shared" si="32"/>
        <v>0</v>
      </c>
      <c r="H63" s="512">
        <f t="shared" si="33"/>
        <v>0</v>
      </c>
      <c r="I63" s="512">
        <f t="shared" si="34"/>
        <v>0</v>
      </c>
      <c r="J63" s="512">
        <f t="shared" si="3"/>
        <v>0.3</v>
      </c>
      <c r="K63" s="512">
        <f t="shared" si="35"/>
        <v>0</v>
      </c>
      <c r="L63" s="512">
        <f t="shared" si="36"/>
        <v>0</v>
      </c>
      <c r="M63" s="512">
        <f t="shared" si="37"/>
        <v>0</v>
      </c>
      <c r="N63" s="512">
        <f t="shared" si="38"/>
        <v>0</v>
      </c>
      <c r="O63" s="512">
        <v>0.2</v>
      </c>
      <c r="P63" s="512">
        <f t="shared" si="39"/>
        <v>0</v>
      </c>
      <c r="Q63" s="512">
        <f t="shared" si="40"/>
        <v>0</v>
      </c>
      <c r="R63" s="512">
        <f t="shared" si="41"/>
        <v>0</v>
      </c>
      <c r="S63" s="512">
        <f t="shared" si="42"/>
        <v>0</v>
      </c>
      <c r="T63" s="512">
        <v>0.2</v>
      </c>
      <c r="U63" s="512">
        <f t="shared" si="43"/>
        <v>0</v>
      </c>
      <c r="V63" s="512">
        <f t="shared" si="44"/>
        <v>0</v>
      </c>
      <c r="W63" s="512">
        <v>16</v>
      </c>
      <c r="X63" s="513">
        <f t="shared" si="45"/>
        <v>0</v>
      </c>
      <c r="Y63" s="514">
        <f t="shared" si="46"/>
        <v>0</v>
      </c>
    </row>
    <row r="64" spans="1:25" s="515" customFormat="1" ht="90" hidden="1" customHeight="1">
      <c r="A64" s="509">
        <f>'DADOS (F)'!A56</f>
        <v>0</v>
      </c>
      <c r="B64" s="510">
        <f>'DADOS (F)'!B56</f>
        <v>0</v>
      </c>
      <c r="C64" s="511">
        <f>'DADOS (F)'!F56</f>
        <v>0</v>
      </c>
      <c r="D64" s="512">
        <f>'DADOS (F)'!G56</f>
        <v>0</v>
      </c>
      <c r="E64" s="512">
        <f t="shared" si="31"/>
        <v>0</v>
      </c>
      <c r="F64" s="512">
        <v>0.5</v>
      </c>
      <c r="G64" s="512">
        <f t="shared" si="32"/>
        <v>0</v>
      </c>
      <c r="H64" s="512">
        <f t="shared" si="33"/>
        <v>0</v>
      </c>
      <c r="I64" s="512">
        <f t="shared" si="34"/>
        <v>0</v>
      </c>
      <c r="J64" s="512">
        <f t="shared" si="3"/>
        <v>0.3</v>
      </c>
      <c r="K64" s="512">
        <f t="shared" si="35"/>
        <v>0</v>
      </c>
      <c r="L64" s="512">
        <f t="shared" si="36"/>
        <v>0</v>
      </c>
      <c r="M64" s="512">
        <f t="shared" si="37"/>
        <v>0</v>
      </c>
      <c r="N64" s="512">
        <f t="shared" si="38"/>
        <v>0</v>
      </c>
      <c r="O64" s="512">
        <v>0.2</v>
      </c>
      <c r="P64" s="512">
        <f t="shared" si="39"/>
        <v>0</v>
      </c>
      <c r="Q64" s="512">
        <f t="shared" si="40"/>
        <v>0</v>
      </c>
      <c r="R64" s="512">
        <f t="shared" si="41"/>
        <v>0</v>
      </c>
      <c r="S64" s="512">
        <f t="shared" si="42"/>
        <v>0</v>
      </c>
      <c r="T64" s="512">
        <v>0.2</v>
      </c>
      <c r="U64" s="512">
        <f t="shared" si="43"/>
        <v>0</v>
      </c>
      <c r="V64" s="512">
        <f t="shared" si="44"/>
        <v>0</v>
      </c>
      <c r="W64" s="512">
        <v>16</v>
      </c>
      <c r="X64" s="513">
        <f t="shared" si="45"/>
        <v>0</v>
      </c>
      <c r="Y64" s="514">
        <f t="shared" si="46"/>
        <v>0</v>
      </c>
    </row>
    <row r="65" spans="1:25" s="515" customFormat="1" ht="90" hidden="1" customHeight="1">
      <c r="A65" s="509">
        <f>'DADOS (F)'!A57</f>
        <v>0</v>
      </c>
      <c r="B65" s="510">
        <f>'DADOS (F)'!B57</f>
        <v>0</v>
      </c>
      <c r="C65" s="511">
        <f>'DADOS (F)'!F57</f>
        <v>0</v>
      </c>
      <c r="D65" s="512">
        <f>'DADOS (F)'!G57</f>
        <v>0</v>
      </c>
      <c r="E65" s="512">
        <f t="shared" si="31"/>
        <v>0</v>
      </c>
      <c r="F65" s="512">
        <v>0.5</v>
      </c>
      <c r="G65" s="512">
        <f t="shared" si="32"/>
        <v>0</v>
      </c>
      <c r="H65" s="512">
        <f t="shared" si="33"/>
        <v>0</v>
      </c>
      <c r="I65" s="512">
        <f t="shared" si="34"/>
        <v>0</v>
      </c>
      <c r="J65" s="512">
        <f t="shared" si="3"/>
        <v>0.3</v>
      </c>
      <c r="K65" s="512">
        <f t="shared" si="35"/>
        <v>0</v>
      </c>
      <c r="L65" s="512">
        <f t="shared" si="36"/>
        <v>0</v>
      </c>
      <c r="M65" s="512">
        <f t="shared" si="37"/>
        <v>0</v>
      </c>
      <c r="N65" s="512">
        <f t="shared" si="38"/>
        <v>0</v>
      </c>
      <c r="O65" s="512">
        <v>0.2</v>
      </c>
      <c r="P65" s="512">
        <f t="shared" si="39"/>
        <v>0</v>
      </c>
      <c r="Q65" s="512">
        <f t="shared" si="40"/>
        <v>0</v>
      </c>
      <c r="R65" s="512">
        <f t="shared" si="41"/>
        <v>0</v>
      </c>
      <c r="S65" s="512">
        <f t="shared" si="42"/>
        <v>0</v>
      </c>
      <c r="T65" s="512">
        <v>0.2</v>
      </c>
      <c r="U65" s="512">
        <f t="shared" si="43"/>
        <v>0</v>
      </c>
      <c r="V65" s="512">
        <f t="shared" si="44"/>
        <v>0</v>
      </c>
      <c r="W65" s="512">
        <v>16</v>
      </c>
      <c r="X65" s="513">
        <f t="shared" si="45"/>
        <v>0</v>
      </c>
      <c r="Y65" s="514">
        <f t="shared" si="46"/>
        <v>0</v>
      </c>
    </row>
    <row r="66" spans="1:25" s="515" customFormat="1" ht="90" hidden="1" customHeight="1">
      <c r="A66" s="509">
        <f>'DADOS (F)'!A58</f>
        <v>0</v>
      </c>
      <c r="B66" s="510">
        <f>'DADOS (F)'!B58</f>
        <v>0</v>
      </c>
      <c r="C66" s="511">
        <f>'DADOS (F)'!F58</f>
        <v>0</v>
      </c>
      <c r="D66" s="512">
        <f>'DADOS (F)'!G58</f>
        <v>0</v>
      </c>
      <c r="E66" s="512">
        <f t="shared" si="31"/>
        <v>0</v>
      </c>
      <c r="F66" s="512">
        <v>0.5</v>
      </c>
      <c r="G66" s="512">
        <f t="shared" si="32"/>
        <v>0</v>
      </c>
      <c r="H66" s="512">
        <f t="shared" si="33"/>
        <v>0</v>
      </c>
      <c r="I66" s="512">
        <f t="shared" si="34"/>
        <v>0</v>
      </c>
      <c r="J66" s="512">
        <f t="shared" si="3"/>
        <v>0.3</v>
      </c>
      <c r="K66" s="512">
        <f t="shared" si="35"/>
        <v>0</v>
      </c>
      <c r="L66" s="512">
        <f t="shared" si="36"/>
        <v>0</v>
      </c>
      <c r="M66" s="512">
        <f t="shared" si="37"/>
        <v>0</v>
      </c>
      <c r="N66" s="512">
        <f t="shared" si="38"/>
        <v>0</v>
      </c>
      <c r="O66" s="512">
        <v>0.2</v>
      </c>
      <c r="P66" s="512">
        <f t="shared" si="39"/>
        <v>0</v>
      </c>
      <c r="Q66" s="512">
        <f t="shared" si="40"/>
        <v>0</v>
      </c>
      <c r="R66" s="512">
        <f t="shared" si="41"/>
        <v>0</v>
      </c>
      <c r="S66" s="512">
        <f t="shared" si="42"/>
        <v>0</v>
      </c>
      <c r="T66" s="512">
        <v>0.2</v>
      </c>
      <c r="U66" s="512">
        <f t="shared" si="43"/>
        <v>0</v>
      </c>
      <c r="V66" s="512">
        <f t="shared" si="44"/>
        <v>0</v>
      </c>
      <c r="W66" s="512">
        <v>16</v>
      </c>
      <c r="X66" s="513">
        <f t="shared" si="45"/>
        <v>0</v>
      </c>
      <c r="Y66" s="514">
        <f t="shared" si="46"/>
        <v>0</v>
      </c>
    </row>
    <row r="67" spans="1:25" s="515" customFormat="1" ht="90" hidden="1" customHeight="1">
      <c r="A67" s="509">
        <f>'DADOS (F)'!A59</f>
        <v>0</v>
      </c>
      <c r="B67" s="510">
        <f>'DADOS (F)'!B59</f>
        <v>0</v>
      </c>
      <c r="C67" s="511">
        <f>'DADOS (F)'!F59</f>
        <v>0</v>
      </c>
      <c r="D67" s="512">
        <f>'DADOS (F)'!G59</f>
        <v>0</v>
      </c>
      <c r="E67" s="512">
        <f t="shared" si="31"/>
        <v>0</v>
      </c>
      <c r="F67" s="512">
        <v>0.5</v>
      </c>
      <c r="G67" s="512">
        <f t="shared" si="32"/>
        <v>0</v>
      </c>
      <c r="H67" s="512">
        <f t="shared" si="33"/>
        <v>0</v>
      </c>
      <c r="I67" s="512">
        <f t="shared" si="34"/>
        <v>0</v>
      </c>
      <c r="J67" s="512">
        <f t="shared" si="3"/>
        <v>0.3</v>
      </c>
      <c r="K67" s="512">
        <f t="shared" si="35"/>
        <v>0</v>
      </c>
      <c r="L67" s="512">
        <f t="shared" si="36"/>
        <v>0</v>
      </c>
      <c r="M67" s="512">
        <f t="shared" si="37"/>
        <v>0</v>
      </c>
      <c r="N67" s="512">
        <f t="shared" si="38"/>
        <v>0</v>
      </c>
      <c r="O67" s="512">
        <v>0.2</v>
      </c>
      <c r="P67" s="512">
        <f t="shared" si="39"/>
        <v>0</v>
      </c>
      <c r="Q67" s="512">
        <f t="shared" si="40"/>
        <v>0</v>
      </c>
      <c r="R67" s="512">
        <f t="shared" si="41"/>
        <v>0</v>
      </c>
      <c r="S67" s="512">
        <f t="shared" si="42"/>
        <v>0</v>
      </c>
      <c r="T67" s="512">
        <v>0.2</v>
      </c>
      <c r="U67" s="512">
        <f t="shared" si="43"/>
        <v>0</v>
      </c>
      <c r="V67" s="512">
        <f t="shared" si="44"/>
        <v>0</v>
      </c>
      <c r="W67" s="512">
        <v>16</v>
      </c>
      <c r="X67" s="513">
        <f t="shared" si="45"/>
        <v>0</v>
      </c>
      <c r="Y67" s="514">
        <f t="shared" si="46"/>
        <v>0</v>
      </c>
    </row>
    <row r="68" spans="1:25" s="515" customFormat="1" ht="90" hidden="1" customHeight="1">
      <c r="A68" s="509">
        <f>'DADOS (F)'!A60</f>
        <v>0</v>
      </c>
      <c r="B68" s="510">
        <f>'DADOS (F)'!B60</f>
        <v>0</v>
      </c>
      <c r="C68" s="511">
        <f>'DADOS (F)'!F60</f>
        <v>0</v>
      </c>
      <c r="D68" s="512">
        <f>'DADOS (F)'!G60</f>
        <v>0</v>
      </c>
      <c r="E68" s="512">
        <f t="shared" si="31"/>
        <v>0</v>
      </c>
      <c r="F68" s="512">
        <v>0.5</v>
      </c>
      <c r="G68" s="512">
        <f t="shared" si="32"/>
        <v>0</v>
      </c>
      <c r="H68" s="512">
        <f t="shared" si="33"/>
        <v>0</v>
      </c>
      <c r="I68" s="512">
        <f t="shared" si="34"/>
        <v>0</v>
      </c>
      <c r="J68" s="512">
        <f t="shared" si="3"/>
        <v>0.3</v>
      </c>
      <c r="K68" s="512">
        <f t="shared" si="35"/>
        <v>0</v>
      </c>
      <c r="L68" s="512">
        <f t="shared" si="36"/>
        <v>0</v>
      </c>
      <c r="M68" s="512">
        <f t="shared" si="37"/>
        <v>0</v>
      </c>
      <c r="N68" s="512">
        <f t="shared" si="38"/>
        <v>0</v>
      </c>
      <c r="O68" s="512">
        <v>0.2</v>
      </c>
      <c r="P68" s="512">
        <f t="shared" si="39"/>
        <v>0</v>
      </c>
      <c r="Q68" s="512">
        <f t="shared" si="40"/>
        <v>0</v>
      </c>
      <c r="R68" s="512">
        <f t="shared" si="41"/>
        <v>0</v>
      </c>
      <c r="S68" s="512">
        <f t="shared" si="42"/>
        <v>0</v>
      </c>
      <c r="T68" s="512">
        <v>0.2</v>
      </c>
      <c r="U68" s="512">
        <f t="shared" si="43"/>
        <v>0</v>
      </c>
      <c r="V68" s="512">
        <f t="shared" si="44"/>
        <v>0</v>
      </c>
      <c r="W68" s="512">
        <v>16</v>
      </c>
      <c r="X68" s="513">
        <f t="shared" si="45"/>
        <v>0</v>
      </c>
      <c r="Y68" s="514">
        <f t="shared" si="46"/>
        <v>0</v>
      </c>
    </row>
    <row r="69" spans="1:25" s="515" customFormat="1" ht="90" hidden="1" customHeight="1">
      <c r="A69" s="509">
        <f>'DADOS (F)'!A61</f>
        <v>0</v>
      </c>
      <c r="B69" s="510">
        <f>'DADOS (F)'!B61</f>
        <v>0</v>
      </c>
      <c r="C69" s="511">
        <f>'DADOS (F)'!F61</f>
        <v>0</v>
      </c>
      <c r="D69" s="512">
        <f>'DADOS (F)'!G61</f>
        <v>0</v>
      </c>
      <c r="E69" s="512">
        <f t="shared" si="31"/>
        <v>0</v>
      </c>
      <c r="F69" s="512">
        <v>0.5</v>
      </c>
      <c r="G69" s="512">
        <f t="shared" si="32"/>
        <v>0</v>
      </c>
      <c r="H69" s="512">
        <f t="shared" si="33"/>
        <v>0</v>
      </c>
      <c r="I69" s="512">
        <f t="shared" si="34"/>
        <v>0</v>
      </c>
      <c r="J69" s="512">
        <f t="shared" si="3"/>
        <v>0.3</v>
      </c>
      <c r="K69" s="512">
        <f t="shared" si="35"/>
        <v>0</v>
      </c>
      <c r="L69" s="512">
        <f t="shared" si="36"/>
        <v>0</v>
      </c>
      <c r="M69" s="512">
        <f t="shared" si="37"/>
        <v>0</v>
      </c>
      <c r="N69" s="512">
        <f t="shared" si="38"/>
        <v>0</v>
      </c>
      <c r="O69" s="512">
        <v>0.2</v>
      </c>
      <c r="P69" s="512">
        <f t="shared" si="39"/>
        <v>0</v>
      </c>
      <c r="Q69" s="512">
        <f t="shared" si="40"/>
        <v>0</v>
      </c>
      <c r="R69" s="512">
        <f t="shared" si="41"/>
        <v>0</v>
      </c>
      <c r="S69" s="512">
        <f t="shared" si="42"/>
        <v>0</v>
      </c>
      <c r="T69" s="512">
        <v>0.2</v>
      </c>
      <c r="U69" s="512">
        <f t="shared" si="43"/>
        <v>0</v>
      </c>
      <c r="V69" s="512">
        <f t="shared" si="44"/>
        <v>0</v>
      </c>
      <c r="W69" s="512">
        <v>16</v>
      </c>
      <c r="X69" s="513">
        <f t="shared" si="45"/>
        <v>0</v>
      </c>
      <c r="Y69" s="514">
        <f t="shared" si="46"/>
        <v>0</v>
      </c>
    </row>
    <row r="70" spans="1:25" s="515" customFormat="1" ht="90" hidden="1" customHeight="1">
      <c r="A70" s="509">
        <f>'DADOS (F)'!A62</f>
        <v>0</v>
      </c>
      <c r="B70" s="510">
        <f>'DADOS (F)'!B62</f>
        <v>0</v>
      </c>
      <c r="C70" s="511">
        <f>'DADOS (F)'!F62</f>
        <v>0</v>
      </c>
      <c r="D70" s="512">
        <f>'DADOS (F)'!G62</f>
        <v>0</v>
      </c>
      <c r="E70" s="512">
        <f t="shared" si="31"/>
        <v>0</v>
      </c>
      <c r="F70" s="512">
        <v>0.5</v>
      </c>
      <c r="G70" s="512">
        <f t="shared" si="32"/>
        <v>0</v>
      </c>
      <c r="H70" s="512">
        <f t="shared" si="33"/>
        <v>0</v>
      </c>
      <c r="I70" s="512">
        <f t="shared" si="34"/>
        <v>0</v>
      </c>
      <c r="J70" s="512">
        <f t="shared" si="3"/>
        <v>0.3</v>
      </c>
      <c r="K70" s="512">
        <f t="shared" si="35"/>
        <v>0</v>
      </c>
      <c r="L70" s="512">
        <f t="shared" si="36"/>
        <v>0</v>
      </c>
      <c r="M70" s="512">
        <f t="shared" si="37"/>
        <v>0</v>
      </c>
      <c r="N70" s="512">
        <f t="shared" si="38"/>
        <v>0</v>
      </c>
      <c r="O70" s="512">
        <v>0.2</v>
      </c>
      <c r="P70" s="512">
        <f t="shared" si="39"/>
        <v>0</v>
      </c>
      <c r="Q70" s="512">
        <f t="shared" si="40"/>
        <v>0</v>
      </c>
      <c r="R70" s="512">
        <f t="shared" si="41"/>
        <v>0</v>
      </c>
      <c r="S70" s="512">
        <f t="shared" si="42"/>
        <v>0</v>
      </c>
      <c r="T70" s="512">
        <v>0.2</v>
      </c>
      <c r="U70" s="512">
        <f t="shared" si="43"/>
        <v>0</v>
      </c>
      <c r="V70" s="512">
        <f t="shared" si="44"/>
        <v>0</v>
      </c>
      <c r="W70" s="512">
        <v>16</v>
      </c>
      <c r="X70" s="513">
        <f t="shared" si="45"/>
        <v>0</v>
      </c>
      <c r="Y70" s="514">
        <f t="shared" si="46"/>
        <v>0</v>
      </c>
    </row>
    <row r="71" spans="1:25" s="515" customFormat="1" ht="90" hidden="1" customHeight="1">
      <c r="A71" s="509">
        <f>'DADOS (F)'!A63</f>
        <v>0</v>
      </c>
      <c r="B71" s="510">
        <f>'DADOS (F)'!B63</f>
        <v>0</v>
      </c>
      <c r="C71" s="511">
        <f>'DADOS (F)'!F63</f>
        <v>0</v>
      </c>
      <c r="D71" s="512">
        <f>'DADOS (F)'!G63</f>
        <v>0</v>
      </c>
      <c r="E71" s="512">
        <f t="shared" si="31"/>
        <v>0</v>
      </c>
      <c r="F71" s="512">
        <v>0.5</v>
      </c>
      <c r="G71" s="512">
        <f t="shared" si="32"/>
        <v>0</v>
      </c>
      <c r="H71" s="512">
        <f t="shared" si="33"/>
        <v>0</v>
      </c>
      <c r="I71" s="512">
        <f t="shared" si="34"/>
        <v>0</v>
      </c>
      <c r="J71" s="512">
        <f t="shared" si="3"/>
        <v>0.3</v>
      </c>
      <c r="K71" s="512">
        <f t="shared" si="35"/>
        <v>0</v>
      </c>
      <c r="L71" s="512">
        <f t="shared" si="36"/>
        <v>0</v>
      </c>
      <c r="M71" s="512">
        <f t="shared" si="37"/>
        <v>0</v>
      </c>
      <c r="N71" s="512">
        <f t="shared" si="38"/>
        <v>0</v>
      </c>
      <c r="O71" s="512">
        <v>0.2</v>
      </c>
      <c r="P71" s="512">
        <f t="shared" si="39"/>
        <v>0</v>
      </c>
      <c r="Q71" s="512">
        <f t="shared" si="40"/>
        <v>0</v>
      </c>
      <c r="R71" s="512">
        <f t="shared" si="41"/>
        <v>0</v>
      </c>
      <c r="S71" s="512">
        <f t="shared" si="42"/>
        <v>0</v>
      </c>
      <c r="T71" s="512">
        <v>0.2</v>
      </c>
      <c r="U71" s="512">
        <f t="shared" si="43"/>
        <v>0</v>
      </c>
      <c r="V71" s="512">
        <f t="shared" si="44"/>
        <v>0</v>
      </c>
      <c r="W71" s="512">
        <v>16</v>
      </c>
      <c r="X71" s="513">
        <f t="shared" si="45"/>
        <v>0</v>
      </c>
      <c r="Y71" s="514">
        <f t="shared" si="46"/>
        <v>0</v>
      </c>
    </row>
    <row r="72" spans="1:25" s="515" customFormat="1" ht="90" hidden="1" customHeight="1">
      <c r="A72" s="509">
        <f>'DADOS (F)'!A64</f>
        <v>0</v>
      </c>
      <c r="B72" s="510">
        <f>'DADOS (F)'!B64</f>
        <v>0</v>
      </c>
      <c r="C72" s="511">
        <f>'DADOS (F)'!F64</f>
        <v>0</v>
      </c>
      <c r="D72" s="512">
        <f>'DADOS (F)'!G64</f>
        <v>0</v>
      </c>
      <c r="E72" s="512">
        <f t="shared" si="31"/>
        <v>0</v>
      </c>
      <c r="F72" s="512">
        <v>0.5</v>
      </c>
      <c r="G72" s="512">
        <f t="shared" si="32"/>
        <v>0</v>
      </c>
      <c r="H72" s="512">
        <f t="shared" si="33"/>
        <v>0</v>
      </c>
      <c r="I72" s="512">
        <f t="shared" si="34"/>
        <v>0</v>
      </c>
      <c r="J72" s="512">
        <f t="shared" si="3"/>
        <v>0.3</v>
      </c>
      <c r="K72" s="512">
        <f t="shared" si="35"/>
        <v>0</v>
      </c>
      <c r="L72" s="512">
        <f t="shared" si="36"/>
        <v>0</v>
      </c>
      <c r="M72" s="512">
        <f t="shared" si="37"/>
        <v>0</v>
      </c>
      <c r="N72" s="512">
        <f t="shared" si="38"/>
        <v>0</v>
      </c>
      <c r="O72" s="512">
        <v>0.2</v>
      </c>
      <c r="P72" s="512">
        <f t="shared" si="39"/>
        <v>0</v>
      </c>
      <c r="Q72" s="512">
        <f t="shared" si="40"/>
        <v>0</v>
      </c>
      <c r="R72" s="512">
        <f t="shared" si="41"/>
        <v>0</v>
      </c>
      <c r="S72" s="512">
        <f t="shared" si="42"/>
        <v>0</v>
      </c>
      <c r="T72" s="512">
        <v>0.2</v>
      </c>
      <c r="U72" s="512">
        <f t="shared" si="43"/>
        <v>0</v>
      </c>
      <c r="V72" s="512">
        <f t="shared" si="44"/>
        <v>0</v>
      </c>
      <c r="W72" s="512">
        <v>16</v>
      </c>
      <c r="X72" s="513">
        <f t="shared" si="45"/>
        <v>0</v>
      </c>
      <c r="Y72" s="514">
        <f t="shared" si="46"/>
        <v>0</v>
      </c>
    </row>
    <row r="73" spans="1:25" s="515" customFormat="1" ht="90" hidden="1" customHeight="1">
      <c r="A73" s="509">
        <f>'DADOS (F)'!A65</f>
        <v>0</v>
      </c>
      <c r="B73" s="510">
        <f>'DADOS (F)'!B65</f>
        <v>0</v>
      </c>
      <c r="C73" s="511">
        <f>'DADOS (F)'!F65</f>
        <v>0</v>
      </c>
      <c r="D73" s="512">
        <f>'DADOS (F)'!G65</f>
        <v>0</v>
      </c>
      <c r="E73" s="512">
        <f t="shared" si="31"/>
        <v>0</v>
      </c>
      <c r="F73" s="512">
        <v>0.5</v>
      </c>
      <c r="G73" s="512">
        <f t="shared" si="32"/>
        <v>0</v>
      </c>
      <c r="H73" s="512">
        <f t="shared" si="33"/>
        <v>0</v>
      </c>
      <c r="I73" s="512">
        <f t="shared" si="34"/>
        <v>0</v>
      </c>
      <c r="J73" s="512">
        <f t="shared" si="3"/>
        <v>0.3</v>
      </c>
      <c r="K73" s="512">
        <f t="shared" si="35"/>
        <v>0</v>
      </c>
      <c r="L73" s="512">
        <f t="shared" si="36"/>
        <v>0</v>
      </c>
      <c r="M73" s="512">
        <f t="shared" si="37"/>
        <v>0</v>
      </c>
      <c r="N73" s="512">
        <f t="shared" si="38"/>
        <v>0</v>
      </c>
      <c r="O73" s="512">
        <v>0.2</v>
      </c>
      <c r="P73" s="512">
        <f t="shared" si="39"/>
        <v>0</v>
      </c>
      <c r="Q73" s="512">
        <f t="shared" si="40"/>
        <v>0</v>
      </c>
      <c r="R73" s="512">
        <f t="shared" si="41"/>
        <v>0</v>
      </c>
      <c r="S73" s="512">
        <f t="shared" si="42"/>
        <v>0</v>
      </c>
      <c r="T73" s="512">
        <v>0.2</v>
      </c>
      <c r="U73" s="512">
        <f t="shared" si="43"/>
        <v>0</v>
      </c>
      <c r="V73" s="512">
        <f t="shared" si="44"/>
        <v>0</v>
      </c>
      <c r="W73" s="512">
        <v>16</v>
      </c>
      <c r="X73" s="513">
        <f t="shared" si="45"/>
        <v>0</v>
      </c>
      <c r="Y73" s="514">
        <f t="shared" si="46"/>
        <v>0</v>
      </c>
    </row>
    <row r="74" spans="1:25" s="515" customFormat="1" ht="90" hidden="1" customHeight="1">
      <c r="A74" s="509">
        <f>'DADOS (F)'!A66</f>
        <v>0</v>
      </c>
      <c r="B74" s="510">
        <f>'DADOS (F)'!B66</f>
        <v>0</v>
      </c>
      <c r="C74" s="511">
        <f>'DADOS (F)'!F66</f>
        <v>0</v>
      </c>
      <c r="D74" s="512">
        <f>'DADOS (F)'!G66</f>
        <v>0</v>
      </c>
      <c r="E74" s="512">
        <f t="shared" si="31"/>
        <v>0</v>
      </c>
      <c r="F74" s="512">
        <v>0.5</v>
      </c>
      <c r="G74" s="512">
        <f t="shared" si="32"/>
        <v>0</v>
      </c>
      <c r="H74" s="512">
        <f t="shared" si="33"/>
        <v>0</v>
      </c>
      <c r="I74" s="512">
        <f t="shared" si="34"/>
        <v>0</v>
      </c>
      <c r="J74" s="512">
        <f t="shared" si="3"/>
        <v>0.3</v>
      </c>
      <c r="K74" s="512">
        <f t="shared" si="35"/>
        <v>0</v>
      </c>
      <c r="L74" s="512">
        <f t="shared" si="36"/>
        <v>0</v>
      </c>
      <c r="M74" s="512">
        <f t="shared" si="37"/>
        <v>0</v>
      </c>
      <c r="N74" s="512">
        <f t="shared" si="38"/>
        <v>0</v>
      </c>
      <c r="O74" s="512">
        <v>0.2</v>
      </c>
      <c r="P74" s="512">
        <f t="shared" si="39"/>
        <v>0</v>
      </c>
      <c r="Q74" s="512">
        <f t="shared" si="40"/>
        <v>0</v>
      </c>
      <c r="R74" s="512">
        <f t="shared" si="41"/>
        <v>0</v>
      </c>
      <c r="S74" s="512">
        <f t="shared" si="42"/>
        <v>0</v>
      </c>
      <c r="T74" s="512">
        <v>0.2</v>
      </c>
      <c r="U74" s="512">
        <f t="shared" si="43"/>
        <v>0</v>
      </c>
      <c r="V74" s="512">
        <f t="shared" si="44"/>
        <v>0</v>
      </c>
      <c r="W74" s="512">
        <v>16</v>
      </c>
      <c r="X74" s="513">
        <f t="shared" si="45"/>
        <v>0</v>
      </c>
      <c r="Y74" s="514">
        <f t="shared" si="46"/>
        <v>0</v>
      </c>
    </row>
    <row r="75" spans="1:25" s="515" customFormat="1" ht="90" hidden="1" customHeight="1">
      <c r="A75" s="509">
        <f>'DADOS (F)'!A67</f>
        <v>0</v>
      </c>
      <c r="B75" s="510">
        <f>'DADOS (F)'!B67</f>
        <v>0</v>
      </c>
      <c r="C75" s="511">
        <f>'DADOS (F)'!F67</f>
        <v>0</v>
      </c>
      <c r="D75" s="512">
        <f>'DADOS (F)'!G67</f>
        <v>0</v>
      </c>
      <c r="E75" s="512">
        <f t="shared" si="31"/>
        <v>0</v>
      </c>
      <c r="F75" s="512">
        <v>0.5</v>
      </c>
      <c r="G75" s="512">
        <f t="shared" si="32"/>
        <v>0</v>
      </c>
      <c r="H75" s="512">
        <f t="shared" si="33"/>
        <v>0</v>
      </c>
      <c r="I75" s="512">
        <f t="shared" si="34"/>
        <v>0</v>
      </c>
      <c r="J75" s="512">
        <f t="shared" si="3"/>
        <v>0.3</v>
      </c>
      <c r="K75" s="512">
        <f t="shared" si="35"/>
        <v>0</v>
      </c>
      <c r="L75" s="512">
        <f t="shared" si="36"/>
        <v>0</v>
      </c>
      <c r="M75" s="512">
        <f t="shared" si="37"/>
        <v>0</v>
      </c>
      <c r="N75" s="512">
        <f t="shared" si="38"/>
        <v>0</v>
      </c>
      <c r="O75" s="512">
        <v>0.2</v>
      </c>
      <c r="P75" s="512">
        <f t="shared" si="39"/>
        <v>0</v>
      </c>
      <c r="Q75" s="512">
        <f t="shared" si="40"/>
        <v>0</v>
      </c>
      <c r="R75" s="512">
        <f t="shared" si="41"/>
        <v>0</v>
      </c>
      <c r="S75" s="512">
        <f t="shared" si="42"/>
        <v>0</v>
      </c>
      <c r="T75" s="512">
        <v>0.2</v>
      </c>
      <c r="U75" s="512">
        <f t="shared" si="43"/>
        <v>0</v>
      </c>
      <c r="V75" s="512">
        <f t="shared" si="44"/>
        <v>0</v>
      </c>
      <c r="W75" s="512">
        <v>16</v>
      </c>
      <c r="X75" s="513">
        <f t="shared" si="45"/>
        <v>0</v>
      </c>
      <c r="Y75" s="514">
        <f t="shared" si="46"/>
        <v>0</v>
      </c>
    </row>
    <row r="76" spans="1:25" s="515" customFormat="1" ht="90" hidden="1" customHeight="1">
      <c r="A76" s="509">
        <f>'DADOS (F)'!A68</f>
        <v>0</v>
      </c>
      <c r="B76" s="510">
        <f>'DADOS (F)'!B68</f>
        <v>0</v>
      </c>
      <c r="C76" s="511">
        <f>'DADOS (F)'!F68</f>
        <v>0</v>
      </c>
      <c r="D76" s="512">
        <f>'DADOS (F)'!G68</f>
        <v>0</v>
      </c>
      <c r="E76" s="512">
        <f t="shared" si="31"/>
        <v>0</v>
      </c>
      <c r="F76" s="512">
        <v>0.5</v>
      </c>
      <c r="G76" s="512">
        <f>E76*F76</f>
        <v>0</v>
      </c>
      <c r="H76" s="512">
        <f>G76*1.3*$H$17</f>
        <v>0</v>
      </c>
      <c r="I76" s="512">
        <f>E76*F76</f>
        <v>0</v>
      </c>
      <c r="J76" s="512">
        <f t="shared" si="3"/>
        <v>0.3</v>
      </c>
      <c r="K76" s="512">
        <f>J76*E76</f>
        <v>0</v>
      </c>
      <c r="L76" s="512">
        <f>K76*1.3*$L$17</f>
        <v>0</v>
      </c>
      <c r="M76" s="512">
        <f t="shared" si="16"/>
        <v>0</v>
      </c>
      <c r="N76" s="512">
        <f>K76</f>
        <v>0</v>
      </c>
      <c r="O76" s="512">
        <v>0.2</v>
      </c>
      <c r="P76" s="512">
        <f>E76*O76</f>
        <v>0</v>
      </c>
      <c r="Q76" s="512">
        <f>P76</f>
        <v>0</v>
      </c>
      <c r="R76" s="512">
        <f>P76*1.3*$R$17</f>
        <v>0</v>
      </c>
      <c r="S76" s="512">
        <f>P76*1.3*$S$17</f>
        <v>0</v>
      </c>
      <c r="T76" s="512">
        <v>0.2</v>
      </c>
      <c r="U76" s="512">
        <f>E76*T76</f>
        <v>0</v>
      </c>
      <c r="V76" s="512">
        <f>U76</f>
        <v>0</v>
      </c>
      <c r="W76" s="512">
        <v>16</v>
      </c>
      <c r="X76" s="513">
        <f>U76*1.3*$X$17</f>
        <v>0</v>
      </c>
      <c r="Y76" s="514">
        <f>U76*1.3*$Y$17</f>
        <v>0</v>
      </c>
    </row>
    <row r="77" spans="1:25" s="515" customFormat="1" ht="90" hidden="1" customHeight="1">
      <c r="A77" s="509">
        <f>'DADOS (F)'!A69</f>
        <v>0</v>
      </c>
      <c r="B77" s="510">
        <f>'DADOS (F)'!B69</f>
        <v>0</v>
      </c>
      <c r="C77" s="511">
        <f>'DADOS (F)'!F69</f>
        <v>0</v>
      </c>
      <c r="D77" s="512">
        <f>'DADOS (F)'!G69</f>
        <v>0</v>
      </c>
      <c r="E77" s="512">
        <f t="shared" si="31"/>
        <v>0</v>
      </c>
      <c r="F77" s="512">
        <v>0.5</v>
      </c>
      <c r="G77" s="512">
        <f>E77*F77</f>
        <v>0</v>
      </c>
      <c r="H77" s="512">
        <f>G77*1.3*$H$17</f>
        <v>0</v>
      </c>
      <c r="I77" s="512">
        <f>E77*F77</f>
        <v>0</v>
      </c>
      <c r="J77" s="512">
        <f t="shared" si="3"/>
        <v>0.3</v>
      </c>
      <c r="K77" s="512">
        <f>J77*E77</f>
        <v>0</v>
      </c>
      <c r="L77" s="512">
        <f>K77*1.3*$L$17</f>
        <v>0</v>
      </c>
      <c r="M77" s="512">
        <f>K77*1.3*$M$17</f>
        <v>0</v>
      </c>
      <c r="N77" s="512">
        <f>K77</f>
        <v>0</v>
      </c>
      <c r="O77" s="512">
        <v>0.2</v>
      </c>
      <c r="P77" s="512">
        <f>E77*O77</f>
        <v>0</v>
      </c>
      <c r="Q77" s="512">
        <f>P77</f>
        <v>0</v>
      </c>
      <c r="R77" s="512">
        <f>P77*1.3*$R$17</f>
        <v>0</v>
      </c>
      <c r="S77" s="512">
        <f>P77*1.3*$S$17</f>
        <v>0</v>
      </c>
      <c r="T77" s="512">
        <v>0.2</v>
      </c>
      <c r="U77" s="512">
        <f>E77*T77</f>
        <v>0</v>
      </c>
      <c r="V77" s="512">
        <f>U77</f>
        <v>0</v>
      </c>
      <c r="W77" s="512">
        <v>16</v>
      </c>
      <c r="X77" s="513">
        <f>U77*1.3*$X$17</f>
        <v>0</v>
      </c>
      <c r="Y77" s="514">
        <f>U77*1.3*$Y$17</f>
        <v>0</v>
      </c>
    </row>
    <row r="78" spans="1:25" s="515" customFormat="1" ht="90" hidden="1" customHeight="1">
      <c r="A78" s="509"/>
      <c r="B78" s="510"/>
      <c r="C78" s="511"/>
      <c r="D78" s="512"/>
      <c r="E78" s="512">
        <f t="shared" ref="E78:E92" si="47">C78*(D78+1)*0</f>
        <v>0</v>
      </c>
      <c r="F78" s="512"/>
      <c r="G78" s="512">
        <f t="shared" ref="G78:G92" si="48">E78*F78</f>
        <v>0</v>
      </c>
      <c r="H78" s="512">
        <f t="shared" ref="H78:H92" si="49">G78*1.3*$H$17</f>
        <v>0</v>
      </c>
      <c r="I78" s="512">
        <f t="shared" ref="I78:I92" si="50">E78*F78</f>
        <v>0</v>
      </c>
      <c r="J78" s="512">
        <f t="shared" ref="J78:J92" si="51">IF(F78-(O78+T78)&lt;0,,F78-(O78+T78))</f>
        <v>0</v>
      </c>
      <c r="K78" s="512">
        <f t="shared" ref="K78:K92" si="52">J78*E78</f>
        <v>0</v>
      </c>
      <c r="L78" s="512">
        <f t="shared" ref="L78:L92" si="53">K78*1.3*$L$17</f>
        <v>0</v>
      </c>
      <c r="M78" s="512">
        <f t="shared" ref="M78:M92" si="54">K78*1.3*$M$17</f>
        <v>0</v>
      </c>
      <c r="N78" s="512">
        <f t="shared" ref="N78:N92" si="55">K78</f>
        <v>0</v>
      </c>
      <c r="O78" s="512"/>
      <c r="P78" s="512">
        <f t="shared" ref="P78:P92" si="56">E78*O78</f>
        <v>0</v>
      </c>
      <c r="Q78" s="512">
        <f t="shared" ref="Q78:Q92" si="57">P78</f>
        <v>0</v>
      </c>
      <c r="R78" s="512">
        <f t="shared" ref="R78:R92" si="58">P78*1.3*$R$17</f>
        <v>0</v>
      </c>
      <c r="S78" s="512">
        <f t="shared" ref="S78:S92" si="59">P78*1.3*$S$17</f>
        <v>0</v>
      </c>
      <c r="T78" s="512"/>
      <c r="U78" s="512">
        <f t="shared" ref="U78:U92" si="60">E78*T78</f>
        <v>0</v>
      </c>
      <c r="V78" s="512">
        <f t="shared" ref="V78:V92" si="61">U78</f>
        <v>0</v>
      </c>
      <c r="W78" s="512">
        <v>16</v>
      </c>
      <c r="X78" s="513">
        <f t="shared" ref="X78:X92" si="62">U78*1.3*$X$17</f>
        <v>0</v>
      </c>
      <c r="Y78" s="514">
        <f t="shared" ref="Y78:Y92" si="63">U78*1.3*$Y$17</f>
        <v>0</v>
      </c>
    </row>
    <row r="79" spans="1:25" s="515" customFormat="1" ht="90" hidden="1" customHeight="1">
      <c r="A79" s="509"/>
      <c r="B79" s="510"/>
      <c r="C79" s="511"/>
      <c r="D79" s="512"/>
      <c r="E79" s="512">
        <f t="shared" si="47"/>
        <v>0</v>
      </c>
      <c r="F79" s="512"/>
      <c r="G79" s="512">
        <f t="shared" si="48"/>
        <v>0</v>
      </c>
      <c r="H79" s="512">
        <f t="shared" si="49"/>
        <v>0</v>
      </c>
      <c r="I79" s="512">
        <f t="shared" si="50"/>
        <v>0</v>
      </c>
      <c r="J79" s="512">
        <f t="shared" si="51"/>
        <v>0</v>
      </c>
      <c r="K79" s="512">
        <f t="shared" si="52"/>
        <v>0</v>
      </c>
      <c r="L79" s="512">
        <f t="shared" si="53"/>
        <v>0</v>
      </c>
      <c r="M79" s="512">
        <f t="shared" si="54"/>
        <v>0</v>
      </c>
      <c r="N79" s="512">
        <f t="shared" si="55"/>
        <v>0</v>
      </c>
      <c r="O79" s="512"/>
      <c r="P79" s="512">
        <f t="shared" si="56"/>
        <v>0</v>
      </c>
      <c r="Q79" s="512">
        <f t="shared" si="57"/>
        <v>0</v>
      </c>
      <c r="R79" s="512">
        <f t="shared" si="58"/>
        <v>0</v>
      </c>
      <c r="S79" s="512">
        <f t="shared" si="59"/>
        <v>0</v>
      </c>
      <c r="T79" s="512"/>
      <c r="U79" s="512">
        <f t="shared" si="60"/>
        <v>0</v>
      </c>
      <c r="V79" s="512">
        <f t="shared" si="61"/>
        <v>0</v>
      </c>
      <c r="W79" s="512">
        <v>16</v>
      </c>
      <c r="X79" s="513">
        <f t="shared" si="62"/>
        <v>0</v>
      </c>
      <c r="Y79" s="514">
        <f t="shared" si="63"/>
        <v>0</v>
      </c>
    </row>
    <row r="80" spans="1:25" s="515" customFormat="1" ht="90" hidden="1" customHeight="1">
      <c r="A80" s="509"/>
      <c r="B80" s="510"/>
      <c r="C80" s="511"/>
      <c r="D80" s="512"/>
      <c r="E80" s="512">
        <f t="shared" si="47"/>
        <v>0</v>
      </c>
      <c r="F80" s="512"/>
      <c r="G80" s="512">
        <f t="shared" si="48"/>
        <v>0</v>
      </c>
      <c r="H80" s="512">
        <f t="shared" si="49"/>
        <v>0</v>
      </c>
      <c r="I80" s="512">
        <f t="shared" si="50"/>
        <v>0</v>
      </c>
      <c r="J80" s="512">
        <f t="shared" si="51"/>
        <v>0</v>
      </c>
      <c r="K80" s="512">
        <f t="shared" si="52"/>
        <v>0</v>
      </c>
      <c r="L80" s="512">
        <f t="shared" si="53"/>
        <v>0</v>
      </c>
      <c r="M80" s="512">
        <f t="shared" si="54"/>
        <v>0</v>
      </c>
      <c r="N80" s="512">
        <f t="shared" si="55"/>
        <v>0</v>
      </c>
      <c r="O80" s="512"/>
      <c r="P80" s="512">
        <f t="shared" si="56"/>
        <v>0</v>
      </c>
      <c r="Q80" s="512">
        <f t="shared" si="57"/>
        <v>0</v>
      </c>
      <c r="R80" s="512">
        <f t="shared" si="58"/>
        <v>0</v>
      </c>
      <c r="S80" s="512">
        <f t="shared" si="59"/>
        <v>0</v>
      </c>
      <c r="T80" s="512"/>
      <c r="U80" s="512">
        <f t="shared" si="60"/>
        <v>0</v>
      </c>
      <c r="V80" s="512">
        <f t="shared" si="61"/>
        <v>0</v>
      </c>
      <c r="W80" s="512">
        <v>16</v>
      </c>
      <c r="X80" s="513">
        <f t="shared" si="62"/>
        <v>0</v>
      </c>
      <c r="Y80" s="514">
        <f t="shared" si="63"/>
        <v>0</v>
      </c>
    </row>
    <row r="81" spans="1:25" s="515" customFormat="1" ht="90" hidden="1" customHeight="1">
      <c r="A81" s="509"/>
      <c r="B81" s="510"/>
      <c r="C81" s="511"/>
      <c r="D81" s="512"/>
      <c r="E81" s="512">
        <f t="shared" si="47"/>
        <v>0</v>
      </c>
      <c r="F81" s="512"/>
      <c r="G81" s="512">
        <f t="shared" si="48"/>
        <v>0</v>
      </c>
      <c r="H81" s="512">
        <f t="shared" si="49"/>
        <v>0</v>
      </c>
      <c r="I81" s="512">
        <f t="shared" si="50"/>
        <v>0</v>
      </c>
      <c r="J81" s="512">
        <f t="shared" si="51"/>
        <v>0</v>
      </c>
      <c r="K81" s="512">
        <f t="shared" si="52"/>
        <v>0</v>
      </c>
      <c r="L81" s="512">
        <f t="shared" si="53"/>
        <v>0</v>
      </c>
      <c r="M81" s="512">
        <f t="shared" si="54"/>
        <v>0</v>
      </c>
      <c r="N81" s="512">
        <f t="shared" si="55"/>
        <v>0</v>
      </c>
      <c r="O81" s="512"/>
      <c r="P81" s="512">
        <f t="shared" si="56"/>
        <v>0</v>
      </c>
      <c r="Q81" s="512">
        <f t="shared" si="57"/>
        <v>0</v>
      </c>
      <c r="R81" s="512">
        <f t="shared" si="58"/>
        <v>0</v>
      </c>
      <c r="S81" s="512">
        <f t="shared" si="59"/>
        <v>0</v>
      </c>
      <c r="T81" s="512"/>
      <c r="U81" s="512">
        <f t="shared" si="60"/>
        <v>0</v>
      </c>
      <c r="V81" s="512">
        <f t="shared" si="61"/>
        <v>0</v>
      </c>
      <c r="W81" s="512">
        <v>16</v>
      </c>
      <c r="X81" s="513">
        <f t="shared" si="62"/>
        <v>0</v>
      </c>
      <c r="Y81" s="514">
        <f t="shared" si="63"/>
        <v>0</v>
      </c>
    </row>
    <row r="82" spans="1:25" s="515" customFormat="1" ht="90" hidden="1" customHeight="1">
      <c r="A82" s="509"/>
      <c r="B82" s="510"/>
      <c r="C82" s="511"/>
      <c r="D82" s="512"/>
      <c r="E82" s="512">
        <f t="shared" si="47"/>
        <v>0</v>
      </c>
      <c r="F82" s="512"/>
      <c r="G82" s="512">
        <f t="shared" si="48"/>
        <v>0</v>
      </c>
      <c r="H82" s="512">
        <f t="shared" si="49"/>
        <v>0</v>
      </c>
      <c r="I82" s="512">
        <f t="shared" si="50"/>
        <v>0</v>
      </c>
      <c r="J82" s="512">
        <f t="shared" si="51"/>
        <v>0</v>
      </c>
      <c r="K82" s="512">
        <f t="shared" si="52"/>
        <v>0</v>
      </c>
      <c r="L82" s="512">
        <f t="shared" si="53"/>
        <v>0</v>
      </c>
      <c r="M82" s="512">
        <f t="shared" si="54"/>
        <v>0</v>
      </c>
      <c r="N82" s="512">
        <f t="shared" si="55"/>
        <v>0</v>
      </c>
      <c r="O82" s="512"/>
      <c r="P82" s="512">
        <f t="shared" si="56"/>
        <v>0</v>
      </c>
      <c r="Q82" s="512">
        <f t="shared" si="57"/>
        <v>0</v>
      </c>
      <c r="R82" s="512">
        <f t="shared" si="58"/>
        <v>0</v>
      </c>
      <c r="S82" s="512">
        <f t="shared" si="59"/>
        <v>0</v>
      </c>
      <c r="T82" s="512"/>
      <c r="U82" s="512">
        <f t="shared" si="60"/>
        <v>0</v>
      </c>
      <c r="V82" s="512">
        <f t="shared" si="61"/>
        <v>0</v>
      </c>
      <c r="W82" s="512">
        <v>16</v>
      </c>
      <c r="X82" s="513">
        <f t="shared" si="62"/>
        <v>0</v>
      </c>
      <c r="Y82" s="514">
        <f t="shared" si="63"/>
        <v>0</v>
      </c>
    </row>
    <row r="83" spans="1:25" s="515" customFormat="1" ht="90" hidden="1" customHeight="1">
      <c r="A83" s="509"/>
      <c r="B83" s="510"/>
      <c r="C83" s="511"/>
      <c r="D83" s="512"/>
      <c r="E83" s="512">
        <f t="shared" si="47"/>
        <v>0</v>
      </c>
      <c r="F83" s="512"/>
      <c r="G83" s="512">
        <f t="shared" si="48"/>
        <v>0</v>
      </c>
      <c r="H83" s="512">
        <f t="shared" si="49"/>
        <v>0</v>
      </c>
      <c r="I83" s="512">
        <f t="shared" si="50"/>
        <v>0</v>
      </c>
      <c r="J83" s="512">
        <f t="shared" si="51"/>
        <v>0</v>
      </c>
      <c r="K83" s="512">
        <f t="shared" si="52"/>
        <v>0</v>
      </c>
      <c r="L83" s="512">
        <f t="shared" si="53"/>
        <v>0</v>
      </c>
      <c r="M83" s="512">
        <f t="shared" si="54"/>
        <v>0</v>
      </c>
      <c r="N83" s="512">
        <f t="shared" si="55"/>
        <v>0</v>
      </c>
      <c r="O83" s="512"/>
      <c r="P83" s="512">
        <f t="shared" si="56"/>
        <v>0</v>
      </c>
      <c r="Q83" s="512">
        <f t="shared" si="57"/>
        <v>0</v>
      </c>
      <c r="R83" s="512">
        <f t="shared" si="58"/>
        <v>0</v>
      </c>
      <c r="S83" s="512">
        <f t="shared" si="59"/>
        <v>0</v>
      </c>
      <c r="T83" s="512"/>
      <c r="U83" s="512">
        <f t="shared" si="60"/>
        <v>0</v>
      </c>
      <c r="V83" s="512">
        <f t="shared" si="61"/>
        <v>0</v>
      </c>
      <c r="W83" s="512">
        <v>16</v>
      </c>
      <c r="X83" s="513">
        <f t="shared" si="62"/>
        <v>0</v>
      </c>
      <c r="Y83" s="514">
        <f t="shared" si="63"/>
        <v>0</v>
      </c>
    </row>
    <row r="84" spans="1:25" s="515" customFormat="1" ht="90" hidden="1" customHeight="1">
      <c r="A84" s="509"/>
      <c r="B84" s="510"/>
      <c r="C84" s="511"/>
      <c r="D84" s="512"/>
      <c r="E84" s="512">
        <f t="shared" si="47"/>
        <v>0</v>
      </c>
      <c r="F84" s="512"/>
      <c r="G84" s="512">
        <f t="shared" si="48"/>
        <v>0</v>
      </c>
      <c r="H84" s="512">
        <f t="shared" si="49"/>
        <v>0</v>
      </c>
      <c r="I84" s="512">
        <f t="shared" si="50"/>
        <v>0</v>
      </c>
      <c r="J84" s="512">
        <f t="shared" si="51"/>
        <v>0</v>
      </c>
      <c r="K84" s="512">
        <f t="shared" si="52"/>
        <v>0</v>
      </c>
      <c r="L84" s="512">
        <f t="shared" si="53"/>
        <v>0</v>
      </c>
      <c r="M84" s="512">
        <f t="shared" si="54"/>
        <v>0</v>
      </c>
      <c r="N84" s="512">
        <f t="shared" si="55"/>
        <v>0</v>
      </c>
      <c r="O84" s="512"/>
      <c r="P84" s="512">
        <f t="shared" si="56"/>
        <v>0</v>
      </c>
      <c r="Q84" s="512">
        <f t="shared" si="57"/>
        <v>0</v>
      </c>
      <c r="R84" s="512">
        <f t="shared" si="58"/>
        <v>0</v>
      </c>
      <c r="S84" s="512">
        <f t="shared" si="59"/>
        <v>0</v>
      </c>
      <c r="T84" s="512"/>
      <c r="U84" s="512">
        <f t="shared" si="60"/>
        <v>0</v>
      </c>
      <c r="V84" s="512">
        <f t="shared" si="61"/>
        <v>0</v>
      </c>
      <c r="W84" s="512">
        <v>16</v>
      </c>
      <c r="X84" s="513">
        <f t="shared" si="62"/>
        <v>0</v>
      </c>
      <c r="Y84" s="514">
        <f t="shared" si="63"/>
        <v>0</v>
      </c>
    </row>
    <row r="85" spans="1:25" s="515" customFormat="1" ht="90" hidden="1" customHeight="1">
      <c r="A85" s="509"/>
      <c r="B85" s="510"/>
      <c r="C85" s="511"/>
      <c r="D85" s="512"/>
      <c r="E85" s="512">
        <f t="shared" si="47"/>
        <v>0</v>
      </c>
      <c r="F85" s="512"/>
      <c r="G85" s="512">
        <f t="shared" si="48"/>
        <v>0</v>
      </c>
      <c r="H85" s="512">
        <f t="shared" si="49"/>
        <v>0</v>
      </c>
      <c r="I85" s="512">
        <f t="shared" si="50"/>
        <v>0</v>
      </c>
      <c r="J85" s="512">
        <f t="shared" si="51"/>
        <v>0</v>
      </c>
      <c r="K85" s="512">
        <f t="shared" si="52"/>
        <v>0</v>
      </c>
      <c r="L85" s="512">
        <f t="shared" si="53"/>
        <v>0</v>
      </c>
      <c r="M85" s="512">
        <f t="shared" si="54"/>
        <v>0</v>
      </c>
      <c r="N85" s="512">
        <f t="shared" si="55"/>
        <v>0</v>
      </c>
      <c r="O85" s="512"/>
      <c r="P85" s="512">
        <f t="shared" si="56"/>
        <v>0</v>
      </c>
      <c r="Q85" s="512">
        <f t="shared" si="57"/>
        <v>0</v>
      </c>
      <c r="R85" s="512">
        <f t="shared" si="58"/>
        <v>0</v>
      </c>
      <c r="S85" s="512">
        <f t="shared" si="59"/>
        <v>0</v>
      </c>
      <c r="T85" s="512"/>
      <c r="U85" s="512">
        <f t="shared" si="60"/>
        <v>0</v>
      </c>
      <c r="V85" s="512">
        <f t="shared" si="61"/>
        <v>0</v>
      </c>
      <c r="W85" s="512">
        <v>16</v>
      </c>
      <c r="X85" s="513">
        <f t="shared" si="62"/>
        <v>0</v>
      </c>
      <c r="Y85" s="514">
        <f t="shared" si="63"/>
        <v>0</v>
      </c>
    </row>
    <row r="86" spans="1:25" s="515" customFormat="1" ht="90" hidden="1" customHeight="1">
      <c r="A86" s="509"/>
      <c r="B86" s="510"/>
      <c r="C86" s="511"/>
      <c r="D86" s="512"/>
      <c r="E86" s="512">
        <f t="shared" si="47"/>
        <v>0</v>
      </c>
      <c r="F86" s="512"/>
      <c r="G86" s="512">
        <f t="shared" si="48"/>
        <v>0</v>
      </c>
      <c r="H86" s="512">
        <f t="shared" si="49"/>
        <v>0</v>
      </c>
      <c r="I86" s="512">
        <f t="shared" si="50"/>
        <v>0</v>
      </c>
      <c r="J86" s="512">
        <f t="shared" si="51"/>
        <v>0</v>
      </c>
      <c r="K86" s="512">
        <f t="shared" si="52"/>
        <v>0</v>
      </c>
      <c r="L86" s="512">
        <f t="shared" si="53"/>
        <v>0</v>
      </c>
      <c r="M86" s="512">
        <f t="shared" si="54"/>
        <v>0</v>
      </c>
      <c r="N86" s="512">
        <f t="shared" si="55"/>
        <v>0</v>
      </c>
      <c r="O86" s="512"/>
      <c r="P86" s="512">
        <f t="shared" si="56"/>
        <v>0</v>
      </c>
      <c r="Q86" s="512">
        <f t="shared" si="57"/>
        <v>0</v>
      </c>
      <c r="R86" s="512">
        <f t="shared" si="58"/>
        <v>0</v>
      </c>
      <c r="S86" s="512">
        <f t="shared" si="59"/>
        <v>0</v>
      </c>
      <c r="T86" s="512"/>
      <c r="U86" s="512">
        <f t="shared" si="60"/>
        <v>0</v>
      </c>
      <c r="V86" s="512">
        <f t="shared" si="61"/>
        <v>0</v>
      </c>
      <c r="W86" s="512">
        <v>16</v>
      </c>
      <c r="X86" s="513">
        <f t="shared" si="62"/>
        <v>0</v>
      </c>
      <c r="Y86" s="514">
        <f t="shared" si="63"/>
        <v>0</v>
      </c>
    </row>
    <row r="87" spans="1:25" s="515" customFormat="1" ht="90" hidden="1" customHeight="1">
      <c r="A87" s="509"/>
      <c r="B87" s="510"/>
      <c r="C87" s="511"/>
      <c r="D87" s="512"/>
      <c r="E87" s="512">
        <f t="shared" si="47"/>
        <v>0</v>
      </c>
      <c r="F87" s="512"/>
      <c r="G87" s="512">
        <f t="shared" si="48"/>
        <v>0</v>
      </c>
      <c r="H87" s="512">
        <f t="shared" si="49"/>
        <v>0</v>
      </c>
      <c r="I87" s="512">
        <f t="shared" si="50"/>
        <v>0</v>
      </c>
      <c r="J87" s="512">
        <f t="shared" si="51"/>
        <v>0</v>
      </c>
      <c r="K87" s="512">
        <f t="shared" si="52"/>
        <v>0</v>
      </c>
      <c r="L87" s="512">
        <f t="shared" si="53"/>
        <v>0</v>
      </c>
      <c r="M87" s="512">
        <f t="shared" si="54"/>
        <v>0</v>
      </c>
      <c r="N87" s="512">
        <f t="shared" si="55"/>
        <v>0</v>
      </c>
      <c r="O87" s="512"/>
      <c r="P87" s="512">
        <f t="shared" si="56"/>
        <v>0</v>
      </c>
      <c r="Q87" s="512">
        <f t="shared" si="57"/>
        <v>0</v>
      </c>
      <c r="R87" s="512">
        <f t="shared" si="58"/>
        <v>0</v>
      </c>
      <c r="S87" s="512">
        <f t="shared" si="59"/>
        <v>0</v>
      </c>
      <c r="T87" s="512"/>
      <c r="U87" s="512">
        <f t="shared" si="60"/>
        <v>0</v>
      </c>
      <c r="V87" s="512">
        <f t="shared" si="61"/>
        <v>0</v>
      </c>
      <c r="W87" s="512">
        <v>16</v>
      </c>
      <c r="X87" s="513">
        <f t="shared" si="62"/>
        <v>0</v>
      </c>
      <c r="Y87" s="514">
        <f t="shared" si="63"/>
        <v>0</v>
      </c>
    </row>
    <row r="88" spans="1:25" s="515" customFormat="1" ht="90" hidden="1" customHeight="1">
      <c r="A88" s="509"/>
      <c r="B88" s="510"/>
      <c r="C88" s="511"/>
      <c r="D88" s="512"/>
      <c r="E88" s="512">
        <f t="shared" si="47"/>
        <v>0</v>
      </c>
      <c r="F88" s="512"/>
      <c r="G88" s="512">
        <f t="shared" si="48"/>
        <v>0</v>
      </c>
      <c r="H88" s="512">
        <f t="shared" si="49"/>
        <v>0</v>
      </c>
      <c r="I88" s="512">
        <f t="shared" si="50"/>
        <v>0</v>
      </c>
      <c r="J88" s="512">
        <f t="shared" si="51"/>
        <v>0</v>
      </c>
      <c r="K88" s="512">
        <f t="shared" si="52"/>
        <v>0</v>
      </c>
      <c r="L88" s="512">
        <f t="shared" si="53"/>
        <v>0</v>
      </c>
      <c r="M88" s="512">
        <f t="shared" si="54"/>
        <v>0</v>
      </c>
      <c r="N88" s="512">
        <f t="shared" si="55"/>
        <v>0</v>
      </c>
      <c r="O88" s="512"/>
      <c r="P88" s="512">
        <f t="shared" si="56"/>
        <v>0</v>
      </c>
      <c r="Q88" s="512">
        <f t="shared" si="57"/>
        <v>0</v>
      </c>
      <c r="R88" s="512">
        <f t="shared" si="58"/>
        <v>0</v>
      </c>
      <c r="S88" s="512">
        <f t="shared" si="59"/>
        <v>0</v>
      </c>
      <c r="T88" s="512"/>
      <c r="U88" s="512">
        <f t="shared" si="60"/>
        <v>0</v>
      </c>
      <c r="V88" s="512">
        <f t="shared" si="61"/>
        <v>0</v>
      </c>
      <c r="W88" s="512">
        <v>16</v>
      </c>
      <c r="X88" s="513">
        <f t="shared" si="62"/>
        <v>0</v>
      </c>
      <c r="Y88" s="514">
        <f t="shared" si="63"/>
        <v>0</v>
      </c>
    </row>
    <row r="89" spans="1:25" s="515" customFormat="1" ht="90" hidden="1" customHeight="1">
      <c r="A89" s="509"/>
      <c r="B89" s="510"/>
      <c r="C89" s="511"/>
      <c r="D89" s="512"/>
      <c r="E89" s="512">
        <f t="shared" si="47"/>
        <v>0</v>
      </c>
      <c r="F89" s="512"/>
      <c r="G89" s="512">
        <f t="shared" si="48"/>
        <v>0</v>
      </c>
      <c r="H89" s="512">
        <f t="shared" si="49"/>
        <v>0</v>
      </c>
      <c r="I89" s="512">
        <f t="shared" si="50"/>
        <v>0</v>
      </c>
      <c r="J89" s="512">
        <f t="shared" si="51"/>
        <v>0</v>
      </c>
      <c r="K89" s="512">
        <f t="shared" si="52"/>
        <v>0</v>
      </c>
      <c r="L89" s="512">
        <f t="shared" si="53"/>
        <v>0</v>
      </c>
      <c r="M89" s="512">
        <f t="shared" si="54"/>
        <v>0</v>
      </c>
      <c r="N89" s="512">
        <f t="shared" si="55"/>
        <v>0</v>
      </c>
      <c r="O89" s="512"/>
      <c r="P89" s="512">
        <f t="shared" si="56"/>
        <v>0</v>
      </c>
      <c r="Q89" s="512">
        <f t="shared" si="57"/>
        <v>0</v>
      </c>
      <c r="R89" s="512">
        <f t="shared" si="58"/>
        <v>0</v>
      </c>
      <c r="S89" s="512">
        <f t="shared" si="59"/>
        <v>0</v>
      </c>
      <c r="T89" s="512"/>
      <c r="U89" s="512">
        <f t="shared" si="60"/>
        <v>0</v>
      </c>
      <c r="V89" s="512">
        <f t="shared" si="61"/>
        <v>0</v>
      </c>
      <c r="W89" s="512">
        <v>16</v>
      </c>
      <c r="X89" s="513">
        <f t="shared" si="62"/>
        <v>0</v>
      </c>
      <c r="Y89" s="514">
        <f t="shared" si="63"/>
        <v>0</v>
      </c>
    </row>
    <row r="90" spans="1:25" s="515" customFormat="1" ht="90" hidden="1" customHeight="1">
      <c r="A90" s="509"/>
      <c r="B90" s="510"/>
      <c r="C90" s="511"/>
      <c r="D90" s="512"/>
      <c r="E90" s="512">
        <f t="shared" si="47"/>
        <v>0</v>
      </c>
      <c r="F90" s="512"/>
      <c r="G90" s="512">
        <f t="shared" si="48"/>
        <v>0</v>
      </c>
      <c r="H90" s="512">
        <f t="shared" si="49"/>
        <v>0</v>
      </c>
      <c r="I90" s="512">
        <f t="shared" si="50"/>
        <v>0</v>
      </c>
      <c r="J90" s="512">
        <f t="shared" si="51"/>
        <v>0</v>
      </c>
      <c r="K90" s="512">
        <f t="shared" si="52"/>
        <v>0</v>
      </c>
      <c r="L90" s="512">
        <f t="shared" si="53"/>
        <v>0</v>
      </c>
      <c r="M90" s="512">
        <f t="shared" si="54"/>
        <v>0</v>
      </c>
      <c r="N90" s="512">
        <f t="shared" si="55"/>
        <v>0</v>
      </c>
      <c r="O90" s="512"/>
      <c r="P90" s="512">
        <f t="shared" si="56"/>
        <v>0</v>
      </c>
      <c r="Q90" s="512">
        <f t="shared" si="57"/>
        <v>0</v>
      </c>
      <c r="R90" s="512">
        <f t="shared" si="58"/>
        <v>0</v>
      </c>
      <c r="S90" s="512">
        <f t="shared" si="59"/>
        <v>0</v>
      </c>
      <c r="T90" s="512"/>
      <c r="U90" s="512">
        <f t="shared" si="60"/>
        <v>0</v>
      </c>
      <c r="V90" s="512">
        <f t="shared" si="61"/>
        <v>0</v>
      </c>
      <c r="W90" s="512">
        <v>16</v>
      </c>
      <c r="X90" s="513">
        <f t="shared" si="62"/>
        <v>0</v>
      </c>
      <c r="Y90" s="514">
        <f t="shared" si="63"/>
        <v>0</v>
      </c>
    </row>
    <row r="91" spans="1:25" s="515" customFormat="1" ht="90" hidden="1" customHeight="1">
      <c r="A91" s="509"/>
      <c r="B91" s="510"/>
      <c r="C91" s="511"/>
      <c r="D91" s="512"/>
      <c r="E91" s="512">
        <f t="shared" si="47"/>
        <v>0</v>
      </c>
      <c r="F91" s="512"/>
      <c r="G91" s="512">
        <f t="shared" si="48"/>
        <v>0</v>
      </c>
      <c r="H91" s="512">
        <f t="shared" si="49"/>
        <v>0</v>
      </c>
      <c r="I91" s="512">
        <f t="shared" si="50"/>
        <v>0</v>
      </c>
      <c r="J91" s="512">
        <f t="shared" si="51"/>
        <v>0</v>
      </c>
      <c r="K91" s="512">
        <f t="shared" si="52"/>
        <v>0</v>
      </c>
      <c r="L91" s="512">
        <f t="shared" si="53"/>
        <v>0</v>
      </c>
      <c r="M91" s="512">
        <f t="shared" si="54"/>
        <v>0</v>
      </c>
      <c r="N91" s="512">
        <f t="shared" si="55"/>
        <v>0</v>
      </c>
      <c r="O91" s="512"/>
      <c r="P91" s="512">
        <f t="shared" si="56"/>
        <v>0</v>
      </c>
      <c r="Q91" s="512">
        <f t="shared" si="57"/>
        <v>0</v>
      </c>
      <c r="R91" s="512">
        <f t="shared" si="58"/>
        <v>0</v>
      </c>
      <c r="S91" s="512">
        <f t="shared" si="59"/>
        <v>0</v>
      </c>
      <c r="T91" s="512"/>
      <c r="U91" s="512">
        <f t="shared" si="60"/>
        <v>0</v>
      </c>
      <c r="V91" s="512">
        <f t="shared" si="61"/>
        <v>0</v>
      </c>
      <c r="W91" s="512">
        <v>16</v>
      </c>
      <c r="X91" s="513">
        <f t="shared" si="62"/>
        <v>0</v>
      </c>
      <c r="Y91" s="514">
        <f t="shared" si="63"/>
        <v>0</v>
      </c>
    </row>
    <row r="92" spans="1:25" s="515" customFormat="1" ht="90" hidden="1" customHeight="1">
      <c r="A92" s="509"/>
      <c r="B92" s="510"/>
      <c r="C92" s="511"/>
      <c r="D92" s="512"/>
      <c r="E92" s="512">
        <f t="shared" si="47"/>
        <v>0</v>
      </c>
      <c r="F92" s="512"/>
      <c r="G92" s="512">
        <f t="shared" si="48"/>
        <v>0</v>
      </c>
      <c r="H92" s="512">
        <f t="shared" si="49"/>
        <v>0</v>
      </c>
      <c r="I92" s="512">
        <f t="shared" si="50"/>
        <v>0</v>
      </c>
      <c r="J92" s="512">
        <f t="shared" si="51"/>
        <v>0</v>
      </c>
      <c r="K92" s="512">
        <f t="shared" si="52"/>
        <v>0</v>
      </c>
      <c r="L92" s="512">
        <f t="shared" si="53"/>
        <v>0</v>
      </c>
      <c r="M92" s="512">
        <f t="shared" si="54"/>
        <v>0</v>
      </c>
      <c r="N92" s="512">
        <f t="shared" si="55"/>
        <v>0</v>
      </c>
      <c r="O92" s="512"/>
      <c r="P92" s="512">
        <f t="shared" si="56"/>
        <v>0</v>
      </c>
      <c r="Q92" s="512">
        <f t="shared" si="57"/>
        <v>0</v>
      </c>
      <c r="R92" s="512">
        <f t="shared" si="58"/>
        <v>0</v>
      </c>
      <c r="S92" s="512">
        <f t="shared" si="59"/>
        <v>0</v>
      </c>
      <c r="T92" s="512"/>
      <c r="U92" s="512">
        <f t="shared" si="60"/>
        <v>0</v>
      </c>
      <c r="V92" s="512">
        <f t="shared" si="61"/>
        <v>0</v>
      </c>
      <c r="W92" s="512">
        <v>16</v>
      </c>
      <c r="X92" s="513">
        <f t="shared" si="62"/>
        <v>0</v>
      </c>
      <c r="Y92" s="514">
        <f t="shared" si="63"/>
        <v>0</v>
      </c>
    </row>
    <row r="93" spans="1:25" s="515" customFormat="1" ht="90" hidden="1" customHeight="1">
      <c r="A93" s="509"/>
      <c r="B93" s="510"/>
      <c r="C93" s="511"/>
      <c r="D93" s="512"/>
      <c r="E93" s="512">
        <f>C93*(D93+1)</f>
        <v>0</v>
      </c>
      <c r="F93" s="512">
        <v>0.1</v>
      </c>
      <c r="G93" s="512">
        <f>E93*F93</f>
        <v>0</v>
      </c>
      <c r="H93" s="512">
        <f>G93*1.3*$H$17</f>
        <v>0</v>
      </c>
      <c r="I93" s="512">
        <f>E93*F93</f>
        <v>0</v>
      </c>
      <c r="J93" s="512">
        <v>0.1</v>
      </c>
      <c r="K93" s="512">
        <f>J93*E93</f>
        <v>0</v>
      </c>
      <c r="L93" s="512">
        <f>K93*1.3*$L$17</f>
        <v>0</v>
      </c>
      <c r="M93" s="512">
        <f>K93*1.3*$M$17</f>
        <v>0</v>
      </c>
      <c r="N93" s="512">
        <f>K93</f>
        <v>0</v>
      </c>
      <c r="O93" s="512">
        <v>0.1</v>
      </c>
      <c r="P93" s="512">
        <f>E93*O93</f>
        <v>0</v>
      </c>
      <c r="Q93" s="512">
        <f>P93</f>
        <v>0</v>
      </c>
      <c r="R93" s="512">
        <f>P93*1.3*$R$17</f>
        <v>0</v>
      </c>
      <c r="S93" s="512">
        <f>P93*1.3*$S$17</f>
        <v>0</v>
      </c>
      <c r="T93" s="512">
        <v>0.2</v>
      </c>
      <c r="U93" s="512">
        <f>E93*T93</f>
        <v>0</v>
      </c>
      <c r="V93" s="512">
        <f>U93</f>
        <v>0</v>
      </c>
      <c r="W93" s="512">
        <v>16</v>
      </c>
      <c r="X93" s="513">
        <f>U93*1.3*$X$17</f>
        <v>0</v>
      </c>
      <c r="Y93" s="514">
        <f>U93*1.3*$Y$17</f>
        <v>0</v>
      </c>
    </row>
    <row r="94" spans="1:25" s="515" customFormat="1" ht="90" hidden="1" customHeight="1" thickBot="1">
      <c r="A94" s="509"/>
      <c r="B94" s="510"/>
      <c r="C94" s="511"/>
      <c r="D94" s="512"/>
      <c r="E94" s="512">
        <f>C94*(D94+1)</f>
        <v>0</v>
      </c>
      <c r="F94" s="512">
        <v>0.1</v>
      </c>
      <c r="G94" s="512">
        <f>E94*F94</f>
        <v>0</v>
      </c>
      <c r="H94" s="512">
        <f>G94*1.3*$H$17</f>
        <v>0</v>
      </c>
      <c r="I94" s="512">
        <f>E94*F94</f>
        <v>0</v>
      </c>
      <c r="J94" s="512">
        <v>0.1</v>
      </c>
      <c r="K94" s="512">
        <f>J94*E94</f>
        <v>0</v>
      </c>
      <c r="L94" s="512">
        <f>K94*1.3*$L$17</f>
        <v>0</v>
      </c>
      <c r="M94" s="512">
        <f>K94*1.3*$M$17</f>
        <v>0</v>
      </c>
      <c r="N94" s="512">
        <f>K94</f>
        <v>0</v>
      </c>
      <c r="O94" s="512">
        <v>0.1</v>
      </c>
      <c r="P94" s="512">
        <f>E94*O94</f>
        <v>0</v>
      </c>
      <c r="Q94" s="512">
        <f>P94</f>
        <v>0</v>
      </c>
      <c r="R94" s="512">
        <f>P94*1.3*$R$17</f>
        <v>0</v>
      </c>
      <c r="S94" s="512">
        <f>P94*1.3*$S$17</f>
        <v>0</v>
      </c>
      <c r="T94" s="512">
        <v>0.2</v>
      </c>
      <c r="U94" s="512">
        <f>E94*T94</f>
        <v>0</v>
      </c>
      <c r="V94" s="512">
        <f>U94</f>
        <v>0</v>
      </c>
      <c r="W94" s="512">
        <v>16</v>
      </c>
      <c r="X94" s="513">
        <f>U94*1.3*$X$17</f>
        <v>0</v>
      </c>
      <c r="Y94" s="514">
        <f>U94*1.3*$Y$17</f>
        <v>0</v>
      </c>
    </row>
    <row r="95" spans="1:25" s="515" customFormat="1" ht="52.5">
      <c r="A95" s="509"/>
      <c r="B95" s="510"/>
      <c r="C95" s="511"/>
      <c r="D95" s="512"/>
      <c r="E95" s="512"/>
      <c r="F95" s="512"/>
      <c r="G95" s="512"/>
      <c r="H95" s="512"/>
      <c r="I95" s="512"/>
      <c r="J95" s="512"/>
      <c r="K95" s="512"/>
      <c r="L95" s="512"/>
      <c r="M95" s="512"/>
      <c r="N95" s="512"/>
      <c r="O95" s="512"/>
      <c r="P95" s="512"/>
      <c r="Q95" s="512"/>
      <c r="R95" s="512"/>
      <c r="S95" s="512"/>
      <c r="T95" s="512"/>
      <c r="U95" s="512"/>
      <c r="V95" s="512"/>
      <c r="W95" s="512"/>
      <c r="X95" s="513"/>
      <c r="Y95" s="514"/>
    </row>
    <row r="96" spans="1:25" s="515" customFormat="1" ht="53.25" thickBot="1">
      <c r="A96" s="509"/>
      <c r="B96" s="510"/>
      <c r="C96" s="511"/>
      <c r="D96" s="512"/>
      <c r="E96" s="512"/>
      <c r="F96" s="512"/>
      <c r="G96" s="512"/>
      <c r="H96" s="512"/>
      <c r="I96" s="512"/>
      <c r="J96" s="512"/>
      <c r="K96" s="512"/>
      <c r="L96" s="512"/>
      <c r="M96" s="512"/>
      <c r="N96" s="512"/>
      <c r="O96" s="512"/>
      <c r="P96" s="512"/>
      <c r="Q96" s="512"/>
      <c r="R96" s="512"/>
      <c r="S96" s="512"/>
      <c r="T96" s="512"/>
      <c r="U96" s="512"/>
      <c r="V96" s="512"/>
      <c r="W96" s="512"/>
      <c r="X96" s="513"/>
      <c r="Y96" s="514"/>
    </row>
    <row r="97" spans="1:25" s="516" customFormat="1" ht="90" customHeight="1" thickBot="1">
      <c r="A97" s="1668" t="s">
        <v>317</v>
      </c>
      <c r="B97" s="1669"/>
      <c r="C97" s="517">
        <f>SUM(C20:C96)</f>
        <v>6594.16</v>
      </c>
      <c r="D97" s="452">
        <f>SUMPRODUCT(C22:C96,D22:D96)/SUM(C22:C96)</f>
        <v>4.97</v>
      </c>
      <c r="E97" s="517">
        <f>SUM(E20:E94)</f>
        <v>32168.17</v>
      </c>
      <c r="F97" s="517"/>
      <c r="G97" s="517">
        <f>SUM(G20:G94)</f>
        <v>16235.13</v>
      </c>
      <c r="H97" s="517">
        <f>SUM(H20:H94)</f>
        <v>325027.34000000003</v>
      </c>
      <c r="I97" s="517">
        <f>SUM(I20:I94)</f>
        <v>14046.19</v>
      </c>
      <c r="J97" s="517"/>
      <c r="K97" s="517">
        <f>SUM(K20:K94)</f>
        <v>12338.67</v>
      </c>
      <c r="L97" s="517">
        <f>SUM(L20:L94)</f>
        <v>481208.13</v>
      </c>
      <c r="M97" s="517">
        <f>SUM(M20:M94)</f>
        <v>117093.95</v>
      </c>
      <c r="N97" s="517">
        <f>SUM(N20:N94)</f>
        <v>12338.67</v>
      </c>
      <c r="O97" s="517"/>
      <c r="P97" s="517">
        <f>SUM(P20:P94)</f>
        <v>3896.43</v>
      </c>
      <c r="Q97" s="517">
        <f>SUM(Q20:Q94)</f>
        <v>3896.43</v>
      </c>
      <c r="R97" s="517">
        <f>SUM(R20:R94)</f>
        <v>151960.76999999999</v>
      </c>
      <c r="S97" s="517">
        <f>SUM(S20:S94)</f>
        <v>764869.22</v>
      </c>
      <c r="T97" s="517">
        <f>SUM(T20:T76)</f>
        <v>11.4</v>
      </c>
      <c r="U97" s="517">
        <f>SUM(U20:U94)</f>
        <v>6494.04</v>
      </c>
      <c r="V97" s="517">
        <f>SUM(V20:V94)</f>
        <v>6494.04</v>
      </c>
      <c r="W97" s="517">
        <f>SUM(W20:W94)</f>
        <v>1049</v>
      </c>
      <c r="X97" s="517">
        <f>SUM(X20:X94)</f>
        <v>253267.56</v>
      </c>
      <c r="Y97" s="517">
        <f>SUM(Y20:Y94)</f>
        <v>61628.43</v>
      </c>
    </row>
    <row r="98" spans="1:25" s="349" customFormat="1" ht="20.100000000000001" customHeight="1">
      <c r="B98" s="361"/>
      <c r="C98" s="361"/>
      <c r="D98" s="361"/>
      <c r="E98" s="361"/>
      <c r="F98" s="361"/>
      <c r="G98" s="361"/>
      <c r="H98" s="361"/>
      <c r="I98" s="361"/>
      <c r="J98" s="361"/>
      <c r="K98" s="361"/>
      <c r="L98" s="361"/>
      <c r="M98" s="361"/>
      <c r="N98" s="361"/>
      <c r="O98" s="361"/>
      <c r="P98" s="361"/>
      <c r="Q98" s="361"/>
      <c r="R98" s="361"/>
      <c r="S98" s="361"/>
      <c r="T98" s="361"/>
      <c r="U98" s="361"/>
      <c r="V98" s="361"/>
      <c r="W98" s="361"/>
      <c r="X98" s="361"/>
      <c r="Y98" s="361"/>
    </row>
    <row r="99" spans="1:25" s="349" customFormat="1" ht="20.100000000000001" customHeight="1">
      <c r="B99" s="361"/>
      <c r="C99" s="361"/>
      <c r="D99" s="361"/>
      <c r="E99" s="518"/>
      <c r="F99" s="518"/>
      <c r="G99" s="518"/>
      <c r="H99" s="518"/>
      <c r="I99" s="518"/>
      <c r="J99" s="518"/>
      <c r="K99" s="518"/>
      <c r="L99" s="518"/>
      <c r="M99" s="518"/>
      <c r="N99" s="518"/>
      <c r="O99" s="518"/>
      <c r="P99" s="518"/>
      <c r="Q99" s="518"/>
      <c r="R99" s="518"/>
      <c r="S99" s="518"/>
      <c r="T99" s="518"/>
      <c r="U99" s="518"/>
      <c r="V99" s="518"/>
      <c r="W99" s="518"/>
      <c r="X99" s="518"/>
      <c r="Y99" s="518"/>
    </row>
    <row r="100" spans="1:25" s="349" customFormat="1" ht="20.100000000000001" customHeight="1">
      <c r="B100" s="361"/>
      <c r="C100" s="361"/>
      <c r="D100" s="361"/>
      <c r="E100" s="361"/>
      <c r="F100" s="361"/>
      <c r="G100" s="361"/>
      <c r="H100" s="361"/>
      <c r="I100" s="361"/>
      <c r="J100" s="361"/>
      <c r="K100" s="361"/>
      <c r="L100" s="361"/>
      <c r="M100" s="361"/>
      <c r="N100" s="361"/>
      <c r="O100" s="361"/>
      <c r="P100" s="361"/>
      <c r="Q100" s="361"/>
      <c r="R100" s="361"/>
      <c r="S100" s="361"/>
      <c r="T100" s="361"/>
      <c r="U100" s="361"/>
      <c r="V100" s="361"/>
      <c r="W100" s="361"/>
      <c r="X100" s="361"/>
      <c r="Y100" s="361"/>
    </row>
    <row r="101" spans="1:25" s="349" customFormat="1" ht="20.100000000000001" customHeight="1">
      <c r="B101" s="361"/>
      <c r="C101" s="361"/>
      <c r="D101" s="361"/>
      <c r="E101" s="361"/>
      <c r="F101" s="361"/>
      <c r="G101" s="361"/>
      <c r="H101" s="361"/>
      <c r="I101" s="361"/>
      <c r="J101" s="361"/>
      <c r="K101" s="361"/>
      <c r="L101" s="361"/>
      <c r="M101" s="361"/>
      <c r="N101" s="518"/>
      <c r="O101" s="361"/>
      <c r="P101" s="361"/>
      <c r="Q101" s="361"/>
      <c r="R101" s="361"/>
      <c r="S101" s="361"/>
      <c r="T101" s="361"/>
      <c r="U101" s="361"/>
      <c r="V101" s="361"/>
      <c r="W101" s="361"/>
      <c r="X101" s="361"/>
      <c r="Y101" s="518"/>
    </row>
    <row r="102" spans="1:25" s="349" customFormat="1" ht="20.100000000000001" customHeight="1">
      <c r="B102" s="361"/>
      <c r="C102" s="361"/>
      <c r="D102" s="361"/>
      <c r="E102" s="361"/>
      <c r="F102" s="361"/>
      <c r="G102" s="361"/>
      <c r="H102" s="361"/>
      <c r="I102" s="361"/>
      <c r="J102" s="361"/>
      <c r="K102" s="361"/>
      <c r="L102" s="361"/>
      <c r="M102" s="361"/>
      <c r="N102" s="361"/>
      <c r="O102" s="361"/>
      <c r="P102" s="361"/>
      <c r="Q102" s="361"/>
      <c r="R102" s="361"/>
      <c r="S102" s="361"/>
      <c r="T102" s="361"/>
      <c r="U102" s="361"/>
      <c r="V102" s="361"/>
      <c r="W102" s="361"/>
      <c r="X102" s="361"/>
      <c r="Y102" s="361"/>
    </row>
    <row r="103" spans="1:25" s="349" customFormat="1" ht="20.100000000000001" customHeight="1">
      <c r="B103" s="361"/>
      <c r="C103" s="361"/>
      <c r="D103" s="361"/>
      <c r="E103" s="361"/>
      <c r="F103" s="361"/>
      <c r="G103" s="361"/>
      <c r="H103" s="361"/>
      <c r="I103" s="361"/>
      <c r="J103" s="361"/>
      <c r="K103" s="361"/>
      <c r="L103" s="361"/>
      <c r="M103" s="361"/>
      <c r="N103" s="518"/>
      <c r="O103" s="361"/>
      <c r="P103" s="361"/>
      <c r="Q103" s="361"/>
      <c r="R103" s="361"/>
      <c r="S103" s="361"/>
      <c r="T103" s="361"/>
      <c r="U103" s="361"/>
      <c r="V103" s="361"/>
      <c r="W103" s="361"/>
      <c r="X103" s="361"/>
      <c r="Y103" s="518"/>
    </row>
    <row r="104" spans="1:25" s="349" customFormat="1" ht="20.100000000000001" customHeight="1">
      <c r="B104" s="361"/>
      <c r="C104" s="361"/>
      <c r="D104" s="361"/>
      <c r="E104" s="361"/>
      <c r="F104" s="361"/>
      <c r="G104" s="361"/>
      <c r="H104" s="361"/>
      <c r="I104" s="361"/>
      <c r="J104" s="361"/>
      <c r="K104" s="361"/>
      <c r="L104" s="361"/>
      <c r="M104" s="361"/>
      <c r="N104" s="361"/>
      <c r="O104" s="361"/>
      <c r="P104" s="361"/>
      <c r="Q104" s="361"/>
      <c r="R104" s="361"/>
      <c r="S104" s="361"/>
      <c r="T104" s="361"/>
      <c r="U104" s="361"/>
      <c r="V104" s="361"/>
      <c r="W104" s="361"/>
      <c r="X104" s="361"/>
      <c r="Y104" s="361"/>
    </row>
    <row r="105" spans="1:25" s="349" customFormat="1" ht="20.100000000000001" customHeight="1">
      <c r="B105" s="361"/>
      <c r="C105" s="361"/>
      <c r="D105" s="361"/>
      <c r="E105" s="361"/>
      <c r="F105" s="361"/>
      <c r="G105" s="361"/>
      <c r="H105" s="361"/>
      <c r="I105" s="361"/>
      <c r="J105" s="361"/>
      <c r="K105" s="361"/>
      <c r="L105" s="361"/>
      <c r="M105" s="361"/>
      <c r="N105" s="361"/>
      <c r="O105" s="361"/>
      <c r="P105" s="361"/>
      <c r="Q105" s="361"/>
      <c r="R105" s="361"/>
      <c r="S105" s="361"/>
      <c r="T105" s="361"/>
      <c r="U105" s="361"/>
      <c r="V105" s="361"/>
      <c r="W105" s="361"/>
      <c r="X105" s="361"/>
      <c r="Y105" s="361"/>
    </row>
    <row r="106" spans="1:25" s="349" customFormat="1" ht="20.100000000000001" customHeight="1">
      <c r="B106" s="361"/>
      <c r="C106" s="361"/>
      <c r="D106" s="361"/>
      <c r="E106" s="361"/>
      <c r="F106" s="361"/>
      <c r="G106" s="361"/>
      <c r="H106" s="361"/>
      <c r="I106" s="361"/>
      <c r="J106" s="361"/>
      <c r="K106" s="361"/>
      <c r="L106" s="361"/>
      <c r="M106" s="361"/>
      <c r="N106" s="361"/>
      <c r="O106" s="361"/>
      <c r="P106" s="361"/>
      <c r="Q106" s="361"/>
      <c r="R106" s="361"/>
      <c r="S106" s="361"/>
      <c r="T106" s="361"/>
      <c r="U106" s="361"/>
      <c r="V106" s="361"/>
      <c r="W106" s="361"/>
      <c r="X106" s="361"/>
      <c r="Y106" s="361"/>
    </row>
    <row r="107" spans="1:25" s="349" customFormat="1" ht="20.100000000000001" customHeight="1">
      <c r="B107" s="361"/>
      <c r="C107" s="361"/>
      <c r="D107" s="361"/>
      <c r="E107" s="361"/>
      <c r="F107" s="361"/>
      <c r="G107" s="361"/>
      <c r="H107" s="361"/>
      <c r="I107" s="361"/>
      <c r="J107" s="361"/>
      <c r="K107" s="361"/>
      <c r="L107" s="361"/>
      <c r="M107" s="361"/>
      <c r="N107" s="361"/>
      <c r="O107" s="361"/>
      <c r="P107" s="361"/>
      <c r="Q107" s="361"/>
      <c r="R107" s="361"/>
      <c r="S107" s="361"/>
      <c r="T107" s="361"/>
      <c r="U107" s="361"/>
      <c r="V107" s="361"/>
      <c r="W107" s="361"/>
      <c r="X107" s="361"/>
      <c r="Y107" s="361"/>
    </row>
    <row r="108" spans="1:25" s="349" customFormat="1" ht="20.100000000000001" customHeight="1">
      <c r="B108" s="361"/>
      <c r="C108" s="361"/>
      <c r="D108" s="361"/>
      <c r="E108" s="361"/>
      <c r="F108" s="361"/>
      <c r="G108" s="361"/>
      <c r="H108" s="361"/>
      <c r="I108" s="361"/>
      <c r="J108" s="361"/>
      <c r="K108" s="361"/>
      <c r="L108" s="361"/>
      <c r="M108" s="361"/>
      <c r="N108" s="361"/>
      <c r="O108" s="361"/>
      <c r="P108" s="361"/>
      <c r="Q108" s="361"/>
      <c r="R108" s="361"/>
      <c r="S108" s="361"/>
      <c r="T108" s="361"/>
      <c r="U108" s="361"/>
      <c r="V108" s="361"/>
      <c r="W108" s="361"/>
      <c r="X108" s="361"/>
      <c r="Y108" s="361"/>
    </row>
    <row r="109" spans="1:25" s="349" customFormat="1" ht="20.100000000000001" customHeight="1">
      <c r="B109" s="361"/>
      <c r="C109" s="361"/>
      <c r="D109" s="361"/>
      <c r="E109" s="361"/>
      <c r="F109" s="361"/>
      <c r="G109" s="361"/>
      <c r="H109" s="361"/>
      <c r="I109" s="361"/>
      <c r="J109" s="361"/>
      <c r="K109" s="361"/>
      <c r="L109" s="361"/>
      <c r="M109" s="361"/>
      <c r="N109" s="361"/>
      <c r="O109" s="361"/>
      <c r="P109" s="361"/>
      <c r="Q109" s="361"/>
      <c r="R109" s="361"/>
      <c r="S109" s="361"/>
      <c r="T109" s="361"/>
      <c r="U109" s="361"/>
      <c r="V109" s="361"/>
      <c r="W109" s="361"/>
      <c r="X109" s="361"/>
      <c r="Y109" s="361"/>
    </row>
    <row r="110" spans="1:25" s="349" customFormat="1" ht="20.100000000000001" customHeight="1">
      <c r="B110" s="361"/>
      <c r="C110" s="361"/>
      <c r="D110" s="361"/>
      <c r="E110" s="361"/>
      <c r="F110" s="361"/>
      <c r="G110" s="361"/>
      <c r="H110" s="361"/>
      <c r="I110" s="361"/>
      <c r="J110" s="361"/>
      <c r="K110" s="361"/>
      <c r="L110" s="361"/>
      <c r="M110" s="361"/>
      <c r="N110" s="361"/>
      <c r="O110" s="361"/>
      <c r="P110" s="361"/>
      <c r="Q110" s="361"/>
      <c r="R110" s="361"/>
      <c r="S110" s="361"/>
      <c r="T110" s="361"/>
      <c r="U110" s="361"/>
      <c r="V110" s="361"/>
      <c r="W110" s="361"/>
      <c r="X110" s="361"/>
      <c r="Y110" s="361"/>
    </row>
    <row r="111" spans="1:25" s="349" customFormat="1" ht="20.100000000000001" customHeight="1">
      <c r="B111" s="361"/>
      <c r="C111" s="361"/>
      <c r="D111" s="361"/>
      <c r="E111" s="361"/>
      <c r="F111" s="361"/>
      <c r="G111" s="361"/>
      <c r="H111" s="361"/>
      <c r="I111" s="361"/>
      <c r="J111" s="361"/>
      <c r="K111" s="361"/>
      <c r="L111" s="361"/>
      <c r="M111" s="361"/>
      <c r="N111" s="361"/>
      <c r="O111" s="361"/>
      <c r="P111" s="361"/>
      <c r="Q111" s="361"/>
      <c r="R111" s="361"/>
      <c r="S111" s="361"/>
      <c r="T111" s="361"/>
      <c r="U111" s="361"/>
      <c r="V111" s="361"/>
      <c r="W111" s="361"/>
      <c r="X111" s="361"/>
      <c r="Y111" s="361"/>
    </row>
    <row r="112" spans="1:25" s="349" customFormat="1" ht="20.100000000000001" customHeight="1">
      <c r="B112" s="361"/>
      <c r="C112" s="361"/>
      <c r="D112" s="361"/>
      <c r="E112" s="361"/>
      <c r="F112" s="361"/>
      <c r="G112" s="361"/>
      <c r="H112" s="361"/>
      <c r="I112" s="361"/>
      <c r="J112" s="361"/>
      <c r="K112" s="361"/>
      <c r="L112" s="361"/>
      <c r="M112" s="361"/>
      <c r="N112" s="361"/>
      <c r="O112" s="361"/>
      <c r="P112" s="361"/>
      <c r="Q112" s="361"/>
      <c r="R112" s="361"/>
      <c r="S112" s="361"/>
      <c r="T112" s="361"/>
      <c r="U112" s="361"/>
      <c r="V112" s="361"/>
      <c r="W112" s="361"/>
      <c r="X112" s="361"/>
      <c r="Y112" s="361"/>
    </row>
    <row r="113" spans="2:25" s="349" customFormat="1" ht="20.100000000000001" customHeight="1">
      <c r="B113" s="361"/>
      <c r="C113" s="361"/>
      <c r="D113" s="361"/>
      <c r="E113" s="361"/>
      <c r="F113" s="361"/>
      <c r="G113" s="361"/>
      <c r="H113" s="361"/>
      <c r="I113" s="361"/>
      <c r="J113" s="361"/>
      <c r="K113" s="361"/>
      <c r="L113" s="361"/>
      <c r="M113" s="361"/>
      <c r="N113" s="361"/>
      <c r="O113" s="361"/>
      <c r="P113" s="361"/>
      <c r="Q113" s="361"/>
      <c r="R113" s="361"/>
      <c r="S113" s="361"/>
      <c r="T113" s="361"/>
      <c r="U113" s="361"/>
      <c r="V113" s="361"/>
      <c r="W113" s="361"/>
      <c r="X113" s="361"/>
      <c r="Y113" s="361"/>
    </row>
    <row r="114" spans="2:25" s="349" customFormat="1" ht="20.100000000000001" customHeight="1">
      <c r="B114" s="361"/>
      <c r="C114" s="361"/>
      <c r="D114" s="361"/>
      <c r="E114" s="361"/>
      <c r="F114" s="361"/>
      <c r="G114" s="361"/>
      <c r="H114" s="361"/>
      <c r="I114" s="361"/>
      <c r="J114" s="361"/>
      <c r="K114" s="361"/>
      <c r="L114" s="361"/>
      <c r="M114" s="361"/>
      <c r="N114" s="361"/>
      <c r="O114" s="361"/>
      <c r="P114" s="361"/>
      <c r="Q114" s="361"/>
      <c r="R114" s="361"/>
      <c r="S114" s="361"/>
      <c r="T114" s="361"/>
      <c r="U114" s="361"/>
      <c r="V114" s="361"/>
      <c r="W114" s="361"/>
      <c r="X114" s="361"/>
      <c r="Y114" s="361"/>
    </row>
    <row r="115" spans="2:25" s="349" customFormat="1" ht="20.100000000000001" customHeight="1">
      <c r="B115" s="361"/>
      <c r="C115" s="361"/>
      <c r="D115" s="361"/>
      <c r="E115" s="361"/>
      <c r="F115" s="361"/>
      <c r="G115" s="361"/>
      <c r="H115" s="361"/>
      <c r="I115" s="361"/>
      <c r="J115" s="361"/>
      <c r="K115" s="361"/>
      <c r="L115" s="361"/>
      <c r="M115" s="361"/>
      <c r="N115" s="361"/>
      <c r="O115" s="361"/>
      <c r="P115" s="361"/>
      <c r="Q115" s="361"/>
      <c r="R115" s="361"/>
      <c r="S115" s="361"/>
      <c r="T115" s="361"/>
      <c r="U115" s="361"/>
      <c r="V115" s="361"/>
      <c r="W115" s="361"/>
      <c r="X115" s="361"/>
      <c r="Y115" s="361"/>
    </row>
    <row r="116" spans="2:25" s="349" customFormat="1" ht="20.100000000000001" customHeight="1">
      <c r="B116" s="361"/>
      <c r="C116" s="361"/>
      <c r="D116" s="361"/>
      <c r="E116" s="361"/>
      <c r="F116" s="361"/>
      <c r="G116" s="361"/>
      <c r="H116" s="361"/>
      <c r="I116" s="361"/>
      <c r="J116" s="361"/>
      <c r="K116" s="361"/>
      <c r="L116" s="361"/>
      <c r="M116" s="361"/>
      <c r="N116" s="361"/>
      <c r="O116" s="361"/>
      <c r="P116" s="361"/>
      <c r="Q116" s="361"/>
      <c r="R116" s="361"/>
      <c r="S116" s="361"/>
      <c r="T116" s="361"/>
      <c r="U116" s="361"/>
      <c r="V116" s="361"/>
      <c r="W116" s="361"/>
      <c r="X116" s="361"/>
      <c r="Y116" s="361"/>
    </row>
    <row r="117" spans="2:25" s="349" customFormat="1" ht="20.100000000000001" customHeight="1">
      <c r="B117" s="361"/>
      <c r="C117" s="361"/>
      <c r="D117" s="361"/>
      <c r="E117" s="361"/>
      <c r="F117" s="361"/>
      <c r="G117" s="361"/>
      <c r="H117" s="361"/>
      <c r="I117" s="361"/>
      <c r="J117" s="361"/>
      <c r="K117" s="361"/>
      <c r="L117" s="361"/>
      <c r="M117" s="361"/>
      <c r="N117" s="361"/>
      <c r="O117" s="361"/>
      <c r="P117" s="361"/>
      <c r="Q117" s="361"/>
      <c r="R117" s="361"/>
      <c r="S117" s="361"/>
      <c r="T117" s="361"/>
      <c r="U117" s="361"/>
      <c r="V117" s="361"/>
      <c r="W117" s="361"/>
      <c r="X117" s="361"/>
      <c r="Y117" s="361"/>
    </row>
    <row r="118" spans="2:25" s="349" customFormat="1" ht="20.100000000000001" customHeight="1">
      <c r="B118" s="361"/>
      <c r="C118" s="361"/>
      <c r="D118" s="361"/>
      <c r="E118" s="361"/>
      <c r="F118" s="361"/>
      <c r="G118" s="361"/>
      <c r="H118" s="361"/>
      <c r="I118" s="361"/>
      <c r="J118" s="361"/>
      <c r="K118" s="361"/>
      <c r="L118" s="361"/>
      <c r="M118" s="361"/>
      <c r="N118" s="361"/>
      <c r="O118" s="361"/>
      <c r="P118" s="361"/>
      <c r="Q118" s="361"/>
      <c r="R118" s="361"/>
      <c r="S118" s="361"/>
      <c r="T118" s="361"/>
      <c r="U118" s="361"/>
      <c r="V118" s="361"/>
      <c r="W118" s="361"/>
      <c r="X118" s="361"/>
      <c r="Y118" s="361"/>
    </row>
    <row r="119" spans="2:25" s="349" customFormat="1" ht="20.100000000000001" customHeight="1">
      <c r="B119" s="361"/>
      <c r="C119" s="361"/>
      <c r="D119" s="361"/>
      <c r="E119" s="361"/>
      <c r="F119" s="361"/>
      <c r="G119" s="361"/>
      <c r="H119" s="361"/>
      <c r="I119" s="361"/>
      <c r="J119" s="361"/>
      <c r="K119" s="361"/>
      <c r="L119" s="361"/>
      <c r="M119" s="361"/>
      <c r="N119" s="361"/>
      <c r="O119" s="361"/>
      <c r="P119" s="361"/>
      <c r="Q119" s="361"/>
      <c r="R119" s="361"/>
      <c r="S119" s="361"/>
      <c r="T119" s="361"/>
      <c r="U119" s="361"/>
      <c r="V119" s="361"/>
      <c r="W119" s="361"/>
      <c r="X119" s="361"/>
      <c r="Y119" s="361"/>
    </row>
    <row r="120" spans="2:25" s="349" customFormat="1" ht="19.899999999999999" customHeight="1">
      <c r="B120" s="361"/>
      <c r="C120" s="361"/>
      <c r="D120" s="361"/>
      <c r="E120" s="361"/>
      <c r="F120" s="361"/>
      <c r="G120" s="361"/>
      <c r="H120" s="361"/>
      <c r="I120" s="361"/>
      <c r="J120" s="361"/>
      <c r="K120" s="361"/>
      <c r="L120" s="361"/>
      <c r="M120" s="361"/>
      <c r="N120" s="361"/>
      <c r="O120" s="361"/>
      <c r="P120" s="361"/>
      <c r="Q120" s="361"/>
      <c r="R120" s="361"/>
      <c r="S120" s="361"/>
      <c r="T120" s="361"/>
      <c r="U120" s="361"/>
      <c r="V120" s="361"/>
      <c r="W120" s="361"/>
      <c r="X120" s="361"/>
      <c r="Y120" s="361"/>
    </row>
    <row r="121" spans="2:25" s="349" customFormat="1" ht="20.100000000000001" customHeight="1">
      <c r="B121" s="361"/>
      <c r="C121" s="361"/>
      <c r="D121" s="361"/>
      <c r="E121" s="361"/>
      <c r="F121" s="361"/>
      <c r="G121" s="361"/>
      <c r="H121" s="361"/>
      <c r="I121" s="361"/>
      <c r="J121" s="361"/>
      <c r="K121" s="361"/>
      <c r="L121" s="361"/>
      <c r="M121" s="361"/>
      <c r="N121" s="361"/>
      <c r="O121" s="361"/>
      <c r="P121" s="361"/>
      <c r="Q121" s="361"/>
      <c r="R121" s="361"/>
      <c r="S121" s="361"/>
      <c r="T121" s="361"/>
      <c r="U121" s="361"/>
      <c r="V121" s="361"/>
      <c r="W121" s="361"/>
      <c r="X121" s="361"/>
      <c r="Y121" s="361"/>
    </row>
    <row r="122" spans="2:25" s="349" customFormat="1" ht="20.100000000000001" customHeight="1">
      <c r="B122" s="361"/>
      <c r="C122" s="361"/>
      <c r="D122" s="361"/>
      <c r="E122" s="361"/>
      <c r="F122" s="361"/>
      <c r="G122" s="361"/>
      <c r="H122" s="361"/>
      <c r="I122" s="361"/>
      <c r="J122" s="361"/>
      <c r="K122" s="361"/>
      <c r="L122" s="361"/>
      <c r="M122" s="361"/>
      <c r="N122" s="361"/>
      <c r="O122" s="361"/>
      <c r="P122" s="361"/>
      <c r="Q122" s="361"/>
      <c r="R122" s="361"/>
      <c r="S122" s="361"/>
      <c r="T122" s="361"/>
      <c r="U122" s="361"/>
      <c r="V122" s="361"/>
      <c r="W122" s="361"/>
      <c r="X122" s="361"/>
      <c r="Y122" s="361"/>
    </row>
    <row r="123" spans="2:25" s="349" customFormat="1" ht="20.100000000000001" customHeight="1">
      <c r="B123" s="361"/>
      <c r="C123" s="361"/>
      <c r="D123" s="361"/>
      <c r="E123" s="361"/>
      <c r="F123" s="361"/>
      <c r="G123" s="361"/>
      <c r="H123" s="361"/>
      <c r="I123" s="361"/>
      <c r="J123" s="361"/>
      <c r="K123" s="361"/>
      <c r="L123" s="361"/>
      <c r="M123" s="361"/>
      <c r="N123" s="361"/>
      <c r="O123" s="361"/>
      <c r="P123" s="361"/>
      <c r="Q123" s="361"/>
      <c r="R123" s="361"/>
      <c r="S123" s="361"/>
      <c r="T123" s="361"/>
      <c r="U123" s="361"/>
      <c r="V123" s="361"/>
      <c r="W123" s="361"/>
      <c r="X123" s="361"/>
      <c r="Y123" s="361"/>
    </row>
    <row r="124" spans="2:25" s="349" customFormat="1" ht="20.100000000000001" customHeight="1">
      <c r="B124" s="361"/>
      <c r="C124" s="361"/>
      <c r="D124" s="361"/>
      <c r="E124" s="361"/>
      <c r="F124" s="361"/>
      <c r="G124" s="361"/>
      <c r="H124" s="361"/>
      <c r="I124" s="361"/>
      <c r="J124" s="361"/>
      <c r="K124" s="361"/>
      <c r="L124" s="361"/>
      <c r="M124" s="361"/>
      <c r="N124" s="361"/>
      <c r="O124" s="361"/>
      <c r="P124" s="361"/>
      <c r="Q124" s="361"/>
      <c r="R124" s="361"/>
      <c r="S124" s="361"/>
      <c r="T124" s="361"/>
      <c r="U124" s="361"/>
      <c r="V124" s="361"/>
      <c r="W124" s="361"/>
      <c r="X124" s="361"/>
      <c r="Y124" s="361"/>
    </row>
    <row r="125" spans="2:25" s="349" customFormat="1" ht="20.100000000000001" customHeight="1">
      <c r="B125" s="361"/>
      <c r="C125" s="361"/>
      <c r="D125" s="361"/>
      <c r="E125" s="361"/>
      <c r="F125" s="361"/>
      <c r="G125" s="361"/>
      <c r="H125" s="361"/>
      <c r="I125" s="361"/>
      <c r="J125" s="361"/>
      <c r="K125" s="361"/>
      <c r="L125" s="361"/>
      <c r="M125" s="361"/>
      <c r="N125" s="361"/>
      <c r="O125" s="361"/>
      <c r="P125" s="361"/>
      <c r="Q125" s="361"/>
      <c r="R125" s="361"/>
      <c r="S125" s="361"/>
      <c r="T125" s="361"/>
      <c r="U125" s="361"/>
      <c r="V125" s="361"/>
      <c r="W125" s="361"/>
      <c r="X125" s="361"/>
      <c r="Y125" s="361"/>
    </row>
    <row r="126" spans="2:25" s="349" customFormat="1" ht="20.100000000000001" customHeight="1">
      <c r="B126" s="361"/>
      <c r="C126" s="361"/>
      <c r="D126" s="361"/>
      <c r="E126" s="361"/>
      <c r="F126" s="361"/>
      <c r="G126" s="361"/>
      <c r="H126" s="361"/>
      <c r="I126" s="361"/>
      <c r="J126" s="361"/>
      <c r="K126" s="361"/>
      <c r="L126" s="361"/>
      <c r="M126" s="361"/>
      <c r="N126" s="361"/>
      <c r="O126" s="361"/>
      <c r="P126" s="361"/>
      <c r="Q126" s="361"/>
      <c r="R126" s="361"/>
      <c r="S126" s="361"/>
      <c r="T126" s="361"/>
      <c r="U126" s="361"/>
      <c r="V126" s="361"/>
      <c r="W126" s="361"/>
      <c r="X126" s="361"/>
      <c r="Y126" s="361"/>
    </row>
    <row r="127" spans="2:25" s="349" customFormat="1" ht="20.100000000000001" customHeight="1">
      <c r="B127" s="361"/>
      <c r="C127" s="361"/>
      <c r="D127" s="361"/>
      <c r="E127" s="361"/>
      <c r="F127" s="361"/>
      <c r="G127" s="361"/>
      <c r="H127" s="361"/>
      <c r="I127" s="361"/>
      <c r="J127" s="361"/>
      <c r="K127" s="361"/>
      <c r="L127" s="361"/>
      <c r="M127" s="361"/>
      <c r="N127" s="361"/>
      <c r="O127" s="361"/>
      <c r="P127" s="361"/>
      <c r="Q127" s="361"/>
      <c r="R127" s="361"/>
      <c r="S127" s="361"/>
      <c r="T127" s="361"/>
      <c r="U127" s="361"/>
      <c r="V127" s="361"/>
      <c r="W127" s="361"/>
      <c r="X127" s="361"/>
      <c r="Y127" s="361"/>
    </row>
    <row r="128" spans="2:25" s="349" customFormat="1" ht="20.100000000000001" customHeight="1">
      <c r="B128" s="361"/>
      <c r="C128" s="361"/>
      <c r="D128" s="361"/>
      <c r="E128" s="361"/>
      <c r="F128" s="361"/>
      <c r="G128" s="361"/>
      <c r="H128" s="361"/>
      <c r="I128" s="361"/>
      <c r="J128" s="361"/>
      <c r="K128" s="361"/>
      <c r="L128" s="361"/>
      <c r="M128" s="361"/>
      <c r="N128" s="361"/>
      <c r="O128" s="361"/>
      <c r="P128" s="361"/>
      <c r="Q128" s="361"/>
      <c r="R128" s="361"/>
      <c r="S128" s="361"/>
      <c r="T128" s="361"/>
      <c r="U128" s="361"/>
      <c r="V128" s="361"/>
      <c r="W128" s="361"/>
      <c r="X128" s="361"/>
      <c r="Y128" s="361"/>
    </row>
    <row r="129" spans="2:25" s="349" customFormat="1" ht="20.100000000000001" customHeight="1">
      <c r="B129" s="361"/>
      <c r="C129" s="361"/>
      <c r="D129" s="361"/>
      <c r="E129" s="361"/>
      <c r="F129" s="361"/>
      <c r="G129" s="361"/>
      <c r="H129" s="361"/>
      <c r="I129" s="361"/>
      <c r="J129" s="361"/>
      <c r="K129" s="361"/>
      <c r="L129" s="361"/>
      <c r="M129" s="361"/>
      <c r="N129" s="361"/>
      <c r="O129" s="361"/>
      <c r="P129" s="361"/>
      <c r="Q129" s="361"/>
      <c r="R129" s="361"/>
      <c r="S129" s="361"/>
      <c r="T129" s="361"/>
      <c r="U129" s="361"/>
      <c r="V129" s="361"/>
      <c r="W129" s="361"/>
      <c r="X129" s="361"/>
      <c r="Y129" s="361"/>
    </row>
    <row r="130" spans="2:25" s="349" customFormat="1" ht="20.100000000000001" customHeight="1">
      <c r="B130" s="361"/>
      <c r="C130" s="361"/>
      <c r="D130" s="361"/>
      <c r="E130" s="361"/>
      <c r="F130" s="361"/>
      <c r="G130" s="361"/>
      <c r="H130" s="361"/>
      <c r="I130" s="361"/>
      <c r="J130" s="361"/>
      <c r="K130" s="361"/>
      <c r="L130" s="361"/>
      <c r="M130" s="361"/>
      <c r="N130" s="361"/>
      <c r="O130" s="361"/>
      <c r="P130" s="361"/>
      <c r="Q130" s="361"/>
      <c r="R130" s="361"/>
      <c r="S130" s="361"/>
      <c r="T130" s="361"/>
      <c r="U130" s="361"/>
      <c r="V130" s="361"/>
      <c r="W130" s="361"/>
      <c r="X130" s="361"/>
      <c r="Y130" s="361"/>
    </row>
    <row r="131" spans="2:25" s="349" customFormat="1" ht="20.100000000000001" customHeight="1">
      <c r="B131" s="361"/>
      <c r="C131" s="361"/>
      <c r="D131" s="361"/>
      <c r="E131" s="361"/>
      <c r="F131" s="361"/>
      <c r="G131" s="361"/>
      <c r="H131" s="361"/>
      <c r="I131" s="361"/>
      <c r="J131" s="361"/>
      <c r="K131" s="361"/>
      <c r="L131" s="361"/>
      <c r="M131" s="361"/>
      <c r="N131" s="361"/>
      <c r="O131" s="361"/>
      <c r="P131" s="361"/>
      <c r="Q131" s="361"/>
      <c r="R131" s="361"/>
      <c r="S131" s="361"/>
      <c r="T131" s="361"/>
      <c r="U131" s="361"/>
      <c r="V131" s="361"/>
      <c r="W131" s="361"/>
      <c r="X131" s="361"/>
      <c r="Y131" s="361"/>
    </row>
    <row r="132" spans="2:25" ht="20.100000000000001" customHeight="1"/>
    <row r="133" spans="2:25" ht="9.9499999999999993" customHeight="1"/>
    <row r="134" spans="2:25" ht="20.100000000000001" customHeight="1"/>
    <row r="135" spans="2:25" ht="20.100000000000001" customHeight="1"/>
    <row r="136" spans="2:25" ht="20.100000000000001" customHeight="1"/>
    <row r="137" spans="2:25" s="349" customFormat="1" ht="20.100000000000001" customHeight="1">
      <c r="B137" s="361"/>
      <c r="C137" s="361"/>
      <c r="D137" s="361"/>
      <c r="E137" s="361"/>
      <c r="F137" s="361"/>
      <c r="G137" s="361"/>
      <c r="H137" s="361"/>
      <c r="I137" s="361"/>
      <c r="J137" s="361"/>
      <c r="K137" s="361"/>
      <c r="L137" s="361"/>
      <c r="M137" s="361"/>
      <c r="N137" s="361"/>
      <c r="O137" s="361"/>
      <c r="P137" s="361"/>
      <c r="Q137" s="361"/>
      <c r="R137" s="361"/>
      <c r="S137" s="361"/>
      <c r="T137" s="361"/>
      <c r="U137" s="361"/>
      <c r="V137" s="361"/>
      <c r="W137" s="361"/>
      <c r="X137" s="361"/>
      <c r="Y137" s="361"/>
    </row>
    <row r="138" spans="2:25" s="349" customFormat="1" ht="20.100000000000001" customHeight="1">
      <c r="B138" s="361"/>
      <c r="C138" s="361"/>
      <c r="D138" s="361"/>
      <c r="E138" s="361"/>
      <c r="F138" s="361"/>
      <c r="G138" s="361"/>
      <c r="H138" s="361"/>
      <c r="I138" s="361"/>
      <c r="J138" s="361"/>
      <c r="K138" s="361"/>
      <c r="L138" s="361"/>
      <c r="M138" s="361"/>
      <c r="N138" s="361"/>
      <c r="O138" s="361"/>
      <c r="P138" s="361"/>
      <c r="Q138" s="361"/>
      <c r="R138" s="361"/>
      <c r="S138" s="361"/>
      <c r="T138" s="361"/>
      <c r="U138" s="361"/>
      <c r="V138" s="361"/>
      <c r="W138" s="361"/>
      <c r="X138" s="361"/>
      <c r="Y138" s="361"/>
    </row>
    <row r="139" spans="2:25" s="349" customFormat="1" ht="20.100000000000001" customHeight="1">
      <c r="B139" s="361"/>
      <c r="C139" s="361"/>
      <c r="D139" s="361"/>
      <c r="E139" s="361"/>
      <c r="F139" s="361"/>
      <c r="G139" s="361"/>
      <c r="H139" s="361"/>
      <c r="I139" s="361"/>
      <c r="J139" s="361"/>
      <c r="K139" s="361"/>
      <c r="L139" s="361"/>
      <c r="M139" s="361"/>
      <c r="N139" s="361"/>
      <c r="O139" s="361"/>
      <c r="P139" s="361"/>
      <c r="Q139" s="361"/>
      <c r="R139" s="361"/>
      <c r="S139" s="361"/>
      <c r="T139" s="361"/>
      <c r="U139" s="361"/>
      <c r="V139" s="361"/>
      <c r="W139" s="361"/>
      <c r="X139" s="361"/>
      <c r="Y139" s="361"/>
    </row>
    <row r="140" spans="2:25" s="349" customFormat="1" ht="20.100000000000001" customHeight="1">
      <c r="B140" s="361"/>
      <c r="C140" s="361"/>
      <c r="D140" s="361"/>
      <c r="E140" s="361"/>
      <c r="F140" s="361"/>
      <c r="G140" s="361"/>
      <c r="H140" s="361"/>
      <c r="I140" s="361"/>
      <c r="J140" s="361"/>
      <c r="K140" s="361"/>
      <c r="L140" s="361"/>
      <c r="M140" s="361"/>
      <c r="N140" s="361"/>
      <c r="O140" s="361"/>
      <c r="P140" s="361"/>
      <c r="Q140" s="361"/>
      <c r="R140" s="361"/>
      <c r="S140" s="361"/>
      <c r="T140" s="361"/>
      <c r="U140" s="361"/>
      <c r="V140" s="361"/>
      <c r="W140" s="361"/>
      <c r="X140" s="361"/>
      <c r="Y140" s="361"/>
    </row>
    <row r="141" spans="2:25" s="349" customFormat="1" ht="20.100000000000001" customHeight="1">
      <c r="B141" s="361"/>
      <c r="C141" s="361"/>
      <c r="D141" s="361"/>
      <c r="E141" s="361"/>
      <c r="F141" s="361"/>
      <c r="G141" s="361"/>
      <c r="H141" s="361"/>
      <c r="I141" s="361"/>
      <c r="J141" s="361"/>
      <c r="K141" s="361"/>
      <c r="L141" s="361"/>
      <c r="M141" s="361"/>
      <c r="N141" s="361"/>
      <c r="O141" s="361"/>
      <c r="P141" s="361"/>
      <c r="Q141" s="361"/>
      <c r="R141" s="361"/>
      <c r="S141" s="361"/>
      <c r="T141" s="361"/>
      <c r="U141" s="361"/>
      <c r="V141" s="361"/>
      <c r="W141" s="361"/>
      <c r="X141" s="361"/>
      <c r="Y141" s="361"/>
    </row>
    <row r="142" spans="2:25" s="349" customFormat="1" ht="20.100000000000001" customHeight="1">
      <c r="B142" s="361"/>
      <c r="C142" s="361"/>
      <c r="D142" s="361"/>
      <c r="E142" s="361"/>
      <c r="F142" s="361"/>
      <c r="G142" s="361"/>
      <c r="H142" s="361"/>
      <c r="I142" s="361"/>
      <c r="J142" s="361"/>
      <c r="K142" s="361"/>
      <c r="L142" s="361"/>
      <c r="M142" s="361"/>
      <c r="N142" s="361"/>
      <c r="O142" s="361"/>
      <c r="P142" s="361"/>
      <c r="Q142" s="361"/>
      <c r="R142" s="361"/>
      <c r="S142" s="361"/>
      <c r="T142" s="361"/>
      <c r="U142" s="361"/>
      <c r="V142" s="361"/>
      <c r="W142" s="361"/>
      <c r="X142" s="361"/>
      <c r="Y142" s="361"/>
    </row>
    <row r="143" spans="2:25" s="349" customFormat="1" ht="20.100000000000001" customHeight="1">
      <c r="B143" s="361"/>
      <c r="C143" s="361"/>
      <c r="D143" s="361"/>
      <c r="E143" s="361"/>
      <c r="F143" s="361"/>
      <c r="G143" s="361"/>
      <c r="H143" s="361"/>
      <c r="I143" s="361"/>
      <c r="J143" s="361"/>
      <c r="K143" s="361"/>
      <c r="L143" s="361"/>
      <c r="M143" s="361"/>
      <c r="N143" s="361"/>
      <c r="O143" s="361"/>
      <c r="P143" s="361"/>
      <c r="Q143" s="361"/>
      <c r="R143" s="361"/>
      <c r="S143" s="361"/>
      <c r="T143" s="361"/>
      <c r="U143" s="361"/>
      <c r="V143" s="361"/>
      <c r="W143" s="361"/>
      <c r="X143" s="361"/>
      <c r="Y143" s="361"/>
    </row>
    <row r="144" spans="2:25" s="349" customFormat="1" ht="20.100000000000001" customHeight="1">
      <c r="B144" s="361"/>
      <c r="C144" s="361"/>
      <c r="D144" s="361"/>
      <c r="E144" s="361"/>
      <c r="F144" s="361"/>
      <c r="G144" s="361"/>
      <c r="H144" s="361"/>
      <c r="I144" s="361"/>
      <c r="J144" s="361"/>
      <c r="K144" s="361"/>
      <c r="L144" s="361"/>
      <c r="M144" s="361"/>
      <c r="N144" s="361"/>
      <c r="O144" s="361"/>
      <c r="P144" s="361"/>
      <c r="Q144" s="361"/>
      <c r="R144" s="361"/>
      <c r="S144" s="361"/>
      <c r="T144" s="361"/>
      <c r="U144" s="361"/>
      <c r="V144" s="361"/>
      <c r="W144" s="361"/>
      <c r="X144" s="361"/>
      <c r="Y144" s="361"/>
    </row>
    <row r="145" spans="2:25" s="349" customFormat="1" ht="20.100000000000001" customHeight="1">
      <c r="B145" s="361"/>
      <c r="C145" s="361"/>
      <c r="D145" s="361"/>
      <c r="E145" s="361"/>
      <c r="F145" s="361"/>
      <c r="G145" s="361"/>
      <c r="H145" s="361"/>
      <c r="I145" s="361"/>
      <c r="J145" s="361"/>
      <c r="K145" s="361"/>
      <c r="L145" s="361"/>
      <c r="M145" s="361"/>
      <c r="N145" s="361"/>
      <c r="O145" s="361"/>
      <c r="P145" s="361"/>
      <c r="Q145" s="361"/>
      <c r="R145" s="361"/>
      <c r="S145" s="361"/>
      <c r="T145" s="361"/>
      <c r="U145" s="361"/>
      <c r="V145" s="361"/>
      <c r="W145" s="361"/>
      <c r="X145" s="361"/>
      <c r="Y145" s="361"/>
    </row>
    <row r="146" spans="2:25" s="349" customFormat="1" ht="20.100000000000001" customHeight="1">
      <c r="B146" s="361"/>
      <c r="C146" s="361"/>
      <c r="D146" s="361"/>
      <c r="E146" s="361"/>
      <c r="F146" s="361"/>
      <c r="G146" s="361"/>
      <c r="H146" s="361"/>
      <c r="I146" s="361"/>
      <c r="J146" s="361"/>
      <c r="K146" s="361"/>
      <c r="L146" s="361"/>
      <c r="M146" s="361"/>
      <c r="N146" s="361"/>
      <c r="O146" s="361"/>
      <c r="P146" s="361"/>
      <c r="Q146" s="361"/>
      <c r="R146" s="361"/>
      <c r="S146" s="361"/>
      <c r="T146" s="361"/>
      <c r="U146" s="361"/>
      <c r="V146" s="361"/>
      <c r="W146" s="361"/>
      <c r="X146" s="361"/>
      <c r="Y146" s="361"/>
    </row>
    <row r="147" spans="2:25" s="349" customFormat="1" ht="20.100000000000001" customHeight="1">
      <c r="B147" s="361"/>
      <c r="C147" s="361"/>
      <c r="D147" s="361"/>
      <c r="E147" s="361"/>
      <c r="F147" s="361"/>
      <c r="G147" s="361"/>
      <c r="H147" s="361"/>
      <c r="I147" s="361"/>
      <c r="J147" s="361"/>
      <c r="K147" s="361"/>
      <c r="L147" s="361"/>
      <c r="M147" s="361"/>
      <c r="N147" s="361"/>
      <c r="O147" s="361"/>
      <c r="P147" s="361"/>
      <c r="Q147" s="361"/>
      <c r="R147" s="361"/>
      <c r="S147" s="361"/>
      <c r="T147" s="361"/>
      <c r="U147" s="361"/>
      <c r="V147" s="361"/>
      <c r="W147" s="361"/>
      <c r="X147" s="361"/>
      <c r="Y147" s="361"/>
    </row>
    <row r="148" spans="2:25" s="349" customFormat="1" ht="20.100000000000001" customHeight="1">
      <c r="B148" s="361"/>
      <c r="C148" s="361"/>
      <c r="D148" s="361"/>
      <c r="E148" s="361"/>
      <c r="F148" s="361"/>
      <c r="G148" s="361"/>
      <c r="H148" s="361"/>
      <c r="I148" s="361"/>
      <c r="J148" s="361"/>
      <c r="K148" s="361"/>
      <c r="L148" s="361"/>
      <c r="M148" s="361"/>
      <c r="N148" s="361"/>
      <c r="O148" s="361"/>
      <c r="P148" s="361"/>
      <c r="Q148" s="361"/>
      <c r="R148" s="361"/>
      <c r="S148" s="361"/>
      <c r="T148" s="361"/>
      <c r="U148" s="361"/>
      <c r="V148" s="361"/>
      <c r="W148" s="361"/>
      <c r="X148" s="361"/>
      <c r="Y148" s="361"/>
    </row>
    <row r="149" spans="2:25" s="349" customFormat="1" ht="20.100000000000001" customHeight="1">
      <c r="B149" s="361"/>
      <c r="C149" s="361"/>
      <c r="D149" s="361"/>
      <c r="E149" s="361"/>
      <c r="F149" s="361"/>
      <c r="G149" s="361"/>
      <c r="H149" s="361"/>
      <c r="I149" s="361"/>
      <c r="J149" s="361"/>
      <c r="K149" s="361"/>
      <c r="L149" s="361"/>
      <c r="M149" s="361"/>
      <c r="N149" s="361"/>
      <c r="O149" s="361"/>
      <c r="P149" s="361"/>
      <c r="Q149" s="361"/>
      <c r="R149" s="361"/>
      <c r="S149" s="361"/>
      <c r="T149" s="361"/>
      <c r="U149" s="361"/>
      <c r="V149" s="361"/>
      <c r="W149" s="361"/>
      <c r="X149" s="361"/>
      <c r="Y149" s="361"/>
    </row>
    <row r="150" spans="2:25" s="349" customFormat="1" ht="20.100000000000001" customHeight="1">
      <c r="B150" s="361"/>
      <c r="C150" s="361"/>
      <c r="D150" s="361"/>
      <c r="E150" s="361"/>
      <c r="F150" s="361"/>
      <c r="G150" s="361"/>
      <c r="H150" s="361"/>
      <c r="I150" s="361"/>
      <c r="J150" s="361"/>
      <c r="K150" s="361"/>
      <c r="L150" s="361"/>
      <c r="M150" s="361"/>
      <c r="N150" s="361"/>
      <c r="O150" s="361"/>
      <c r="P150" s="361"/>
      <c r="Q150" s="361"/>
      <c r="R150" s="361"/>
      <c r="S150" s="361"/>
      <c r="T150" s="361"/>
      <c r="U150" s="361"/>
      <c r="V150" s="361"/>
      <c r="W150" s="361"/>
      <c r="X150" s="361"/>
      <c r="Y150" s="361"/>
    </row>
    <row r="151" spans="2:25" s="349" customFormat="1" ht="20.100000000000001" customHeight="1">
      <c r="B151" s="361"/>
      <c r="C151" s="361"/>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row>
    <row r="152" spans="2:25" s="349" customFormat="1" ht="20.100000000000001" customHeight="1">
      <c r="B152" s="361"/>
      <c r="C152" s="361"/>
      <c r="D152" s="361"/>
      <c r="E152" s="361"/>
      <c r="F152" s="361"/>
      <c r="G152" s="361"/>
      <c r="H152" s="361"/>
      <c r="I152" s="361"/>
      <c r="J152" s="361"/>
      <c r="K152" s="361"/>
      <c r="L152" s="361"/>
      <c r="M152" s="361"/>
      <c r="N152" s="361"/>
      <c r="O152" s="361"/>
      <c r="P152" s="361"/>
      <c r="Q152" s="361"/>
      <c r="R152" s="361"/>
      <c r="S152" s="361"/>
      <c r="T152" s="361"/>
      <c r="U152" s="361"/>
      <c r="V152" s="361"/>
      <c r="W152" s="361"/>
      <c r="X152" s="361"/>
      <c r="Y152" s="361"/>
    </row>
    <row r="153" spans="2:25" s="349" customFormat="1" ht="20.100000000000001" customHeight="1">
      <c r="B153" s="361"/>
      <c r="C153" s="361"/>
      <c r="D153" s="361"/>
      <c r="E153" s="361"/>
      <c r="F153" s="361"/>
      <c r="G153" s="361"/>
      <c r="H153" s="361"/>
      <c r="I153" s="361"/>
      <c r="J153" s="361"/>
      <c r="K153" s="361"/>
      <c r="L153" s="361"/>
      <c r="M153" s="361"/>
      <c r="N153" s="361"/>
      <c r="O153" s="361"/>
      <c r="P153" s="361"/>
      <c r="Q153" s="361"/>
      <c r="R153" s="361"/>
      <c r="S153" s="361"/>
      <c r="T153" s="361"/>
      <c r="U153" s="361"/>
      <c r="V153" s="361"/>
      <c r="W153" s="361"/>
      <c r="X153" s="361"/>
      <c r="Y153" s="361"/>
    </row>
    <row r="154" spans="2:25" s="349" customFormat="1" ht="20.100000000000001" customHeight="1">
      <c r="B154" s="361"/>
      <c r="C154" s="361"/>
      <c r="D154" s="361"/>
      <c r="E154" s="361"/>
      <c r="F154" s="361"/>
      <c r="G154" s="361"/>
      <c r="H154" s="361"/>
      <c r="I154" s="361"/>
      <c r="J154" s="361"/>
      <c r="K154" s="361"/>
      <c r="L154" s="361"/>
      <c r="M154" s="361"/>
      <c r="N154" s="361"/>
      <c r="O154" s="361"/>
      <c r="P154" s="361"/>
      <c r="Q154" s="361"/>
      <c r="R154" s="361"/>
      <c r="S154" s="361"/>
      <c r="T154" s="361"/>
      <c r="U154" s="361"/>
      <c r="V154" s="361"/>
      <c r="W154" s="361"/>
      <c r="X154" s="361"/>
      <c r="Y154" s="361"/>
    </row>
    <row r="155" spans="2:25" s="349" customFormat="1" ht="20.100000000000001" customHeight="1">
      <c r="B155" s="361"/>
      <c r="C155" s="361"/>
      <c r="D155" s="361"/>
      <c r="E155" s="361"/>
      <c r="F155" s="361"/>
      <c r="G155" s="361"/>
      <c r="H155" s="361"/>
      <c r="I155" s="361"/>
      <c r="J155" s="361"/>
      <c r="K155" s="361"/>
      <c r="L155" s="361"/>
      <c r="M155" s="361"/>
      <c r="N155" s="361"/>
      <c r="O155" s="361"/>
      <c r="P155" s="361"/>
      <c r="Q155" s="361"/>
      <c r="R155" s="361"/>
      <c r="S155" s="361"/>
      <c r="T155" s="361"/>
      <c r="U155" s="361"/>
      <c r="V155" s="361"/>
      <c r="W155" s="361"/>
      <c r="X155" s="361"/>
      <c r="Y155" s="361"/>
    </row>
    <row r="156" spans="2:25" s="349" customFormat="1" ht="20.100000000000001" customHeight="1">
      <c r="B156" s="361"/>
      <c r="C156" s="361"/>
      <c r="D156" s="361"/>
      <c r="E156" s="361"/>
      <c r="F156" s="361"/>
      <c r="G156" s="361"/>
      <c r="H156" s="361"/>
      <c r="I156" s="361"/>
      <c r="J156" s="361"/>
      <c r="K156" s="361"/>
      <c r="L156" s="361"/>
      <c r="M156" s="361"/>
      <c r="N156" s="361"/>
      <c r="O156" s="361"/>
      <c r="P156" s="361"/>
      <c r="Q156" s="361"/>
      <c r="R156" s="361"/>
      <c r="S156" s="361"/>
      <c r="T156" s="361"/>
      <c r="U156" s="361"/>
      <c r="V156" s="361"/>
      <c r="W156" s="361"/>
      <c r="X156" s="361"/>
      <c r="Y156" s="361"/>
    </row>
    <row r="157" spans="2:25" s="349" customFormat="1" ht="20.100000000000001" customHeight="1">
      <c r="B157" s="361"/>
      <c r="C157" s="361"/>
      <c r="D157" s="361"/>
      <c r="E157" s="361"/>
      <c r="F157" s="361"/>
      <c r="G157" s="361"/>
      <c r="H157" s="361"/>
      <c r="I157" s="361"/>
      <c r="J157" s="361"/>
      <c r="K157" s="361"/>
      <c r="L157" s="361"/>
      <c r="M157" s="361"/>
      <c r="N157" s="361"/>
      <c r="O157" s="361"/>
      <c r="P157" s="361"/>
      <c r="Q157" s="361"/>
      <c r="R157" s="361"/>
      <c r="S157" s="361"/>
      <c r="T157" s="361"/>
      <c r="U157" s="361"/>
      <c r="V157" s="361"/>
      <c r="W157" s="361"/>
      <c r="X157" s="361"/>
      <c r="Y157" s="361"/>
    </row>
    <row r="158" spans="2:25" s="349" customFormat="1" ht="20.100000000000001" customHeight="1">
      <c r="B158" s="361"/>
      <c r="C158" s="361"/>
      <c r="D158" s="361"/>
      <c r="E158" s="361"/>
      <c r="F158" s="361"/>
      <c r="G158" s="361"/>
      <c r="H158" s="361"/>
      <c r="I158" s="361"/>
      <c r="J158" s="361"/>
      <c r="K158" s="361"/>
      <c r="L158" s="361"/>
      <c r="M158" s="361"/>
      <c r="N158" s="361"/>
      <c r="O158" s="361"/>
      <c r="P158" s="361"/>
      <c r="Q158" s="361"/>
      <c r="R158" s="361"/>
      <c r="S158" s="361"/>
      <c r="T158" s="361"/>
      <c r="U158" s="361"/>
      <c r="V158" s="361"/>
      <c r="W158" s="361"/>
      <c r="X158" s="361"/>
      <c r="Y158" s="361"/>
    </row>
    <row r="159" spans="2:25" s="349" customFormat="1" ht="20.100000000000001" customHeight="1">
      <c r="B159" s="361"/>
      <c r="C159" s="361"/>
      <c r="D159" s="361"/>
      <c r="E159" s="361"/>
      <c r="F159" s="361"/>
      <c r="G159" s="361"/>
      <c r="H159" s="361"/>
      <c r="I159" s="361"/>
      <c r="J159" s="361"/>
      <c r="K159" s="361"/>
      <c r="L159" s="361"/>
      <c r="M159" s="361"/>
      <c r="N159" s="361"/>
      <c r="O159" s="361"/>
      <c r="P159" s="361"/>
      <c r="Q159" s="361"/>
      <c r="R159" s="361"/>
      <c r="S159" s="361"/>
      <c r="T159" s="361"/>
      <c r="U159" s="361"/>
      <c r="V159" s="361"/>
      <c r="W159" s="361"/>
      <c r="X159" s="361"/>
      <c r="Y159" s="361"/>
    </row>
    <row r="160" spans="2:25" s="349" customFormat="1" ht="20.100000000000001" customHeight="1">
      <c r="B160" s="361"/>
      <c r="C160" s="361"/>
      <c r="D160" s="361"/>
      <c r="E160" s="361"/>
      <c r="F160" s="361"/>
      <c r="G160" s="361"/>
      <c r="H160" s="361"/>
      <c r="I160" s="361"/>
      <c r="J160" s="361"/>
      <c r="K160" s="361"/>
      <c r="L160" s="361"/>
      <c r="M160" s="361"/>
      <c r="N160" s="361"/>
      <c r="O160" s="361"/>
      <c r="P160" s="361"/>
      <c r="Q160" s="361"/>
      <c r="R160" s="361"/>
      <c r="S160" s="361"/>
      <c r="T160" s="361"/>
      <c r="U160" s="361"/>
      <c r="V160" s="361"/>
      <c r="W160" s="361"/>
      <c r="X160" s="361"/>
      <c r="Y160" s="361"/>
    </row>
    <row r="161" spans="2:25" s="349" customFormat="1" ht="20.100000000000001" customHeight="1">
      <c r="B161" s="361"/>
      <c r="C161" s="361"/>
      <c r="D161" s="361"/>
      <c r="E161" s="361"/>
      <c r="F161" s="361"/>
      <c r="G161" s="361"/>
      <c r="H161" s="361"/>
      <c r="I161" s="361"/>
      <c r="J161" s="361"/>
      <c r="K161" s="361"/>
      <c r="L161" s="361"/>
      <c r="M161" s="361"/>
      <c r="N161" s="361"/>
      <c r="O161" s="361"/>
      <c r="P161" s="361"/>
      <c r="Q161" s="361"/>
      <c r="R161" s="361"/>
      <c r="S161" s="361"/>
      <c r="T161" s="361"/>
      <c r="U161" s="361"/>
      <c r="V161" s="361"/>
      <c r="W161" s="361"/>
      <c r="X161" s="361"/>
      <c r="Y161" s="361"/>
    </row>
    <row r="162" spans="2:25" s="349" customFormat="1" ht="20.100000000000001" customHeight="1">
      <c r="B162" s="361"/>
      <c r="C162" s="361"/>
      <c r="D162" s="361"/>
      <c r="E162" s="361"/>
      <c r="F162" s="361"/>
      <c r="G162" s="361"/>
      <c r="H162" s="361"/>
      <c r="I162" s="361"/>
      <c r="J162" s="361"/>
      <c r="K162" s="361"/>
      <c r="L162" s="361"/>
      <c r="M162" s="361"/>
      <c r="N162" s="361"/>
      <c r="O162" s="361"/>
      <c r="P162" s="361"/>
      <c r="Q162" s="361"/>
      <c r="R162" s="361"/>
      <c r="S162" s="361"/>
      <c r="T162" s="361"/>
      <c r="U162" s="361"/>
      <c r="V162" s="361"/>
      <c r="W162" s="361"/>
      <c r="X162" s="361"/>
      <c r="Y162" s="361"/>
    </row>
    <row r="163" spans="2:25" s="349" customFormat="1" ht="20.100000000000001" customHeight="1">
      <c r="B163" s="361"/>
      <c r="C163" s="361"/>
      <c r="D163" s="361"/>
      <c r="E163" s="361"/>
      <c r="F163" s="361"/>
      <c r="G163" s="361"/>
      <c r="H163" s="361"/>
      <c r="I163" s="361"/>
      <c r="J163" s="361"/>
      <c r="K163" s="361"/>
      <c r="L163" s="361"/>
      <c r="M163" s="361"/>
      <c r="N163" s="361"/>
      <c r="O163" s="361"/>
      <c r="P163" s="361"/>
      <c r="Q163" s="361"/>
      <c r="R163" s="361"/>
      <c r="S163" s="361"/>
      <c r="T163" s="361"/>
      <c r="U163" s="361"/>
      <c r="V163" s="361"/>
      <c r="W163" s="361"/>
      <c r="X163" s="361"/>
      <c r="Y163" s="361"/>
    </row>
    <row r="164" spans="2:25" s="349" customFormat="1" ht="20.100000000000001" customHeight="1">
      <c r="B164" s="361"/>
      <c r="C164" s="361"/>
      <c r="D164" s="361"/>
      <c r="E164" s="361"/>
      <c r="F164" s="361"/>
      <c r="G164" s="361"/>
      <c r="H164" s="361"/>
      <c r="I164" s="361"/>
      <c r="J164" s="361"/>
      <c r="K164" s="361"/>
      <c r="L164" s="361"/>
      <c r="M164" s="361"/>
      <c r="N164" s="361"/>
      <c r="O164" s="361"/>
      <c r="P164" s="361"/>
      <c r="Q164" s="361"/>
      <c r="R164" s="361"/>
      <c r="S164" s="361"/>
      <c r="T164" s="361"/>
      <c r="U164" s="361"/>
      <c r="V164" s="361"/>
      <c r="W164" s="361"/>
      <c r="X164" s="361"/>
      <c r="Y164" s="361"/>
    </row>
    <row r="165" spans="2:25" s="349" customFormat="1" ht="20.100000000000001" customHeight="1">
      <c r="B165" s="361"/>
      <c r="C165" s="361"/>
      <c r="D165" s="361"/>
      <c r="E165" s="361"/>
      <c r="F165" s="361"/>
      <c r="G165" s="361"/>
      <c r="H165" s="361"/>
      <c r="I165" s="361"/>
      <c r="J165" s="361"/>
      <c r="K165" s="361"/>
      <c r="L165" s="361"/>
      <c r="M165" s="361"/>
      <c r="N165" s="361"/>
      <c r="O165" s="361"/>
      <c r="P165" s="361"/>
      <c r="Q165" s="361"/>
      <c r="R165" s="361"/>
      <c r="S165" s="361"/>
      <c r="T165" s="361"/>
      <c r="U165" s="361"/>
      <c r="V165" s="361"/>
      <c r="W165" s="361"/>
      <c r="X165" s="361"/>
      <c r="Y165" s="361"/>
    </row>
    <row r="166" spans="2:25" s="349" customFormat="1" ht="20.100000000000001" customHeight="1">
      <c r="B166" s="361"/>
      <c r="C166" s="361"/>
      <c r="D166" s="361"/>
      <c r="E166" s="361"/>
      <c r="F166" s="361"/>
      <c r="G166" s="361"/>
      <c r="H166" s="361"/>
      <c r="I166" s="361"/>
      <c r="J166" s="361"/>
      <c r="K166" s="361"/>
      <c r="L166" s="361"/>
      <c r="M166" s="361"/>
      <c r="N166" s="361"/>
      <c r="O166" s="361"/>
      <c r="P166" s="361"/>
      <c r="Q166" s="361"/>
      <c r="R166" s="361"/>
      <c r="S166" s="361"/>
      <c r="T166" s="361"/>
      <c r="U166" s="361"/>
      <c r="V166" s="361"/>
      <c r="W166" s="361"/>
      <c r="X166" s="361"/>
      <c r="Y166" s="361"/>
    </row>
    <row r="167" spans="2:25" s="349" customFormat="1" ht="20.100000000000001" customHeight="1">
      <c r="B167" s="361"/>
      <c r="C167" s="361"/>
      <c r="D167" s="361"/>
      <c r="E167" s="361"/>
      <c r="F167" s="361"/>
      <c r="G167" s="361"/>
      <c r="H167" s="361"/>
      <c r="I167" s="361"/>
      <c r="J167" s="361"/>
      <c r="K167" s="361"/>
      <c r="L167" s="361"/>
      <c r="M167" s="361"/>
      <c r="N167" s="361"/>
      <c r="O167" s="361"/>
      <c r="P167" s="361"/>
      <c r="Q167" s="361"/>
      <c r="R167" s="361"/>
      <c r="S167" s="361"/>
      <c r="T167" s="361"/>
      <c r="U167" s="361"/>
      <c r="V167" s="361"/>
      <c r="W167" s="361"/>
      <c r="X167" s="361"/>
      <c r="Y167" s="361"/>
    </row>
    <row r="168" spans="2:25" s="349" customFormat="1" ht="20.100000000000001" customHeight="1">
      <c r="B168" s="361"/>
      <c r="C168" s="361"/>
      <c r="D168" s="361"/>
      <c r="E168" s="361"/>
      <c r="F168" s="361"/>
      <c r="G168" s="361"/>
      <c r="H168" s="361"/>
      <c r="I168" s="361"/>
      <c r="J168" s="361"/>
      <c r="K168" s="361"/>
      <c r="L168" s="361"/>
      <c r="M168" s="361"/>
      <c r="N168" s="361"/>
      <c r="O168" s="361"/>
      <c r="P168" s="361"/>
      <c r="Q168" s="361"/>
      <c r="R168" s="361"/>
      <c r="S168" s="361"/>
      <c r="T168" s="361"/>
      <c r="U168" s="361"/>
      <c r="V168" s="361"/>
      <c r="W168" s="361"/>
      <c r="X168" s="361"/>
      <c r="Y168" s="361"/>
    </row>
    <row r="169" spans="2:25" s="349" customFormat="1" ht="20.100000000000001" customHeight="1">
      <c r="B169" s="361"/>
      <c r="C169" s="361"/>
      <c r="D169" s="361"/>
      <c r="E169" s="361"/>
      <c r="F169" s="361"/>
      <c r="G169" s="361"/>
      <c r="H169" s="361"/>
      <c r="I169" s="361"/>
      <c r="J169" s="361"/>
      <c r="K169" s="361"/>
      <c r="L169" s="361"/>
      <c r="M169" s="361"/>
      <c r="N169" s="361"/>
      <c r="O169" s="361"/>
      <c r="P169" s="361"/>
      <c r="Q169" s="361"/>
      <c r="R169" s="361"/>
      <c r="S169" s="361"/>
      <c r="T169" s="361"/>
      <c r="U169" s="361"/>
      <c r="V169" s="361"/>
      <c r="W169" s="361"/>
      <c r="X169" s="361"/>
      <c r="Y169" s="361"/>
    </row>
    <row r="170" spans="2:25" s="349" customFormat="1" ht="20.100000000000001" customHeight="1">
      <c r="B170" s="361"/>
      <c r="C170" s="361"/>
      <c r="D170" s="361"/>
      <c r="E170" s="361"/>
      <c r="F170" s="361"/>
      <c r="G170" s="361"/>
      <c r="H170" s="361"/>
      <c r="I170" s="361"/>
      <c r="J170" s="361"/>
      <c r="K170" s="361"/>
      <c r="L170" s="361"/>
      <c r="M170" s="361"/>
      <c r="N170" s="361"/>
      <c r="O170" s="361"/>
      <c r="P170" s="361"/>
      <c r="Q170" s="361"/>
      <c r="R170" s="361"/>
      <c r="S170" s="361"/>
      <c r="T170" s="361"/>
      <c r="U170" s="361"/>
      <c r="V170" s="361"/>
      <c r="W170" s="361"/>
      <c r="X170" s="361"/>
      <c r="Y170" s="361"/>
    </row>
    <row r="171" spans="2:25" s="349" customFormat="1" ht="20.100000000000001" customHeight="1">
      <c r="B171" s="361"/>
      <c r="C171" s="361"/>
      <c r="D171" s="361"/>
      <c r="E171" s="361"/>
      <c r="F171" s="361"/>
      <c r="G171" s="361"/>
      <c r="H171" s="361"/>
      <c r="I171" s="361"/>
      <c r="J171" s="361"/>
      <c r="K171" s="361"/>
      <c r="L171" s="361"/>
      <c r="M171" s="361"/>
      <c r="N171" s="361"/>
      <c r="O171" s="361"/>
      <c r="P171" s="361"/>
      <c r="Q171" s="361"/>
      <c r="R171" s="361"/>
      <c r="S171" s="361"/>
      <c r="T171" s="361"/>
      <c r="U171" s="361"/>
      <c r="V171" s="361"/>
      <c r="W171" s="361"/>
      <c r="X171" s="361"/>
      <c r="Y171" s="361"/>
    </row>
    <row r="172" spans="2:25" s="349" customFormat="1" ht="20.100000000000001" customHeight="1">
      <c r="B172" s="361"/>
      <c r="C172" s="361"/>
      <c r="D172" s="361"/>
      <c r="E172" s="361"/>
      <c r="F172" s="361"/>
      <c r="G172" s="361"/>
      <c r="H172" s="361"/>
      <c r="I172" s="361"/>
      <c r="J172" s="361"/>
      <c r="K172" s="361"/>
      <c r="L172" s="361"/>
      <c r="M172" s="361"/>
      <c r="N172" s="361"/>
      <c r="O172" s="361"/>
      <c r="P172" s="361"/>
      <c r="Q172" s="361"/>
      <c r="R172" s="361"/>
      <c r="S172" s="361"/>
      <c r="T172" s="361"/>
      <c r="U172" s="361"/>
      <c r="V172" s="361"/>
      <c r="W172" s="361"/>
      <c r="X172" s="361"/>
      <c r="Y172" s="361"/>
    </row>
    <row r="173" spans="2:25" s="349" customFormat="1" ht="20.100000000000001" customHeight="1">
      <c r="B173" s="361"/>
      <c r="C173" s="361"/>
      <c r="D173" s="361"/>
      <c r="E173" s="361"/>
      <c r="F173" s="361"/>
      <c r="G173" s="361"/>
      <c r="H173" s="361"/>
      <c r="I173" s="361"/>
      <c r="J173" s="361"/>
      <c r="K173" s="361"/>
      <c r="L173" s="361"/>
      <c r="M173" s="361"/>
      <c r="N173" s="361"/>
      <c r="O173" s="361"/>
      <c r="P173" s="361"/>
      <c r="Q173" s="361"/>
      <c r="R173" s="361"/>
      <c r="S173" s="361"/>
      <c r="T173" s="361"/>
      <c r="U173" s="361"/>
      <c r="V173" s="361"/>
      <c r="W173" s="361"/>
      <c r="X173" s="361"/>
      <c r="Y173" s="361"/>
    </row>
    <row r="174" spans="2:25" ht="20.100000000000001" customHeight="1"/>
    <row r="175" spans="2:25" ht="9.9499999999999993" customHeight="1"/>
    <row r="176" spans="2:25" ht="20.100000000000001" customHeight="1"/>
    <row r="177" spans="2:25" ht="20.100000000000001" customHeight="1"/>
    <row r="178" spans="2:25" ht="20.100000000000001" customHeight="1"/>
    <row r="179" spans="2:25" ht="20.100000000000001" customHeight="1"/>
    <row r="180" spans="2:25" s="349" customFormat="1" ht="20.100000000000001" customHeight="1">
      <c r="B180" s="361"/>
      <c r="C180" s="361"/>
      <c r="D180" s="361"/>
      <c r="E180" s="361"/>
      <c r="F180" s="361"/>
      <c r="G180" s="361"/>
      <c r="H180" s="361"/>
      <c r="I180" s="361"/>
      <c r="J180" s="361"/>
      <c r="K180" s="361"/>
      <c r="L180" s="361"/>
      <c r="M180" s="361"/>
      <c r="N180" s="361"/>
      <c r="O180" s="361"/>
      <c r="P180" s="361"/>
      <c r="Q180" s="361"/>
      <c r="R180" s="361"/>
      <c r="S180" s="361"/>
      <c r="T180" s="361"/>
      <c r="U180" s="361"/>
      <c r="V180" s="361"/>
      <c r="W180" s="361"/>
      <c r="X180" s="361"/>
      <c r="Y180" s="361"/>
    </row>
    <row r="181" spans="2:25" s="349" customFormat="1" ht="20.100000000000001" customHeight="1">
      <c r="B181" s="361"/>
      <c r="C181" s="361"/>
      <c r="D181" s="361"/>
      <c r="E181" s="361"/>
      <c r="F181" s="361"/>
      <c r="G181" s="361"/>
      <c r="H181" s="361"/>
      <c r="I181" s="361"/>
      <c r="J181" s="361"/>
      <c r="K181" s="361"/>
      <c r="L181" s="361"/>
      <c r="M181" s="361"/>
      <c r="N181" s="361"/>
      <c r="O181" s="361"/>
      <c r="P181" s="361"/>
      <c r="Q181" s="361"/>
      <c r="R181" s="361"/>
      <c r="S181" s="361"/>
      <c r="T181" s="361"/>
      <c r="U181" s="361"/>
      <c r="V181" s="361"/>
      <c r="W181" s="361"/>
      <c r="X181" s="361"/>
      <c r="Y181" s="361"/>
    </row>
    <row r="182" spans="2:25" s="349" customFormat="1" ht="20.100000000000001" customHeight="1">
      <c r="B182" s="361"/>
      <c r="C182" s="361"/>
      <c r="D182" s="361"/>
      <c r="E182" s="361"/>
      <c r="F182" s="361"/>
      <c r="G182" s="361"/>
      <c r="H182" s="361"/>
      <c r="I182" s="361"/>
      <c r="J182" s="361"/>
      <c r="K182" s="361"/>
      <c r="L182" s="361"/>
      <c r="M182" s="361"/>
      <c r="N182" s="361"/>
      <c r="O182" s="361"/>
      <c r="P182" s="361"/>
      <c r="Q182" s="361"/>
      <c r="R182" s="361"/>
      <c r="S182" s="361"/>
      <c r="T182" s="361"/>
      <c r="U182" s="361"/>
      <c r="V182" s="361"/>
      <c r="W182" s="361"/>
      <c r="X182" s="361"/>
      <c r="Y182" s="361"/>
    </row>
    <row r="183" spans="2:25" s="349" customFormat="1" ht="20.100000000000001" customHeight="1">
      <c r="B183" s="361"/>
      <c r="C183" s="361"/>
      <c r="D183" s="361"/>
      <c r="E183" s="361"/>
      <c r="F183" s="361"/>
      <c r="G183" s="361"/>
      <c r="H183" s="361"/>
      <c r="I183" s="361"/>
      <c r="J183" s="361"/>
      <c r="K183" s="361"/>
      <c r="L183" s="361"/>
      <c r="M183" s="361"/>
      <c r="N183" s="361"/>
      <c r="O183" s="361"/>
      <c r="P183" s="361"/>
      <c r="Q183" s="361"/>
      <c r="R183" s="361"/>
      <c r="S183" s="361"/>
      <c r="T183" s="361"/>
      <c r="U183" s="361"/>
      <c r="V183" s="361"/>
      <c r="W183" s="361"/>
      <c r="X183" s="361"/>
      <c r="Y183" s="361"/>
    </row>
    <row r="184" spans="2:25" s="349" customFormat="1" ht="20.100000000000001" customHeight="1">
      <c r="B184" s="361"/>
      <c r="C184" s="361"/>
      <c r="D184" s="361"/>
      <c r="E184" s="361"/>
      <c r="F184" s="361"/>
      <c r="G184" s="361"/>
      <c r="H184" s="361"/>
      <c r="I184" s="361"/>
      <c r="J184" s="361"/>
      <c r="K184" s="361"/>
      <c r="L184" s="361"/>
      <c r="M184" s="361"/>
      <c r="N184" s="361"/>
      <c r="O184" s="361"/>
      <c r="P184" s="361"/>
      <c r="Q184" s="361"/>
      <c r="R184" s="361"/>
      <c r="S184" s="361"/>
      <c r="T184" s="361"/>
      <c r="U184" s="361"/>
      <c r="V184" s="361"/>
      <c r="W184" s="361"/>
      <c r="X184" s="361"/>
      <c r="Y184" s="361"/>
    </row>
    <row r="185" spans="2:25" s="349" customFormat="1" ht="20.100000000000001" customHeight="1">
      <c r="B185" s="361"/>
      <c r="C185" s="361"/>
      <c r="D185" s="361"/>
      <c r="E185" s="361"/>
      <c r="F185" s="361"/>
      <c r="G185" s="361"/>
      <c r="H185" s="361"/>
      <c r="I185" s="361"/>
      <c r="J185" s="361"/>
      <c r="K185" s="361"/>
      <c r="L185" s="361"/>
      <c r="M185" s="361"/>
      <c r="N185" s="361"/>
      <c r="O185" s="361"/>
      <c r="P185" s="361"/>
      <c r="Q185" s="361"/>
      <c r="R185" s="361"/>
      <c r="S185" s="361"/>
      <c r="T185" s="361"/>
      <c r="U185" s="361"/>
      <c r="V185" s="361"/>
      <c r="W185" s="361"/>
      <c r="X185" s="361"/>
      <c r="Y185" s="361"/>
    </row>
    <row r="186" spans="2:25" s="349" customFormat="1" ht="20.100000000000001" customHeight="1">
      <c r="B186" s="361"/>
      <c r="C186" s="361"/>
      <c r="D186" s="361"/>
      <c r="E186" s="361"/>
      <c r="F186" s="361"/>
      <c r="G186" s="361"/>
      <c r="H186" s="361"/>
      <c r="I186" s="361"/>
      <c r="J186" s="361"/>
      <c r="K186" s="361"/>
      <c r="L186" s="361"/>
      <c r="M186" s="361"/>
      <c r="N186" s="361"/>
      <c r="O186" s="361"/>
      <c r="P186" s="361"/>
      <c r="Q186" s="361"/>
      <c r="R186" s="361"/>
      <c r="S186" s="361"/>
      <c r="T186" s="361"/>
      <c r="U186" s="361"/>
      <c r="V186" s="361"/>
      <c r="W186" s="361"/>
      <c r="X186" s="361"/>
      <c r="Y186" s="361"/>
    </row>
    <row r="187" spans="2:25" s="349" customFormat="1" ht="20.100000000000001" customHeight="1">
      <c r="B187" s="361"/>
      <c r="C187" s="361"/>
      <c r="D187" s="361"/>
      <c r="E187" s="361"/>
      <c r="F187" s="361"/>
      <c r="G187" s="361"/>
      <c r="H187" s="361"/>
      <c r="I187" s="361"/>
      <c r="J187" s="361"/>
      <c r="K187" s="361"/>
      <c r="L187" s="361"/>
      <c r="M187" s="361"/>
      <c r="N187" s="361"/>
      <c r="O187" s="361"/>
      <c r="P187" s="361"/>
      <c r="Q187" s="361"/>
      <c r="R187" s="361"/>
      <c r="S187" s="361"/>
      <c r="T187" s="361"/>
      <c r="U187" s="361"/>
      <c r="V187" s="361"/>
      <c r="W187" s="361"/>
      <c r="X187" s="361"/>
      <c r="Y187" s="361"/>
    </row>
    <row r="188" spans="2:25" s="349" customFormat="1" ht="20.100000000000001" customHeight="1">
      <c r="B188" s="361"/>
      <c r="C188" s="361"/>
      <c r="D188" s="361"/>
      <c r="E188" s="361"/>
      <c r="F188" s="361"/>
      <c r="G188" s="361"/>
      <c r="H188" s="361"/>
      <c r="I188" s="361"/>
      <c r="J188" s="361"/>
      <c r="K188" s="361"/>
      <c r="L188" s="361"/>
      <c r="M188" s="361"/>
      <c r="N188" s="361"/>
      <c r="O188" s="361"/>
      <c r="P188" s="361"/>
      <c r="Q188" s="361"/>
      <c r="R188" s="361"/>
      <c r="S188" s="361"/>
      <c r="T188" s="361"/>
      <c r="U188" s="361"/>
      <c r="V188" s="361"/>
      <c r="W188" s="361"/>
      <c r="X188" s="361"/>
      <c r="Y188" s="361"/>
    </row>
    <row r="189" spans="2:25" s="349" customFormat="1" ht="20.100000000000001" customHeight="1">
      <c r="B189" s="361"/>
      <c r="C189" s="361"/>
      <c r="D189" s="361"/>
      <c r="E189" s="361"/>
      <c r="F189" s="361"/>
      <c r="G189" s="361"/>
      <c r="H189" s="361"/>
      <c r="I189" s="361"/>
      <c r="J189" s="361"/>
      <c r="K189" s="361"/>
      <c r="L189" s="361"/>
      <c r="M189" s="361"/>
      <c r="N189" s="361"/>
      <c r="O189" s="361"/>
      <c r="P189" s="361"/>
      <c r="Q189" s="361"/>
      <c r="R189" s="361"/>
      <c r="S189" s="361"/>
      <c r="T189" s="361"/>
      <c r="U189" s="361"/>
      <c r="V189" s="361"/>
      <c r="W189" s="361"/>
      <c r="X189" s="361"/>
      <c r="Y189" s="361"/>
    </row>
    <row r="190" spans="2:25" s="349" customFormat="1" ht="20.100000000000001" customHeight="1">
      <c r="B190" s="361"/>
      <c r="C190" s="361"/>
      <c r="D190" s="361"/>
      <c r="E190" s="361"/>
      <c r="F190" s="361"/>
      <c r="G190" s="361"/>
      <c r="H190" s="361"/>
      <c r="I190" s="361"/>
      <c r="J190" s="361"/>
      <c r="K190" s="361"/>
      <c r="L190" s="361"/>
      <c r="M190" s="361"/>
      <c r="N190" s="361"/>
      <c r="O190" s="361"/>
      <c r="P190" s="361"/>
      <c r="Q190" s="361"/>
      <c r="R190" s="361"/>
      <c r="S190" s="361"/>
      <c r="T190" s="361"/>
      <c r="U190" s="361"/>
      <c r="V190" s="361"/>
      <c r="W190" s="361"/>
      <c r="X190" s="361"/>
      <c r="Y190" s="361"/>
    </row>
    <row r="191" spans="2:25" s="349" customFormat="1" ht="20.100000000000001" customHeight="1">
      <c r="B191" s="361"/>
      <c r="C191" s="361"/>
      <c r="D191" s="361"/>
      <c r="E191" s="361"/>
      <c r="F191" s="361"/>
      <c r="G191" s="361"/>
      <c r="H191" s="361"/>
      <c r="I191" s="361"/>
      <c r="J191" s="361"/>
      <c r="K191" s="361"/>
      <c r="L191" s="361"/>
      <c r="M191" s="361"/>
      <c r="N191" s="361"/>
      <c r="O191" s="361"/>
      <c r="P191" s="361"/>
      <c r="Q191" s="361"/>
      <c r="R191" s="361"/>
      <c r="S191" s="361"/>
      <c r="T191" s="361"/>
      <c r="U191" s="361"/>
      <c r="V191" s="361"/>
      <c r="W191" s="361"/>
      <c r="X191" s="361"/>
      <c r="Y191" s="361"/>
    </row>
    <row r="192" spans="2:25" s="349" customFormat="1" ht="20.100000000000001" customHeight="1">
      <c r="B192" s="361"/>
      <c r="C192" s="361"/>
      <c r="D192" s="361"/>
      <c r="E192" s="361"/>
      <c r="F192" s="361"/>
      <c r="G192" s="361"/>
      <c r="H192" s="361"/>
      <c r="I192" s="361"/>
      <c r="J192" s="361"/>
      <c r="K192" s="361"/>
      <c r="L192" s="361"/>
      <c r="M192" s="361"/>
      <c r="N192" s="361"/>
      <c r="O192" s="361"/>
      <c r="P192" s="361"/>
      <c r="Q192" s="361"/>
      <c r="R192" s="361"/>
      <c r="S192" s="361"/>
      <c r="T192" s="361"/>
      <c r="U192" s="361"/>
      <c r="V192" s="361"/>
      <c r="W192" s="361"/>
      <c r="X192" s="361"/>
      <c r="Y192" s="361"/>
    </row>
    <row r="193" spans="2:25" s="349" customFormat="1" ht="20.100000000000001" customHeight="1">
      <c r="B193" s="361"/>
      <c r="C193" s="361"/>
      <c r="D193" s="361"/>
      <c r="E193" s="361"/>
      <c r="F193" s="361"/>
      <c r="G193" s="361"/>
      <c r="H193" s="361"/>
      <c r="I193" s="361"/>
      <c r="J193" s="361"/>
      <c r="K193" s="361"/>
      <c r="L193" s="361"/>
      <c r="M193" s="361"/>
      <c r="N193" s="361"/>
      <c r="O193" s="361"/>
      <c r="P193" s="361"/>
      <c r="Q193" s="361"/>
      <c r="R193" s="361"/>
      <c r="S193" s="361"/>
      <c r="T193" s="361"/>
      <c r="U193" s="361"/>
      <c r="V193" s="361"/>
      <c r="W193" s="361"/>
      <c r="X193" s="361"/>
      <c r="Y193" s="361"/>
    </row>
    <row r="194" spans="2:25" s="349" customFormat="1" ht="20.100000000000001" customHeight="1">
      <c r="B194" s="361"/>
      <c r="C194" s="361"/>
      <c r="D194" s="361"/>
      <c r="E194" s="361"/>
      <c r="F194" s="361"/>
      <c r="G194" s="361"/>
      <c r="H194" s="361"/>
      <c r="I194" s="361"/>
      <c r="J194" s="361"/>
      <c r="K194" s="361"/>
      <c r="L194" s="361"/>
      <c r="M194" s="361"/>
      <c r="N194" s="361"/>
      <c r="O194" s="361"/>
      <c r="P194" s="361"/>
      <c r="Q194" s="361"/>
      <c r="R194" s="361"/>
      <c r="S194" s="361"/>
      <c r="T194" s="361"/>
      <c r="U194" s="361"/>
      <c r="V194" s="361"/>
      <c r="W194" s="361"/>
      <c r="X194" s="361"/>
      <c r="Y194" s="361"/>
    </row>
    <row r="195" spans="2:25" s="349" customFormat="1" ht="20.100000000000001" customHeight="1">
      <c r="B195" s="361"/>
      <c r="C195" s="361"/>
      <c r="D195" s="361"/>
      <c r="E195" s="361"/>
      <c r="F195" s="361"/>
      <c r="G195" s="361"/>
      <c r="H195" s="361"/>
      <c r="I195" s="361"/>
      <c r="J195" s="361"/>
      <c r="K195" s="361"/>
      <c r="L195" s="361"/>
      <c r="M195" s="361"/>
      <c r="N195" s="361"/>
      <c r="O195" s="361"/>
      <c r="P195" s="361"/>
      <c r="Q195" s="361"/>
      <c r="R195" s="361"/>
      <c r="S195" s="361"/>
      <c r="T195" s="361"/>
      <c r="U195" s="361"/>
      <c r="V195" s="361"/>
      <c r="W195" s="361"/>
      <c r="X195" s="361"/>
      <c r="Y195" s="361"/>
    </row>
    <row r="196" spans="2:25" s="349" customFormat="1" ht="19.899999999999999" customHeight="1">
      <c r="B196" s="361"/>
      <c r="C196" s="361"/>
      <c r="D196" s="361"/>
      <c r="E196" s="361"/>
      <c r="F196" s="361"/>
      <c r="G196" s="361"/>
      <c r="H196" s="361"/>
      <c r="I196" s="361"/>
      <c r="J196" s="361"/>
      <c r="K196" s="361"/>
      <c r="L196" s="361"/>
      <c r="M196" s="361"/>
      <c r="N196" s="361"/>
      <c r="O196" s="361"/>
      <c r="P196" s="361"/>
      <c r="Q196" s="361"/>
      <c r="R196" s="361"/>
      <c r="S196" s="361"/>
      <c r="T196" s="361"/>
      <c r="U196" s="361"/>
      <c r="V196" s="361"/>
      <c r="W196" s="361"/>
      <c r="X196" s="361"/>
      <c r="Y196" s="361"/>
    </row>
    <row r="197" spans="2:25" s="349" customFormat="1" ht="20.100000000000001" customHeight="1">
      <c r="B197" s="361"/>
      <c r="C197" s="361"/>
      <c r="D197" s="361"/>
      <c r="E197" s="361"/>
      <c r="F197" s="361"/>
      <c r="G197" s="361"/>
      <c r="H197" s="361"/>
      <c r="I197" s="361"/>
      <c r="J197" s="361"/>
      <c r="K197" s="361"/>
      <c r="L197" s="361"/>
      <c r="M197" s="361"/>
      <c r="N197" s="361"/>
      <c r="O197" s="361"/>
      <c r="P197" s="361"/>
      <c r="Q197" s="361"/>
      <c r="R197" s="361"/>
      <c r="S197" s="361"/>
      <c r="T197" s="361"/>
      <c r="U197" s="361"/>
      <c r="V197" s="361"/>
      <c r="W197" s="361"/>
      <c r="X197" s="361"/>
      <c r="Y197" s="361"/>
    </row>
    <row r="198" spans="2:25" s="349" customFormat="1" ht="20.100000000000001" customHeight="1">
      <c r="B198" s="361"/>
      <c r="C198" s="361"/>
      <c r="D198" s="361"/>
      <c r="E198" s="361"/>
      <c r="F198" s="361"/>
      <c r="G198" s="361"/>
      <c r="H198" s="361"/>
      <c r="I198" s="361"/>
      <c r="J198" s="361"/>
      <c r="K198" s="361"/>
      <c r="L198" s="361"/>
      <c r="M198" s="361"/>
      <c r="N198" s="361"/>
      <c r="O198" s="361"/>
      <c r="P198" s="361"/>
      <c r="Q198" s="361"/>
      <c r="R198" s="361"/>
      <c r="S198" s="361"/>
      <c r="T198" s="361"/>
      <c r="U198" s="361"/>
      <c r="V198" s="361"/>
      <c r="W198" s="361"/>
      <c r="X198" s="361"/>
      <c r="Y198" s="361"/>
    </row>
    <row r="199" spans="2:25" s="349" customFormat="1" ht="20.100000000000001" customHeight="1">
      <c r="B199" s="361"/>
      <c r="C199" s="361"/>
      <c r="D199" s="361"/>
      <c r="E199" s="361"/>
      <c r="F199" s="361"/>
      <c r="G199" s="361"/>
      <c r="H199" s="361"/>
      <c r="I199" s="361"/>
      <c r="J199" s="361"/>
      <c r="K199" s="361"/>
      <c r="L199" s="361"/>
      <c r="M199" s="361"/>
      <c r="N199" s="361"/>
      <c r="O199" s="361"/>
      <c r="P199" s="361"/>
      <c r="Q199" s="361"/>
      <c r="R199" s="361"/>
      <c r="S199" s="361"/>
      <c r="T199" s="361"/>
      <c r="U199" s="361"/>
      <c r="V199" s="361"/>
      <c r="W199" s="361"/>
      <c r="X199" s="361"/>
      <c r="Y199" s="361"/>
    </row>
    <row r="200" spans="2:25" s="349" customFormat="1" ht="20.100000000000001" customHeight="1">
      <c r="B200" s="361"/>
      <c r="C200" s="361"/>
      <c r="D200" s="361"/>
      <c r="E200" s="361"/>
      <c r="F200" s="361"/>
      <c r="G200" s="361"/>
      <c r="H200" s="361"/>
      <c r="I200" s="361"/>
      <c r="J200" s="361"/>
      <c r="K200" s="361"/>
      <c r="L200" s="361"/>
      <c r="M200" s="361"/>
      <c r="N200" s="361"/>
      <c r="O200" s="361"/>
      <c r="P200" s="361"/>
      <c r="Q200" s="361"/>
      <c r="R200" s="361"/>
      <c r="S200" s="361"/>
      <c r="T200" s="361"/>
      <c r="U200" s="361"/>
      <c r="V200" s="361"/>
      <c r="W200" s="361"/>
      <c r="X200" s="361"/>
      <c r="Y200" s="361"/>
    </row>
    <row r="201" spans="2:25" s="349" customFormat="1" ht="20.100000000000001" customHeight="1">
      <c r="B201" s="361"/>
      <c r="C201" s="361"/>
      <c r="D201" s="361"/>
      <c r="E201" s="361"/>
      <c r="F201" s="361"/>
      <c r="G201" s="361"/>
      <c r="H201" s="361"/>
      <c r="I201" s="361"/>
      <c r="J201" s="361"/>
      <c r="K201" s="361"/>
      <c r="L201" s="361"/>
      <c r="M201" s="361"/>
      <c r="N201" s="361"/>
      <c r="O201" s="361"/>
      <c r="P201" s="361"/>
      <c r="Q201" s="361"/>
      <c r="R201" s="361"/>
      <c r="S201" s="361"/>
      <c r="T201" s="361"/>
      <c r="U201" s="361"/>
      <c r="V201" s="361"/>
      <c r="W201" s="361"/>
      <c r="X201" s="361"/>
      <c r="Y201" s="361"/>
    </row>
    <row r="202" spans="2:25" s="349" customFormat="1" ht="20.100000000000001" customHeight="1">
      <c r="B202" s="361"/>
      <c r="C202" s="361"/>
      <c r="D202" s="361"/>
      <c r="E202" s="361"/>
      <c r="F202" s="361"/>
      <c r="G202" s="361"/>
      <c r="H202" s="361"/>
      <c r="I202" s="361"/>
      <c r="J202" s="361"/>
      <c r="K202" s="361"/>
      <c r="L202" s="361"/>
      <c r="M202" s="361"/>
      <c r="N202" s="361"/>
      <c r="O202" s="361"/>
      <c r="P202" s="361"/>
      <c r="Q202" s="361"/>
      <c r="R202" s="361"/>
      <c r="S202" s="361"/>
      <c r="T202" s="361"/>
      <c r="U202" s="361"/>
      <c r="V202" s="361"/>
      <c r="W202" s="361"/>
      <c r="X202" s="361"/>
      <c r="Y202" s="361"/>
    </row>
    <row r="203" spans="2:25" s="349" customFormat="1" ht="20.100000000000001" customHeight="1">
      <c r="B203" s="361"/>
      <c r="C203" s="361"/>
      <c r="D203" s="361"/>
      <c r="E203" s="361"/>
      <c r="F203" s="361"/>
      <c r="G203" s="361"/>
      <c r="H203" s="361"/>
      <c r="I203" s="361"/>
      <c r="J203" s="361"/>
      <c r="K203" s="361"/>
      <c r="L203" s="361"/>
      <c r="M203" s="361"/>
      <c r="N203" s="361"/>
      <c r="O203" s="361"/>
      <c r="P203" s="361"/>
      <c r="Q203" s="361"/>
      <c r="R203" s="361"/>
      <c r="S203" s="361"/>
      <c r="T203" s="361"/>
      <c r="U203" s="361"/>
      <c r="V203" s="361"/>
      <c r="W203" s="361"/>
      <c r="X203" s="361"/>
      <c r="Y203" s="361"/>
    </row>
    <row r="204" spans="2:25" s="349" customFormat="1" ht="20.100000000000001" customHeight="1">
      <c r="B204" s="361"/>
      <c r="C204" s="361"/>
      <c r="D204" s="361"/>
      <c r="E204" s="361"/>
      <c r="F204" s="361"/>
      <c r="G204" s="361"/>
      <c r="H204" s="361"/>
      <c r="I204" s="361"/>
      <c r="J204" s="361"/>
      <c r="K204" s="361"/>
      <c r="L204" s="361"/>
      <c r="M204" s="361"/>
      <c r="N204" s="361"/>
      <c r="O204" s="361"/>
      <c r="P204" s="361"/>
      <c r="Q204" s="361"/>
      <c r="R204" s="361"/>
      <c r="S204" s="361"/>
      <c r="T204" s="361"/>
      <c r="U204" s="361"/>
      <c r="V204" s="361"/>
      <c r="W204" s="361"/>
      <c r="X204" s="361"/>
      <c r="Y204" s="361"/>
    </row>
    <row r="205" spans="2:25" s="349" customFormat="1" ht="20.100000000000001" customHeight="1">
      <c r="B205" s="361"/>
      <c r="C205" s="361"/>
      <c r="D205" s="361"/>
      <c r="E205" s="361"/>
      <c r="F205" s="361"/>
      <c r="G205" s="361"/>
      <c r="H205" s="361"/>
      <c r="I205" s="361"/>
      <c r="J205" s="361"/>
      <c r="K205" s="361"/>
      <c r="L205" s="361"/>
      <c r="M205" s="361"/>
      <c r="N205" s="361"/>
      <c r="O205" s="361"/>
      <c r="P205" s="361"/>
      <c r="Q205" s="361"/>
      <c r="R205" s="361"/>
      <c r="S205" s="361"/>
      <c r="T205" s="361"/>
      <c r="U205" s="361"/>
      <c r="V205" s="361"/>
      <c r="W205" s="361"/>
      <c r="X205" s="361"/>
      <c r="Y205" s="361"/>
    </row>
    <row r="206" spans="2:25" s="349" customFormat="1" ht="20.100000000000001" customHeight="1">
      <c r="B206" s="361"/>
      <c r="C206" s="361"/>
      <c r="D206" s="361"/>
      <c r="E206" s="361"/>
      <c r="F206" s="361"/>
      <c r="G206" s="361"/>
      <c r="H206" s="361"/>
      <c r="I206" s="361"/>
      <c r="J206" s="361"/>
      <c r="K206" s="361"/>
      <c r="L206" s="361"/>
      <c r="M206" s="361"/>
      <c r="N206" s="361"/>
      <c r="O206" s="361"/>
      <c r="P206" s="361"/>
      <c r="Q206" s="361"/>
      <c r="R206" s="361"/>
      <c r="S206" s="361"/>
      <c r="T206" s="361"/>
      <c r="U206" s="361"/>
      <c r="V206" s="361"/>
      <c r="W206" s="361"/>
      <c r="X206" s="361"/>
      <c r="Y206" s="361"/>
    </row>
    <row r="207" spans="2:25" s="349" customFormat="1" ht="20.100000000000001" customHeight="1">
      <c r="B207" s="361"/>
      <c r="C207" s="361"/>
      <c r="D207" s="361"/>
      <c r="E207" s="361"/>
      <c r="F207" s="361"/>
      <c r="G207" s="361"/>
      <c r="H207" s="361"/>
      <c r="I207" s="361"/>
      <c r="J207" s="361"/>
      <c r="K207" s="361"/>
      <c r="L207" s="361"/>
      <c r="M207" s="361"/>
      <c r="N207" s="361"/>
      <c r="O207" s="361"/>
      <c r="P207" s="361"/>
      <c r="Q207" s="361"/>
      <c r="R207" s="361"/>
      <c r="S207" s="361"/>
      <c r="T207" s="361"/>
      <c r="U207" s="361"/>
      <c r="V207" s="361"/>
      <c r="W207" s="361"/>
      <c r="X207" s="361"/>
      <c r="Y207" s="361"/>
    </row>
    <row r="208" spans="2:25" s="349" customFormat="1" ht="20.100000000000001" customHeight="1">
      <c r="B208" s="361"/>
      <c r="C208" s="361"/>
      <c r="D208" s="361"/>
      <c r="E208" s="361"/>
      <c r="F208" s="361"/>
      <c r="G208" s="361"/>
      <c r="H208" s="361"/>
      <c r="I208" s="361"/>
      <c r="J208" s="361"/>
      <c r="K208" s="361"/>
      <c r="L208" s="361"/>
      <c r="M208" s="361"/>
      <c r="N208" s="361"/>
      <c r="O208" s="361"/>
      <c r="P208" s="361"/>
      <c r="Q208" s="361"/>
      <c r="R208" s="361"/>
      <c r="S208" s="361"/>
      <c r="T208" s="361"/>
      <c r="U208" s="361"/>
      <c r="V208" s="361"/>
      <c r="W208" s="361"/>
      <c r="X208" s="361"/>
      <c r="Y208" s="361"/>
    </row>
    <row r="209" spans="2:25" s="349" customFormat="1" ht="20.100000000000001" customHeight="1">
      <c r="B209" s="361"/>
      <c r="C209" s="361"/>
      <c r="D209" s="361"/>
      <c r="E209" s="361"/>
      <c r="F209" s="361"/>
      <c r="G209" s="361"/>
      <c r="H209" s="361"/>
      <c r="I209" s="361"/>
      <c r="J209" s="361"/>
      <c r="K209" s="361"/>
      <c r="L209" s="361"/>
      <c r="M209" s="361"/>
      <c r="N209" s="361"/>
      <c r="O209" s="361"/>
      <c r="P209" s="361"/>
      <c r="Q209" s="361"/>
      <c r="R209" s="361"/>
      <c r="S209" s="361"/>
      <c r="T209" s="361"/>
      <c r="U209" s="361"/>
      <c r="V209" s="361"/>
      <c r="W209" s="361"/>
      <c r="X209" s="361"/>
      <c r="Y209" s="361"/>
    </row>
    <row r="210" spans="2:25" s="349" customFormat="1" ht="20.100000000000001" customHeight="1">
      <c r="B210" s="361"/>
      <c r="C210" s="361"/>
      <c r="D210" s="361"/>
      <c r="E210" s="361"/>
      <c r="F210" s="361"/>
      <c r="G210" s="361"/>
      <c r="H210" s="361"/>
      <c r="I210" s="361"/>
      <c r="J210" s="361"/>
      <c r="K210" s="361"/>
      <c r="L210" s="361"/>
      <c r="M210" s="361"/>
      <c r="N210" s="361"/>
      <c r="O210" s="361"/>
      <c r="P210" s="361"/>
      <c r="Q210" s="361"/>
      <c r="R210" s="361"/>
      <c r="S210" s="361"/>
      <c r="T210" s="361"/>
      <c r="U210" s="361"/>
      <c r="V210" s="361"/>
      <c r="W210" s="361"/>
      <c r="X210" s="361"/>
      <c r="Y210" s="361"/>
    </row>
    <row r="211" spans="2:25" s="349" customFormat="1" ht="20.100000000000001" customHeight="1">
      <c r="B211" s="361"/>
      <c r="C211" s="361"/>
      <c r="D211" s="361"/>
      <c r="E211" s="361"/>
      <c r="F211" s="361"/>
      <c r="G211" s="361"/>
      <c r="H211" s="361"/>
      <c r="I211" s="361"/>
      <c r="J211" s="361"/>
      <c r="K211" s="361"/>
      <c r="L211" s="361"/>
      <c r="M211" s="361"/>
      <c r="N211" s="361"/>
      <c r="O211" s="361"/>
      <c r="P211" s="361"/>
      <c r="Q211" s="361"/>
      <c r="R211" s="361"/>
      <c r="S211" s="361"/>
      <c r="T211" s="361"/>
      <c r="U211" s="361"/>
      <c r="V211" s="361"/>
      <c r="W211" s="361"/>
      <c r="X211" s="361"/>
      <c r="Y211" s="361"/>
    </row>
    <row r="212" spans="2:25" s="349" customFormat="1" ht="20.100000000000001" customHeight="1">
      <c r="B212" s="361"/>
      <c r="C212" s="361"/>
      <c r="D212" s="361"/>
      <c r="E212" s="361"/>
      <c r="F212" s="361"/>
      <c r="G212" s="361"/>
      <c r="H212" s="361"/>
      <c r="I212" s="361"/>
      <c r="J212" s="361"/>
      <c r="K212" s="361"/>
      <c r="L212" s="361"/>
      <c r="M212" s="361"/>
      <c r="N212" s="361"/>
      <c r="O212" s="361"/>
      <c r="P212" s="361"/>
      <c r="Q212" s="361"/>
      <c r="R212" s="361"/>
      <c r="S212" s="361"/>
      <c r="T212" s="361"/>
      <c r="U212" s="361"/>
      <c r="V212" s="361"/>
      <c r="W212" s="361"/>
      <c r="X212" s="361"/>
      <c r="Y212" s="361"/>
    </row>
    <row r="213" spans="2:25" s="349" customFormat="1" ht="20.100000000000001" customHeight="1">
      <c r="B213" s="361"/>
      <c r="C213" s="361"/>
      <c r="D213" s="361"/>
      <c r="E213" s="361"/>
      <c r="F213" s="361"/>
      <c r="G213" s="361"/>
      <c r="H213" s="361"/>
      <c r="I213" s="361"/>
      <c r="J213" s="361"/>
      <c r="K213" s="361"/>
      <c r="L213" s="361"/>
      <c r="M213" s="361"/>
      <c r="N213" s="361"/>
      <c r="O213" s="361"/>
      <c r="P213" s="361"/>
      <c r="Q213" s="361"/>
      <c r="R213" s="361"/>
      <c r="S213" s="361"/>
      <c r="T213" s="361"/>
      <c r="U213" s="361"/>
      <c r="V213" s="361"/>
      <c r="W213" s="361"/>
      <c r="X213" s="361"/>
      <c r="Y213" s="361"/>
    </row>
    <row r="214" spans="2:25" s="349" customFormat="1" ht="20.100000000000001" customHeight="1">
      <c r="B214" s="361"/>
      <c r="C214" s="361"/>
      <c r="D214" s="361"/>
      <c r="E214" s="361"/>
      <c r="F214" s="361"/>
      <c r="G214" s="361"/>
      <c r="H214" s="361"/>
      <c r="I214" s="361"/>
      <c r="J214" s="361"/>
      <c r="K214" s="361"/>
      <c r="L214" s="361"/>
      <c r="M214" s="361"/>
      <c r="N214" s="361"/>
      <c r="O214" s="361"/>
      <c r="P214" s="361"/>
      <c r="Q214" s="361"/>
      <c r="R214" s="361"/>
      <c r="S214" s="361"/>
      <c r="T214" s="361"/>
      <c r="U214" s="361"/>
      <c r="V214" s="361"/>
      <c r="W214" s="361"/>
      <c r="X214" s="361"/>
      <c r="Y214" s="361"/>
    </row>
    <row r="215" spans="2:25" s="349" customFormat="1" ht="20.100000000000001" customHeight="1">
      <c r="B215" s="361"/>
      <c r="C215" s="361"/>
      <c r="D215" s="361"/>
      <c r="E215" s="361"/>
      <c r="F215" s="361"/>
      <c r="G215" s="361"/>
      <c r="H215" s="361"/>
      <c r="I215" s="361"/>
      <c r="J215" s="361"/>
      <c r="K215" s="361"/>
      <c r="L215" s="361"/>
      <c r="M215" s="361"/>
      <c r="N215" s="361"/>
      <c r="O215" s="361"/>
      <c r="P215" s="361"/>
      <c r="Q215" s="361"/>
      <c r="R215" s="361"/>
      <c r="S215" s="361"/>
      <c r="T215" s="361"/>
      <c r="U215" s="361"/>
      <c r="V215" s="361"/>
      <c r="W215" s="361"/>
      <c r="X215" s="361"/>
      <c r="Y215" s="361"/>
    </row>
    <row r="216" spans="2:25" s="349" customFormat="1" ht="20.100000000000001" customHeight="1">
      <c r="B216" s="361"/>
      <c r="C216" s="361"/>
      <c r="D216" s="361"/>
      <c r="E216" s="361"/>
      <c r="F216" s="361"/>
      <c r="G216" s="361"/>
      <c r="H216" s="361"/>
      <c r="I216" s="361"/>
      <c r="J216" s="361"/>
      <c r="K216" s="361"/>
      <c r="L216" s="361"/>
      <c r="M216" s="361"/>
      <c r="N216" s="361"/>
      <c r="O216" s="361"/>
      <c r="P216" s="361"/>
      <c r="Q216" s="361"/>
      <c r="R216" s="361"/>
      <c r="S216" s="361"/>
      <c r="T216" s="361"/>
      <c r="U216" s="361"/>
      <c r="V216" s="361"/>
      <c r="W216" s="361"/>
      <c r="X216" s="361"/>
      <c r="Y216" s="361"/>
    </row>
    <row r="217" spans="2:25" ht="20.100000000000001" customHeight="1"/>
    <row r="218" spans="2:25" ht="9.9499999999999993" customHeight="1"/>
    <row r="219" spans="2:25" ht="20.100000000000001" customHeight="1"/>
    <row r="220" spans="2:25" ht="20.100000000000001" customHeight="1"/>
    <row r="221" spans="2:25" ht="20.100000000000001" customHeight="1"/>
    <row r="222" spans="2:25" s="349" customFormat="1" ht="20.100000000000001" customHeight="1">
      <c r="B222" s="361"/>
      <c r="C222" s="361"/>
      <c r="D222" s="361"/>
      <c r="E222" s="361"/>
      <c r="F222" s="361"/>
      <c r="G222" s="361"/>
      <c r="H222" s="361"/>
      <c r="I222" s="361"/>
      <c r="J222" s="361"/>
      <c r="K222" s="361"/>
      <c r="L222" s="361"/>
      <c r="M222" s="361"/>
      <c r="N222" s="361"/>
      <c r="O222" s="361"/>
      <c r="P222" s="361"/>
      <c r="Q222" s="361"/>
      <c r="R222" s="361"/>
      <c r="S222" s="361"/>
      <c r="T222" s="361"/>
      <c r="U222" s="361"/>
      <c r="V222" s="361"/>
      <c r="W222" s="361"/>
      <c r="X222" s="361"/>
      <c r="Y222" s="361"/>
    </row>
    <row r="223" spans="2:25" s="349" customFormat="1" ht="20.100000000000001" customHeight="1">
      <c r="B223" s="361"/>
      <c r="C223" s="361"/>
      <c r="D223" s="361"/>
      <c r="E223" s="361"/>
      <c r="F223" s="361"/>
      <c r="G223" s="361"/>
      <c r="H223" s="361"/>
      <c r="I223" s="361"/>
      <c r="J223" s="361"/>
      <c r="K223" s="361"/>
      <c r="L223" s="361"/>
      <c r="M223" s="361"/>
      <c r="N223" s="361"/>
      <c r="O223" s="361"/>
      <c r="P223" s="361"/>
      <c r="Q223" s="361"/>
      <c r="R223" s="361"/>
      <c r="S223" s="361"/>
      <c r="T223" s="361"/>
      <c r="U223" s="361"/>
      <c r="V223" s="361"/>
      <c r="W223" s="361"/>
      <c r="X223" s="361"/>
      <c r="Y223" s="361"/>
    </row>
    <row r="224" spans="2:25" s="349" customFormat="1" ht="20.100000000000001" customHeight="1">
      <c r="B224" s="361"/>
      <c r="C224" s="361"/>
      <c r="D224" s="361"/>
      <c r="E224" s="361"/>
      <c r="F224" s="361"/>
      <c r="G224" s="361"/>
      <c r="H224" s="361"/>
      <c r="I224" s="361"/>
      <c r="J224" s="361"/>
      <c r="K224" s="361"/>
      <c r="L224" s="361"/>
      <c r="M224" s="361"/>
      <c r="N224" s="361"/>
      <c r="O224" s="361"/>
      <c r="P224" s="361"/>
      <c r="Q224" s="361"/>
      <c r="R224" s="361"/>
      <c r="S224" s="361"/>
      <c r="T224" s="361"/>
      <c r="U224" s="361"/>
      <c r="V224" s="361"/>
      <c r="W224" s="361"/>
      <c r="X224" s="361"/>
      <c r="Y224" s="361"/>
    </row>
    <row r="225" spans="2:25" s="349" customFormat="1" ht="20.100000000000001" customHeight="1">
      <c r="B225" s="361"/>
      <c r="C225" s="361"/>
      <c r="D225" s="361"/>
      <c r="E225" s="361"/>
      <c r="F225" s="361"/>
      <c r="G225" s="361"/>
      <c r="H225" s="361"/>
      <c r="I225" s="361"/>
      <c r="J225" s="361"/>
      <c r="K225" s="361"/>
      <c r="L225" s="361"/>
      <c r="M225" s="361"/>
      <c r="N225" s="361"/>
      <c r="O225" s="361"/>
      <c r="P225" s="361"/>
      <c r="Q225" s="361"/>
      <c r="R225" s="361"/>
      <c r="S225" s="361"/>
      <c r="T225" s="361"/>
      <c r="U225" s="361"/>
      <c r="V225" s="361"/>
      <c r="W225" s="361"/>
      <c r="X225" s="361"/>
      <c r="Y225" s="361"/>
    </row>
    <row r="226" spans="2:25" s="349" customFormat="1" ht="20.100000000000001" customHeight="1">
      <c r="B226" s="361"/>
      <c r="C226" s="361"/>
      <c r="D226" s="361"/>
      <c r="E226" s="361"/>
      <c r="F226" s="361"/>
      <c r="G226" s="361"/>
      <c r="H226" s="361"/>
      <c r="I226" s="361"/>
      <c r="J226" s="361"/>
      <c r="K226" s="361"/>
      <c r="L226" s="361"/>
      <c r="M226" s="361"/>
      <c r="N226" s="361"/>
      <c r="O226" s="361"/>
      <c r="P226" s="361"/>
      <c r="Q226" s="361"/>
      <c r="R226" s="361"/>
      <c r="S226" s="361"/>
      <c r="T226" s="361"/>
      <c r="U226" s="361"/>
      <c r="V226" s="361"/>
      <c r="W226" s="361"/>
      <c r="X226" s="361"/>
      <c r="Y226" s="361"/>
    </row>
    <row r="227" spans="2:25" s="349" customFormat="1" ht="20.100000000000001" customHeight="1">
      <c r="B227" s="361"/>
      <c r="C227" s="361"/>
      <c r="D227" s="361"/>
      <c r="E227" s="361"/>
      <c r="F227" s="361"/>
      <c r="G227" s="361"/>
      <c r="H227" s="361"/>
      <c r="I227" s="361"/>
      <c r="J227" s="361"/>
      <c r="K227" s="361"/>
      <c r="L227" s="361"/>
      <c r="M227" s="361"/>
      <c r="N227" s="361"/>
      <c r="O227" s="361"/>
      <c r="P227" s="361"/>
      <c r="Q227" s="361"/>
      <c r="R227" s="361"/>
      <c r="S227" s="361"/>
      <c r="T227" s="361"/>
      <c r="U227" s="361"/>
      <c r="V227" s="361"/>
      <c r="W227" s="361"/>
      <c r="X227" s="361"/>
      <c r="Y227" s="361"/>
    </row>
    <row r="228" spans="2:25" s="349" customFormat="1" ht="20.100000000000001" customHeight="1">
      <c r="B228" s="361"/>
      <c r="C228" s="361"/>
      <c r="D228" s="361"/>
      <c r="E228" s="361"/>
      <c r="F228" s="361"/>
      <c r="G228" s="361"/>
      <c r="H228" s="361"/>
      <c r="I228" s="361"/>
      <c r="J228" s="361"/>
      <c r="K228" s="361"/>
      <c r="L228" s="361"/>
      <c r="M228" s="361"/>
      <c r="N228" s="361"/>
      <c r="O228" s="361"/>
      <c r="P228" s="361"/>
      <c r="Q228" s="361"/>
      <c r="R228" s="361"/>
      <c r="S228" s="361"/>
      <c r="T228" s="361"/>
      <c r="U228" s="361"/>
      <c r="V228" s="361"/>
      <c r="W228" s="361"/>
      <c r="X228" s="361"/>
      <c r="Y228" s="361"/>
    </row>
    <row r="229" spans="2:25" s="349" customFormat="1" ht="20.100000000000001" customHeight="1">
      <c r="B229" s="361"/>
      <c r="C229" s="361"/>
      <c r="D229" s="361"/>
      <c r="E229" s="361"/>
      <c r="F229" s="361"/>
      <c r="G229" s="361"/>
      <c r="H229" s="361"/>
      <c r="I229" s="361"/>
      <c r="J229" s="361"/>
      <c r="K229" s="361"/>
      <c r="L229" s="361"/>
      <c r="M229" s="361"/>
      <c r="N229" s="361"/>
      <c r="O229" s="361"/>
      <c r="P229" s="361"/>
      <c r="Q229" s="361"/>
      <c r="R229" s="361"/>
      <c r="S229" s="361"/>
      <c r="T229" s="361"/>
      <c r="U229" s="361"/>
      <c r="V229" s="361"/>
      <c r="W229" s="361"/>
      <c r="X229" s="361"/>
      <c r="Y229" s="361"/>
    </row>
    <row r="230" spans="2:25" s="349" customFormat="1" ht="20.100000000000001" customHeight="1">
      <c r="B230" s="361"/>
      <c r="C230" s="361"/>
      <c r="D230" s="361"/>
      <c r="E230" s="361"/>
      <c r="F230" s="361"/>
      <c r="G230" s="361"/>
      <c r="H230" s="361"/>
      <c r="I230" s="361"/>
      <c r="J230" s="361"/>
      <c r="K230" s="361"/>
      <c r="L230" s="361"/>
      <c r="M230" s="361"/>
      <c r="N230" s="361"/>
      <c r="O230" s="361"/>
      <c r="P230" s="361"/>
      <c r="Q230" s="361"/>
      <c r="R230" s="361"/>
      <c r="S230" s="361"/>
      <c r="T230" s="361"/>
      <c r="U230" s="361"/>
      <c r="V230" s="361"/>
      <c r="W230" s="361"/>
      <c r="X230" s="361"/>
      <c r="Y230" s="361"/>
    </row>
    <row r="231" spans="2:25" s="349" customFormat="1" ht="20.100000000000001" customHeight="1">
      <c r="B231" s="361"/>
      <c r="C231" s="361"/>
      <c r="D231" s="361"/>
      <c r="E231" s="361"/>
      <c r="F231" s="361"/>
      <c r="G231" s="361"/>
      <c r="H231" s="361"/>
      <c r="I231" s="361"/>
      <c r="J231" s="361"/>
      <c r="K231" s="361"/>
      <c r="L231" s="361"/>
      <c r="M231" s="361"/>
      <c r="N231" s="361"/>
      <c r="O231" s="361"/>
      <c r="P231" s="361"/>
      <c r="Q231" s="361"/>
      <c r="R231" s="361"/>
      <c r="S231" s="361"/>
      <c r="T231" s="361"/>
      <c r="U231" s="361"/>
      <c r="V231" s="361"/>
      <c r="W231" s="361"/>
      <c r="X231" s="361"/>
      <c r="Y231" s="361"/>
    </row>
    <row r="232" spans="2:25" s="349" customFormat="1" ht="20.100000000000001" customHeight="1">
      <c r="B232" s="361"/>
      <c r="C232" s="361"/>
      <c r="D232" s="361"/>
      <c r="E232" s="361"/>
      <c r="F232" s="361"/>
      <c r="G232" s="361"/>
      <c r="H232" s="361"/>
      <c r="I232" s="361"/>
      <c r="J232" s="361"/>
      <c r="K232" s="361"/>
      <c r="L232" s="361"/>
      <c r="M232" s="361"/>
      <c r="N232" s="361"/>
      <c r="O232" s="361"/>
      <c r="P232" s="361"/>
      <c r="Q232" s="361"/>
      <c r="R232" s="361"/>
      <c r="S232" s="361"/>
      <c r="T232" s="361"/>
      <c r="U232" s="361"/>
      <c r="V232" s="361"/>
      <c r="W232" s="361"/>
      <c r="X232" s="361"/>
      <c r="Y232" s="361"/>
    </row>
    <row r="233" spans="2:25" s="349" customFormat="1" ht="20.100000000000001" customHeight="1">
      <c r="B233" s="361"/>
      <c r="C233" s="361"/>
      <c r="D233" s="361"/>
      <c r="E233" s="361"/>
      <c r="F233" s="361"/>
      <c r="G233" s="361"/>
      <c r="H233" s="361"/>
      <c r="I233" s="361"/>
      <c r="J233" s="361"/>
      <c r="K233" s="361"/>
      <c r="L233" s="361"/>
      <c r="M233" s="361"/>
      <c r="N233" s="361"/>
      <c r="O233" s="361"/>
      <c r="P233" s="361"/>
      <c r="Q233" s="361"/>
      <c r="R233" s="361"/>
      <c r="S233" s="361"/>
      <c r="T233" s="361"/>
      <c r="U233" s="361"/>
      <c r="V233" s="361"/>
      <c r="W233" s="361"/>
      <c r="X233" s="361"/>
      <c r="Y233" s="361"/>
    </row>
    <row r="234" spans="2:25" s="349" customFormat="1" ht="20.100000000000001" customHeight="1">
      <c r="B234" s="361"/>
      <c r="C234" s="361"/>
      <c r="D234" s="361"/>
      <c r="E234" s="361"/>
      <c r="F234" s="361"/>
      <c r="G234" s="361"/>
      <c r="H234" s="361"/>
      <c r="I234" s="361"/>
      <c r="J234" s="361"/>
      <c r="K234" s="361"/>
      <c r="L234" s="361"/>
      <c r="M234" s="361"/>
      <c r="N234" s="361"/>
      <c r="O234" s="361"/>
      <c r="P234" s="361"/>
      <c r="Q234" s="361"/>
      <c r="R234" s="361"/>
      <c r="S234" s="361"/>
      <c r="T234" s="361"/>
      <c r="U234" s="361"/>
      <c r="V234" s="361"/>
      <c r="W234" s="361"/>
      <c r="X234" s="361"/>
      <c r="Y234" s="361"/>
    </row>
    <row r="235" spans="2:25" s="349" customFormat="1" ht="20.100000000000001" customHeight="1">
      <c r="B235" s="361"/>
      <c r="C235" s="361"/>
      <c r="D235" s="361"/>
      <c r="E235" s="361"/>
      <c r="F235" s="361"/>
      <c r="G235" s="361"/>
      <c r="H235" s="361"/>
      <c r="I235" s="361"/>
      <c r="J235" s="361"/>
      <c r="K235" s="361"/>
      <c r="L235" s="361"/>
      <c r="M235" s="361"/>
      <c r="N235" s="361"/>
      <c r="O235" s="361"/>
      <c r="P235" s="361"/>
      <c r="Q235" s="361"/>
      <c r="R235" s="361"/>
      <c r="S235" s="361"/>
      <c r="T235" s="361"/>
      <c r="U235" s="361"/>
      <c r="V235" s="361"/>
      <c r="W235" s="361"/>
      <c r="X235" s="361"/>
      <c r="Y235" s="361"/>
    </row>
    <row r="236" spans="2:25" s="349" customFormat="1" ht="20.100000000000001" customHeight="1">
      <c r="B236" s="361"/>
      <c r="C236" s="361"/>
      <c r="D236" s="361"/>
      <c r="E236" s="361"/>
      <c r="F236" s="361"/>
      <c r="G236" s="361"/>
      <c r="H236" s="361"/>
      <c r="I236" s="361"/>
      <c r="J236" s="361"/>
      <c r="K236" s="361"/>
      <c r="L236" s="361"/>
      <c r="M236" s="361"/>
      <c r="N236" s="361"/>
      <c r="O236" s="361"/>
      <c r="P236" s="361"/>
      <c r="Q236" s="361"/>
      <c r="R236" s="361"/>
      <c r="S236" s="361"/>
      <c r="T236" s="361"/>
      <c r="U236" s="361"/>
      <c r="V236" s="361"/>
      <c r="W236" s="361"/>
      <c r="X236" s="361"/>
      <c r="Y236" s="361"/>
    </row>
    <row r="237" spans="2:25" s="349" customFormat="1" ht="20.100000000000001" customHeight="1">
      <c r="B237" s="361"/>
      <c r="C237" s="361"/>
      <c r="D237" s="361"/>
      <c r="E237" s="361"/>
      <c r="F237" s="361"/>
      <c r="G237" s="361"/>
      <c r="H237" s="361"/>
      <c r="I237" s="361"/>
      <c r="J237" s="361"/>
      <c r="K237" s="361"/>
      <c r="L237" s="361"/>
      <c r="M237" s="361"/>
      <c r="N237" s="361"/>
      <c r="O237" s="361"/>
      <c r="P237" s="361"/>
      <c r="Q237" s="361"/>
      <c r="R237" s="361"/>
      <c r="S237" s="361"/>
      <c r="T237" s="361"/>
      <c r="U237" s="361"/>
      <c r="V237" s="361"/>
      <c r="W237" s="361"/>
      <c r="X237" s="361"/>
      <c r="Y237" s="361"/>
    </row>
    <row r="238" spans="2:25" s="349" customFormat="1" ht="20.100000000000001" customHeight="1">
      <c r="B238" s="361"/>
      <c r="C238" s="361"/>
      <c r="D238" s="361"/>
      <c r="E238" s="361"/>
      <c r="F238" s="361"/>
      <c r="G238" s="361"/>
      <c r="H238" s="361"/>
      <c r="I238" s="361"/>
      <c r="J238" s="361"/>
      <c r="K238" s="361"/>
      <c r="L238" s="361"/>
      <c r="M238" s="361"/>
      <c r="N238" s="361"/>
      <c r="O238" s="361"/>
      <c r="P238" s="361"/>
      <c r="Q238" s="361"/>
      <c r="R238" s="361"/>
      <c r="S238" s="361"/>
      <c r="T238" s="361"/>
      <c r="U238" s="361"/>
      <c r="V238" s="361"/>
      <c r="W238" s="361"/>
      <c r="X238" s="361"/>
      <c r="Y238" s="361"/>
    </row>
    <row r="239" spans="2:25" s="349" customFormat="1" ht="20.100000000000001" customHeight="1">
      <c r="B239" s="361"/>
      <c r="C239" s="361"/>
      <c r="D239" s="361"/>
      <c r="E239" s="361"/>
      <c r="F239" s="361"/>
      <c r="G239" s="361"/>
      <c r="H239" s="361"/>
      <c r="I239" s="361"/>
      <c r="J239" s="361"/>
      <c r="K239" s="361"/>
      <c r="L239" s="361"/>
      <c r="M239" s="361"/>
      <c r="N239" s="361"/>
      <c r="O239" s="361"/>
      <c r="P239" s="361"/>
      <c r="Q239" s="361"/>
      <c r="R239" s="361"/>
      <c r="S239" s="361"/>
      <c r="T239" s="361"/>
      <c r="U239" s="361"/>
      <c r="V239" s="361"/>
      <c r="W239" s="361"/>
      <c r="X239" s="361"/>
      <c r="Y239" s="361"/>
    </row>
    <row r="240" spans="2:25" s="349" customFormat="1" ht="20.100000000000001" customHeight="1">
      <c r="B240" s="361"/>
      <c r="C240" s="361"/>
      <c r="D240" s="361"/>
      <c r="E240" s="361"/>
      <c r="F240" s="361"/>
      <c r="G240" s="361"/>
      <c r="H240" s="361"/>
      <c r="I240" s="361"/>
      <c r="J240" s="361"/>
      <c r="K240" s="361"/>
      <c r="L240" s="361"/>
      <c r="M240" s="361"/>
      <c r="N240" s="361"/>
      <c r="O240" s="361"/>
      <c r="P240" s="361"/>
      <c r="Q240" s="361"/>
      <c r="R240" s="361"/>
      <c r="S240" s="361"/>
      <c r="T240" s="361"/>
      <c r="U240" s="361"/>
      <c r="V240" s="361"/>
      <c r="W240" s="361"/>
      <c r="X240" s="361"/>
      <c r="Y240" s="361"/>
    </row>
    <row r="241" spans="2:25" s="349" customFormat="1" ht="20.100000000000001" customHeight="1">
      <c r="B241" s="361"/>
      <c r="C241" s="361"/>
      <c r="D241" s="361"/>
      <c r="E241" s="361"/>
      <c r="F241" s="361"/>
      <c r="G241" s="361"/>
      <c r="H241" s="361"/>
      <c r="I241" s="361"/>
      <c r="J241" s="361"/>
      <c r="K241" s="361"/>
      <c r="L241" s="361"/>
      <c r="M241" s="361"/>
      <c r="N241" s="361"/>
      <c r="O241" s="361"/>
      <c r="P241" s="361"/>
      <c r="Q241" s="361"/>
      <c r="R241" s="361"/>
      <c r="S241" s="361"/>
      <c r="T241" s="361"/>
      <c r="U241" s="361"/>
      <c r="V241" s="361"/>
      <c r="W241" s="361"/>
      <c r="X241" s="361"/>
      <c r="Y241" s="361"/>
    </row>
    <row r="242" spans="2:25" s="349" customFormat="1" ht="20.100000000000001" customHeight="1">
      <c r="B242" s="361"/>
      <c r="C242" s="361"/>
      <c r="D242" s="361"/>
      <c r="E242" s="361"/>
      <c r="F242" s="361"/>
      <c r="G242" s="361"/>
      <c r="H242" s="361"/>
      <c r="I242" s="361"/>
      <c r="J242" s="361"/>
      <c r="K242" s="361"/>
      <c r="L242" s="361"/>
      <c r="M242" s="361"/>
      <c r="N242" s="361"/>
      <c r="O242" s="361"/>
      <c r="P242" s="361"/>
      <c r="Q242" s="361"/>
      <c r="R242" s="361"/>
      <c r="S242" s="361"/>
      <c r="T242" s="361"/>
      <c r="U242" s="361"/>
      <c r="V242" s="361"/>
      <c r="W242" s="361"/>
      <c r="X242" s="361"/>
      <c r="Y242" s="361"/>
    </row>
    <row r="243" spans="2:25" s="349" customFormat="1" ht="20.100000000000001" customHeight="1">
      <c r="B243" s="361"/>
      <c r="C243" s="361"/>
      <c r="D243" s="361"/>
      <c r="E243" s="361"/>
      <c r="F243" s="361"/>
      <c r="G243" s="361"/>
      <c r="H243" s="361"/>
      <c r="I243" s="361"/>
      <c r="J243" s="361"/>
      <c r="K243" s="361"/>
      <c r="L243" s="361"/>
      <c r="M243" s="361"/>
      <c r="N243" s="361"/>
      <c r="O243" s="361"/>
      <c r="P243" s="361"/>
      <c r="Q243" s="361"/>
      <c r="R243" s="361"/>
      <c r="S243" s="361"/>
      <c r="T243" s="361"/>
      <c r="U243" s="361"/>
      <c r="V243" s="361"/>
      <c r="W243" s="361"/>
      <c r="X243" s="361"/>
      <c r="Y243" s="361"/>
    </row>
    <row r="244" spans="2:25" s="349" customFormat="1" ht="20.100000000000001" customHeight="1">
      <c r="B244" s="361"/>
      <c r="C244" s="361"/>
      <c r="D244" s="361"/>
      <c r="E244" s="361"/>
      <c r="F244" s="361"/>
      <c r="G244" s="361"/>
      <c r="H244" s="361"/>
      <c r="I244" s="361"/>
      <c r="J244" s="361"/>
      <c r="K244" s="361"/>
      <c r="L244" s="361"/>
      <c r="M244" s="361"/>
      <c r="N244" s="361"/>
      <c r="O244" s="361"/>
      <c r="P244" s="361"/>
      <c r="Q244" s="361"/>
      <c r="R244" s="361"/>
      <c r="S244" s="361"/>
      <c r="T244" s="361"/>
      <c r="U244" s="361"/>
      <c r="V244" s="361"/>
      <c r="W244" s="361"/>
      <c r="X244" s="361"/>
      <c r="Y244" s="361"/>
    </row>
    <row r="245" spans="2:25" s="349" customFormat="1" ht="20.100000000000001" customHeight="1">
      <c r="B245" s="361"/>
      <c r="C245" s="361"/>
      <c r="D245" s="361"/>
      <c r="E245" s="361"/>
      <c r="F245" s="361"/>
      <c r="G245" s="361"/>
      <c r="H245" s="361"/>
      <c r="I245" s="361"/>
      <c r="J245" s="361"/>
      <c r="K245" s="361"/>
      <c r="L245" s="361"/>
      <c r="M245" s="361"/>
      <c r="N245" s="361"/>
      <c r="O245" s="361"/>
      <c r="P245" s="361"/>
      <c r="Q245" s="361"/>
      <c r="R245" s="361"/>
      <c r="S245" s="361"/>
      <c r="T245" s="361"/>
      <c r="U245" s="361"/>
      <c r="V245" s="361"/>
      <c r="W245" s="361"/>
      <c r="X245" s="361"/>
      <c r="Y245" s="361"/>
    </row>
    <row r="246" spans="2:25" s="349" customFormat="1" ht="20.100000000000001" customHeight="1">
      <c r="B246" s="361"/>
      <c r="C246" s="361"/>
      <c r="D246" s="361"/>
      <c r="E246" s="361"/>
      <c r="F246" s="361"/>
      <c r="G246" s="361"/>
      <c r="H246" s="361"/>
      <c r="I246" s="361"/>
      <c r="J246" s="361"/>
      <c r="K246" s="361"/>
      <c r="L246" s="361"/>
      <c r="M246" s="361"/>
      <c r="N246" s="361"/>
      <c r="O246" s="361"/>
      <c r="P246" s="361"/>
      <c r="Q246" s="361"/>
      <c r="R246" s="361"/>
      <c r="S246" s="361"/>
      <c r="T246" s="361"/>
      <c r="U246" s="361"/>
      <c r="V246" s="361"/>
      <c r="W246" s="361"/>
      <c r="X246" s="361"/>
      <c r="Y246" s="361"/>
    </row>
    <row r="247" spans="2:25" s="349" customFormat="1" ht="20.100000000000001" customHeight="1">
      <c r="B247" s="361"/>
      <c r="C247" s="361"/>
      <c r="D247" s="361"/>
      <c r="E247" s="361"/>
      <c r="F247" s="361"/>
      <c r="G247" s="361"/>
      <c r="H247" s="361"/>
      <c r="I247" s="361"/>
      <c r="J247" s="361"/>
      <c r="K247" s="361"/>
      <c r="L247" s="361"/>
      <c r="M247" s="361"/>
      <c r="N247" s="361"/>
      <c r="O247" s="361"/>
      <c r="P247" s="361"/>
      <c r="Q247" s="361"/>
      <c r="R247" s="361"/>
      <c r="S247" s="361"/>
      <c r="T247" s="361"/>
      <c r="U247" s="361"/>
      <c r="V247" s="361"/>
      <c r="W247" s="361"/>
      <c r="X247" s="361"/>
      <c r="Y247" s="361"/>
    </row>
    <row r="248" spans="2:25" s="349" customFormat="1" ht="20.100000000000001" customHeight="1">
      <c r="B248" s="361"/>
      <c r="C248" s="361"/>
      <c r="D248" s="361"/>
      <c r="E248" s="361"/>
      <c r="F248" s="361"/>
      <c r="G248" s="361"/>
      <c r="H248" s="361"/>
      <c r="I248" s="361"/>
      <c r="J248" s="361"/>
      <c r="K248" s="361"/>
      <c r="L248" s="361"/>
      <c r="M248" s="361"/>
      <c r="N248" s="361"/>
      <c r="O248" s="361"/>
      <c r="P248" s="361"/>
      <c r="Q248" s="361"/>
      <c r="R248" s="361"/>
      <c r="S248" s="361"/>
      <c r="T248" s="361"/>
      <c r="U248" s="361"/>
      <c r="V248" s="361"/>
      <c r="W248" s="361"/>
      <c r="X248" s="361"/>
      <c r="Y248" s="361"/>
    </row>
    <row r="249" spans="2:25" s="349" customFormat="1" ht="20.100000000000001" customHeight="1">
      <c r="B249" s="361"/>
      <c r="C249" s="361"/>
      <c r="D249" s="361"/>
      <c r="E249" s="361"/>
      <c r="F249" s="361"/>
      <c r="G249" s="361"/>
      <c r="H249" s="361"/>
      <c r="I249" s="361"/>
      <c r="J249" s="361"/>
      <c r="K249" s="361"/>
      <c r="L249" s="361"/>
      <c r="M249" s="361"/>
      <c r="N249" s="361"/>
      <c r="O249" s="361"/>
      <c r="P249" s="361"/>
      <c r="Q249" s="361"/>
      <c r="R249" s="361"/>
      <c r="S249" s="361"/>
      <c r="T249" s="361"/>
      <c r="U249" s="361"/>
      <c r="V249" s="361"/>
      <c r="W249" s="361"/>
      <c r="X249" s="361"/>
      <c r="Y249" s="361"/>
    </row>
    <row r="250" spans="2:25" s="349" customFormat="1" ht="20.100000000000001" customHeight="1">
      <c r="B250" s="361"/>
      <c r="C250" s="361"/>
      <c r="D250" s="361"/>
      <c r="E250" s="361"/>
      <c r="F250" s="361"/>
      <c r="G250" s="361"/>
      <c r="H250" s="361"/>
      <c r="I250" s="361"/>
      <c r="J250" s="361"/>
      <c r="K250" s="361"/>
      <c r="L250" s="361"/>
      <c r="M250" s="361"/>
      <c r="N250" s="361"/>
      <c r="O250" s="361"/>
      <c r="P250" s="361"/>
      <c r="Q250" s="361"/>
      <c r="R250" s="361"/>
      <c r="S250" s="361"/>
      <c r="T250" s="361"/>
      <c r="U250" s="361"/>
      <c r="V250" s="361"/>
      <c r="W250" s="361"/>
      <c r="X250" s="361"/>
      <c r="Y250" s="361"/>
    </row>
    <row r="251" spans="2:25" s="349" customFormat="1" ht="20.100000000000001" customHeight="1">
      <c r="B251" s="361"/>
      <c r="C251" s="361"/>
      <c r="D251" s="361"/>
      <c r="E251" s="361"/>
      <c r="F251" s="361"/>
      <c r="G251" s="361"/>
      <c r="H251" s="361"/>
      <c r="I251" s="361"/>
      <c r="J251" s="361"/>
      <c r="K251" s="361"/>
      <c r="L251" s="361"/>
      <c r="M251" s="361"/>
      <c r="N251" s="361"/>
      <c r="O251" s="361"/>
      <c r="P251" s="361"/>
      <c r="Q251" s="361"/>
      <c r="R251" s="361"/>
      <c r="S251" s="361"/>
      <c r="T251" s="361"/>
      <c r="U251" s="361"/>
      <c r="V251" s="361"/>
      <c r="W251" s="361"/>
      <c r="X251" s="361"/>
      <c r="Y251" s="361"/>
    </row>
    <row r="252" spans="2:25" s="349" customFormat="1" ht="20.100000000000001" customHeight="1">
      <c r="B252" s="361"/>
      <c r="C252" s="361"/>
      <c r="D252" s="361"/>
      <c r="E252" s="361"/>
      <c r="F252" s="361"/>
      <c r="G252" s="361"/>
      <c r="H252" s="361"/>
      <c r="I252" s="361"/>
      <c r="J252" s="361"/>
      <c r="K252" s="361"/>
      <c r="L252" s="361"/>
      <c r="M252" s="361"/>
      <c r="N252" s="361"/>
      <c r="O252" s="361"/>
      <c r="P252" s="361"/>
      <c r="Q252" s="361"/>
      <c r="R252" s="361"/>
      <c r="S252" s="361"/>
      <c r="T252" s="361"/>
      <c r="U252" s="361"/>
      <c r="V252" s="361"/>
      <c r="W252" s="361"/>
      <c r="X252" s="361"/>
      <c r="Y252" s="361"/>
    </row>
    <row r="253" spans="2:25" s="349" customFormat="1" ht="20.100000000000001" customHeight="1">
      <c r="B253" s="361"/>
      <c r="C253" s="361"/>
      <c r="D253" s="361"/>
      <c r="E253" s="361"/>
      <c r="F253" s="361"/>
      <c r="G253" s="361"/>
      <c r="H253" s="361"/>
      <c r="I253" s="361"/>
      <c r="J253" s="361"/>
      <c r="K253" s="361"/>
      <c r="L253" s="361"/>
      <c r="M253" s="361"/>
      <c r="N253" s="361"/>
      <c r="O253" s="361"/>
      <c r="P253" s="361"/>
      <c r="Q253" s="361"/>
      <c r="R253" s="361"/>
      <c r="S253" s="361"/>
      <c r="T253" s="361"/>
      <c r="U253" s="361"/>
      <c r="V253" s="361"/>
      <c r="W253" s="361"/>
      <c r="X253" s="361"/>
      <c r="Y253" s="361"/>
    </row>
    <row r="254" spans="2:25" s="349" customFormat="1" ht="20.100000000000001" customHeight="1">
      <c r="B254" s="361"/>
      <c r="C254" s="361"/>
      <c r="D254" s="361"/>
      <c r="E254" s="361"/>
      <c r="F254" s="361"/>
      <c r="G254" s="361"/>
      <c r="H254" s="361"/>
      <c r="I254" s="361"/>
      <c r="J254" s="361"/>
      <c r="K254" s="361"/>
      <c r="L254" s="361"/>
      <c r="M254" s="361"/>
      <c r="N254" s="361"/>
      <c r="O254" s="361"/>
      <c r="P254" s="361"/>
      <c r="Q254" s="361"/>
      <c r="R254" s="361"/>
      <c r="S254" s="361"/>
      <c r="T254" s="361"/>
      <c r="U254" s="361"/>
      <c r="V254" s="361"/>
      <c r="W254" s="361"/>
      <c r="X254" s="361"/>
      <c r="Y254" s="361"/>
    </row>
    <row r="255" spans="2:25" s="349" customFormat="1" ht="20.100000000000001" customHeight="1">
      <c r="B255" s="361"/>
      <c r="C255" s="361"/>
      <c r="D255" s="361"/>
      <c r="E255" s="361"/>
      <c r="F255" s="361"/>
      <c r="G255" s="361"/>
      <c r="H255" s="361"/>
      <c r="I255" s="361"/>
      <c r="J255" s="361"/>
      <c r="K255" s="361"/>
      <c r="L255" s="361"/>
      <c r="M255" s="361"/>
      <c r="N255" s="361"/>
      <c r="O255" s="361"/>
      <c r="P255" s="361"/>
      <c r="Q255" s="361"/>
      <c r="R255" s="361"/>
      <c r="S255" s="361"/>
      <c r="T255" s="361"/>
      <c r="U255" s="361"/>
      <c r="V255" s="361"/>
      <c r="W255" s="361"/>
      <c r="X255" s="361"/>
      <c r="Y255" s="361"/>
    </row>
    <row r="256" spans="2:25" s="349" customFormat="1" ht="20.100000000000001" customHeight="1">
      <c r="B256" s="361"/>
      <c r="C256" s="361"/>
      <c r="D256" s="361"/>
      <c r="E256" s="361"/>
      <c r="F256" s="361"/>
      <c r="G256" s="361"/>
      <c r="H256" s="361"/>
      <c r="I256" s="361"/>
      <c r="J256" s="361"/>
      <c r="K256" s="361"/>
      <c r="L256" s="361"/>
      <c r="M256" s="361"/>
      <c r="N256" s="361"/>
      <c r="O256" s="361"/>
      <c r="P256" s="361"/>
      <c r="Q256" s="361"/>
      <c r="R256" s="361"/>
      <c r="S256" s="361"/>
      <c r="T256" s="361"/>
      <c r="U256" s="361"/>
      <c r="V256" s="361"/>
      <c r="W256" s="361"/>
      <c r="X256" s="361"/>
      <c r="Y256" s="361"/>
    </row>
    <row r="257" spans="2:25" s="349" customFormat="1" ht="20.100000000000001" customHeight="1">
      <c r="B257" s="361"/>
      <c r="C257" s="361"/>
      <c r="D257" s="361"/>
      <c r="E257" s="361"/>
      <c r="F257" s="361"/>
      <c r="G257" s="361"/>
      <c r="H257" s="361"/>
      <c r="I257" s="361"/>
      <c r="J257" s="361"/>
      <c r="K257" s="361"/>
      <c r="L257" s="361"/>
      <c r="M257" s="361"/>
      <c r="N257" s="361"/>
      <c r="O257" s="361"/>
      <c r="P257" s="361"/>
      <c r="Q257" s="361"/>
      <c r="R257" s="361"/>
      <c r="S257" s="361"/>
      <c r="T257" s="361"/>
      <c r="U257" s="361"/>
      <c r="V257" s="361"/>
      <c r="W257" s="361"/>
      <c r="X257" s="361"/>
      <c r="Y257" s="361"/>
    </row>
    <row r="258" spans="2:25" s="349" customFormat="1" ht="20.100000000000001" customHeight="1">
      <c r="B258" s="361"/>
      <c r="C258" s="361"/>
      <c r="D258" s="361"/>
      <c r="E258" s="361"/>
      <c r="F258" s="361"/>
      <c r="G258" s="361"/>
      <c r="H258" s="361"/>
      <c r="I258" s="361"/>
      <c r="J258" s="361"/>
      <c r="K258" s="361"/>
      <c r="L258" s="361"/>
      <c r="M258" s="361"/>
      <c r="N258" s="361"/>
      <c r="O258" s="361"/>
      <c r="P258" s="361"/>
      <c r="Q258" s="361"/>
      <c r="R258" s="361"/>
      <c r="S258" s="361"/>
      <c r="T258" s="361"/>
      <c r="U258" s="361"/>
      <c r="V258" s="361"/>
      <c r="W258" s="361"/>
      <c r="X258" s="361"/>
      <c r="Y258" s="361"/>
    </row>
    <row r="259" spans="2:25" ht="20.100000000000001" customHeight="1"/>
    <row r="260" spans="2:25" ht="9.9499999999999993" customHeight="1"/>
    <row r="261" spans="2:25" ht="20.100000000000001" customHeight="1"/>
    <row r="262" spans="2:25" ht="20.100000000000001" customHeight="1"/>
    <row r="263" spans="2:25" ht="20.100000000000001" customHeight="1"/>
    <row r="264" spans="2:25" s="349" customFormat="1" ht="20.100000000000001" customHeight="1">
      <c r="B264" s="361"/>
      <c r="C264" s="361"/>
      <c r="D264" s="361"/>
      <c r="E264" s="361"/>
      <c r="F264" s="361"/>
      <c r="G264" s="361"/>
      <c r="H264" s="361"/>
      <c r="I264" s="361"/>
      <c r="J264" s="361"/>
      <c r="K264" s="361"/>
      <c r="L264" s="361"/>
      <c r="M264" s="361"/>
      <c r="N264" s="361"/>
      <c r="O264" s="361"/>
      <c r="P264" s="361"/>
      <c r="Q264" s="361"/>
      <c r="R264" s="361"/>
      <c r="S264" s="361"/>
      <c r="T264" s="361"/>
      <c r="U264" s="361"/>
      <c r="V264" s="361"/>
      <c r="W264" s="361"/>
      <c r="X264" s="361"/>
      <c r="Y264" s="361"/>
    </row>
    <row r="265" spans="2:25" s="349" customFormat="1" ht="20.100000000000001" customHeight="1">
      <c r="B265" s="361"/>
      <c r="C265" s="361"/>
      <c r="D265" s="361"/>
      <c r="E265" s="361"/>
      <c r="F265" s="361"/>
      <c r="G265" s="361"/>
      <c r="H265" s="361"/>
      <c r="I265" s="361"/>
      <c r="J265" s="361"/>
      <c r="K265" s="361"/>
      <c r="L265" s="361"/>
      <c r="M265" s="361"/>
      <c r="N265" s="361"/>
      <c r="O265" s="361"/>
      <c r="P265" s="361"/>
      <c r="Q265" s="361"/>
      <c r="R265" s="361"/>
      <c r="S265" s="361"/>
      <c r="T265" s="361"/>
      <c r="U265" s="361"/>
      <c r="V265" s="361"/>
      <c r="W265" s="361"/>
      <c r="X265" s="361"/>
      <c r="Y265" s="361"/>
    </row>
    <row r="266" spans="2:25" s="349" customFormat="1" ht="20.100000000000001" customHeight="1">
      <c r="B266" s="361"/>
      <c r="C266" s="361"/>
      <c r="D266" s="361"/>
      <c r="E266" s="361"/>
      <c r="F266" s="361"/>
      <c r="G266" s="361"/>
      <c r="H266" s="361"/>
      <c r="I266" s="361"/>
      <c r="J266" s="361"/>
      <c r="K266" s="361"/>
      <c r="L266" s="361"/>
      <c r="M266" s="361"/>
      <c r="N266" s="361"/>
      <c r="O266" s="361"/>
      <c r="P266" s="361"/>
      <c r="Q266" s="361"/>
      <c r="R266" s="361"/>
      <c r="S266" s="361"/>
      <c r="T266" s="361"/>
      <c r="U266" s="361"/>
      <c r="V266" s="361"/>
      <c r="W266" s="361"/>
      <c r="X266" s="361"/>
      <c r="Y266" s="361"/>
    </row>
    <row r="267" spans="2:25" s="349" customFormat="1" ht="20.100000000000001" customHeight="1">
      <c r="B267" s="361"/>
      <c r="C267" s="361"/>
      <c r="D267" s="361"/>
      <c r="E267" s="361"/>
      <c r="F267" s="361"/>
      <c r="G267" s="361"/>
      <c r="H267" s="361"/>
      <c r="I267" s="361"/>
      <c r="J267" s="361"/>
      <c r="K267" s="361"/>
      <c r="L267" s="361"/>
      <c r="M267" s="361"/>
      <c r="N267" s="361"/>
      <c r="O267" s="361"/>
      <c r="P267" s="361"/>
      <c r="Q267" s="361"/>
      <c r="R267" s="361"/>
      <c r="S267" s="361"/>
      <c r="T267" s="361"/>
      <c r="U267" s="361"/>
      <c r="V267" s="361"/>
      <c r="W267" s="361"/>
      <c r="X267" s="361"/>
      <c r="Y267" s="361"/>
    </row>
    <row r="268" spans="2:25" s="349" customFormat="1" ht="20.100000000000001" customHeight="1">
      <c r="B268" s="361"/>
      <c r="C268" s="361"/>
      <c r="D268" s="361"/>
      <c r="E268" s="361"/>
      <c r="F268" s="361"/>
      <c r="G268" s="361"/>
      <c r="H268" s="361"/>
      <c r="I268" s="361"/>
      <c r="J268" s="361"/>
      <c r="K268" s="361"/>
      <c r="L268" s="361"/>
      <c r="M268" s="361"/>
      <c r="N268" s="361"/>
      <c r="O268" s="361"/>
      <c r="P268" s="361"/>
      <c r="Q268" s="361"/>
      <c r="R268" s="361"/>
      <c r="S268" s="361"/>
      <c r="T268" s="361"/>
      <c r="U268" s="361"/>
      <c r="V268" s="361"/>
      <c r="W268" s="361"/>
      <c r="X268" s="361"/>
      <c r="Y268" s="361"/>
    </row>
    <row r="269" spans="2:25" s="349" customFormat="1" ht="20.100000000000001" customHeight="1">
      <c r="B269" s="361"/>
      <c r="C269" s="361"/>
      <c r="D269" s="361"/>
      <c r="E269" s="361"/>
      <c r="F269" s="361"/>
      <c r="G269" s="361"/>
      <c r="H269" s="361"/>
      <c r="I269" s="361"/>
      <c r="J269" s="361"/>
      <c r="K269" s="361"/>
      <c r="L269" s="361"/>
      <c r="M269" s="361"/>
      <c r="N269" s="361"/>
      <c r="O269" s="361"/>
      <c r="P269" s="361"/>
      <c r="Q269" s="361"/>
      <c r="R269" s="361"/>
      <c r="S269" s="361"/>
      <c r="T269" s="361"/>
      <c r="U269" s="361"/>
      <c r="V269" s="361"/>
      <c r="W269" s="361"/>
      <c r="X269" s="361"/>
      <c r="Y269" s="361"/>
    </row>
    <row r="270" spans="2:25" s="349" customFormat="1" ht="20.100000000000001" customHeight="1">
      <c r="B270" s="361"/>
      <c r="C270" s="361"/>
      <c r="D270" s="361"/>
      <c r="E270" s="361"/>
      <c r="F270" s="361"/>
      <c r="G270" s="361"/>
      <c r="H270" s="361"/>
      <c r="I270" s="361"/>
      <c r="J270" s="361"/>
      <c r="K270" s="361"/>
      <c r="L270" s="361"/>
      <c r="M270" s="361"/>
      <c r="N270" s="361"/>
      <c r="O270" s="361"/>
      <c r="P270" s="361"/>
      <c r="Q270" s="361"/>
      <c r="R270" s="361"/>
      <c r="S270" s="361"/>
      <c r="T270" s="361"/>
      <c r="U270" s="361"/>
      <c r="V270" s="361"/>
      <c r="W270" s="361"/>
      <c r="X270" s="361"/>
      <c r="Y270" s="361"/>
    </row>
    <row r="271" spans="2:25" s="349" customFormat="1" ht="20.100000000000001" customHeight="1">
      <c r="B271" s="361"/>
      <c r="C271" s="361"/>
      <c r="D271" s="361"/>
      <c r="E271" s="361"/>
      <c r="F271" s="361"/>
      <c r="G271" s="361"/>
      <c r="H271" s="361"/>
      <c r="I271" s="361"/>
      <c r="J271" s="361"/>
      <c r="K271" s="361"/>
      <c r="L271" s="361"/>
      <c r="M271" s="361"/>
      <c r="N271" s="361"/>
      <c r="O271" s="361"/>
      <c r="P271" s="361"/>
      <c r="Q271" s="361"/>
      <c r="R271" s="361"/>
      <c r="S271" s="361"/>
      <c r="T271" s="361"/>
      <c r="U271" s="361"/>
      <c r="V271" s="361"/>
      <c r="W271" s="361"/>
      <c r="X271" s="361"/>
      <c r="Y271" s="361"/>
    </row>
    <row r="272" spans="2:25" s="349" customFormat="1" ht="20.100000000000001" customHeight="1">
      <c r="B272" s="361"/>
      <c r="C272" s="361"/>
      <c r="D272" s="361"/>
      <c r="E272" s="361"/>
      <c r="F272" s="361"/>
      <c r="G272" s="361"/>
      <c r="H272" s="361"/>
      <c r="I272" s="361"/>
      <c r="J272" s="361"/>
      <c r="K272" s="361"/>
      <c r="L272" s="361"/>
      <c r="M272" s="361"/>
      <c r="N272" s="361"/>
      <c r="O272" s="361"/>
      <c r="P272" s="361"/>
      <c r="Q272" s="361"/>
      <c r="R272" s="361"/>
      <c r="S272" s="361"/>
      <c r="T272" s="361"/>
      <c r="U272" s="361"/>
      <c r="V272" s="361"/>
      <c r="W272" s="361"/>
      <c r="X272" s="361"/>
      <c r="Y272" s="361"/>
    </row>
    <row r="273" spans="2:25" s="349" customFormat="1" ht="20.100000000000001" customHeight="1">
      <c r="B273" s="361"/>
      <c r="C273" s="361"/>
      <c r="D273" s="361"/>
      <c r="E273" s="361"/>
      <c r="F273" s="361"/>
      <c r="G273" s="361"/>
      <c r="H273" s="361"/>
      <c r="I273" s="361"/>
      <c r="J273" s="361"/>
      <c r="K273" s="361"/>
      <c r="L273" s="361"/>
      <c r="M273" s="361"/>
      <c r="N273" s="361"/>
      <c r="O273" s="361"/>
      <c r="P273" s="361"/>
      <c r="Q273" s="361"/>
      <c r="R273" s="361"/>
      <c r="S273" s="361"/>
      <c r="T273" s="361"/>
      <c r="U273" s="361"/>
      <c r="V273" s="361"/>
      <c r="W273" s="361"/>
      <c r="X273" s="361"/>
      <c r="Y273" s="361"/>
    </row>
    <row r="274" spans="2:25" s="349" customFormat="1" ht="20.100000000000001" customHeight="1">
      <c r="B274" s="361"/>
      <c r="C274" s="361"/>
      <c r="D274" s="361"/>
      <c r="E274" s="361"/>
      <c r="F274" s="361"/>
      <c r="G274" s="361"/>
      <c r="H274" s="361"/>
      <c r="I274" s="361"/>
      <c r="J274" s="361"/>
      <c r="K274" s="361"/>
      <c r="L274" s="361"/>
      <c r="M274" s="361"/>
      <c r="N274" s="361"/>
      <c r="O274" s="361"/>
      <c r="P274" s="361"/>
      <c r="Q274" s="361"/>
      <c r="R274" s="361"/>
      <c r="S274" s="361"/>
      <c r="T274" s="361"/>
      <c r="U274" s="361"/>
      <c r="V274" s="361"/>
      <c r="W274" s="361"/>
      <c r="X274" s="361"/>
      <c r="Y274" s="361"/>
    </row>
    <row r="275" spans="2:25" s="349" customFormat="1" ht="20.100000000000001" customHeight="1">
      <c r="B275" s="361"/>
      <c r="C275" s="361"/>
      <c r="D275" s="361"/>
      <c r="E275" s="361"/>
      <c r="F275" s="361"/>
      <c r="G275" s="361"/>
      <c r="H275" s="361"/>
      <c r="I275" s="361"/>
      <c r="J275" s="361"/>
      <c r="K275" s="361"/>
      <c r="L275" s="361"/>
      <c r="M275" s="361"/>
      <c r="N275" s="361"/>
      <c r="O275" s="361"/>
      <c r="P275" s="361"/>
      <c r="Q275" s="361"/>
      <c r="R275" s="361"/>
      <c r="S275" s="361"/>
      <c r="T275" s="361"/>
      <c r="U275" s="361"/>
      <c r="V275" s="361"/>
      <c r="W275" s="361"/>
      <c r="X275" s="361"/>
      <c r="Y275" s="361"/>
    </row>
    <row r="276" spans="2:25" s="349" customFormat="1" ht="20.100000000000001" customHeight="1">
      <c r="B276" s="361"/>
      <c r="C276" s="361"/>
      <c r="D276" s="361"/>
      <c r="E276" s="361"/>
      <c r="F276" s="361"/>
      <c r="G276" s="361"/>
      <c r="H276" s="361"/>
      <c r="I276" s="361"/>
      <c r="J276" s="361"/>
      <c r="K276" s="361"/>
      <c r="L276" s="361"/>
      <c r="M276" s="361"/>
      <c r="N276" s="361"/>
      <c r="O276" s="361"/>
      <c r="P276" s="361"/>
      <c r="Q276" s="361"/>
      <c r="R276" s="361"/>
      <c r="S276" s="361"/>
      <c r="T276" s="361"/>
      <c r="U276" s="361"/>
      <c r="V276" s="361"/>
      <c r="W276" s="361"/>
      <c r="X276" s="361"/>
      <c r="Y276" s="361"/>
    </row>
    <row r="277" spans="2:25" s="349" customFormat="1" ht="20.100000000000001" customHeight="1">
      <c r="B277" s="361"/>
      <c r="C277" s="361"/>
      <c r="D277" s="361"/>
      <c r="E277" s="361"/>
      <c r="F277" s="361"/>
      <c r="G277" s="361"/>
      <c r="H277" s="361"/>
      <c r="I277" s="361"/>
      <c r="J277" s="361"/>
      <c r="K277" s="361"/>
      <c r="L277" s="361"/>
      <c r="M277" s="361"/>
      <c r="N277" s="361"/>
      <c r="O277" s="361"/>
      <c r="P277" s="361"/>
      <c r="Q277" s="361"/>
      <c r="R277" s="361"/>
      <c r="S277" s="361"/>
      <c r="T277" s="361"/>
      <c r="U277" s="361"/>
      <c r="V277" s="361"/>
      <c r="W277" s="361"/>
      <c r="X277" s="361"/>
      <c r="Y277" s="361"/>
    </row>
    <row r="278" spans="2:25" s="349" customFormat="1" ht="20.100000000000001" customHeight="1">
      <c r="B278" s="361"/>
      <c r="C278" s="361"/>
      <c r="D278" s="361"/>
      <c r="E278" s="361"/>
      <c r="F278" s="361"/>
      <c r="G278" s="361"/>
      <c r="H278" s="361"/>
      <c r="I278" s="361"/>
      <c r="J278" s="361"/>
      <c r="K278" s="361"/>
      <c r="L278" s="361"/>
      <c r="M278" s="361"/>
      <c r="N278" s="361"/>
      <c r="O278" s="361"/>
      <c r="P278" s="361"/>
      <c r="Q278" s="361"/>
      <c r="R278" s="361"/>
      <c r="S278" s="361"/>
      <c r="T278" s="361"/>
      <c r="U278" s="361"/>
      <c r="V278" s="361"/>
      <c r="W278" s="361"/>
      <c r="X278" s="361"/>
      <c r="Y278" s="361"/>
    </row>
    <row r="279" spans="2:25" s="349" customFormat="1" ht="20.100000000000001" customHeight="1">
      <c r="B279" s="361"/>
      <c r="C279" s="361"/>
      <c r="D279" s="361"/>
      <c r="E279" s="361"/>
      <c r="F279" s="361"/>
      <c r="G279" s="361"/>
      <c r="H279" s="361"/>
      <c r="I279" s="361"/>
      <c r="J279" s="361"/>
      <c r="K279" s="361"/>
      <c r="L279" s="361"/>
      <c r="M279" s="361"/>
      <c r="N279" s="361"/>
      <c r="O279" s="361"/>
      <c r="P279" s="361"/>
      <c r="Q279" s="361"/>
      <c r="R279" s="361"/>
      <c r="S279" s="361"/>
      <c r="T279" s="361"/>
      <c r="U279" s="361"/>
      <c r="V279" s="361"/>
      <c r="W279" s="361"/>
      <c r="X279" s="361"/>
      <c r="Y279" s="361"/>
    </row>
    <row r="280" spans="2:25" s="349" customFormat="1" ht="20.100000000000001" customHeight="1">
      <c r="B280" s="361"/>
      <c r="C280" s="361"/>
      <c r="D280" s="361"/>
      <c r="E280" s="361"/>
      <c r="F280" s="361"/>
      <c r="G280" s="361"/>
      <c r="H280" s="361"/>
      <c r="I280" s="361"/>
      <c r="J280" s="361"/>
      <c r="K280" s="361"/>
      <c r="L280" s="361"/>
      <c r="M280" s="361"/>
      <c r="N280" s="361"/>
      <c r="O280" s="361"/>
      <c r="P280" s="361"/>
      <c r="Q280" s="361"/>
      <c r="R280" s="361"/>
      <c r="S280" s="361"/>
      <c r="T280" s="361"/>
      <c r="U280" s="361"/>
      <c r="V280" s="361"/>
      <c r="W280" s="361"/>
      <c r="X280" s="361"/>
      <c r="Y280" s="361"/>
    </row>
    <row r="281" spans="2:25" s="349" customFormat="1" ht="20.100000000000001" customHeight="1">
      <c r="B281" s="361"/>
      <c r="C281" s="361"/>
      <c r="D281" s="361"/>
      <c r="E281" s="361"/>
      <c r="F281" s="361"/>
      <c r="G281" s="361"/>
      <c r="H281" s="361"/>
      <c r="I281" s="361"/>
      <c r="J281" s="361"/>
      <c r="K281" s="361"/>
      <c r="L281" s="361"/>
      <c r="M281" s="361"/>
      <c r="N281" s="361"/>
      <c r="O281" s="361"/>
      <c r="P281" s="361"/>
      <c r="Q281" s="361"/>
      <c r="R281" s="361"/>
      <c r="S281" s="361"/>
      <c r="T281" s="361"/>
      <c r="U281" s="361"/>
      <c r="V281" s="361"/>
      <c r="W281" s="361"/>
      <c r="X281" s="361"/>
      <c r="Y281" s="361"/>
    </row>
    <row r="282" spans="2:25" s="349" customFormat="1" ht="20.100000000000001" customHeight="1">
      <c r="B282" s="361"/>
      <c r="C282" s="361"/>
      <c r="D282" s="361"/>
      <c r="E282" s="361"/>
      <c r="F282" s="361"/>
      <c r="G282" s="361"/>
      <c r="H282" s="361"/>
      <c r="I282" s="361"/>
      <c r="J282" s="361"/>
      <c r="K282" s="361"/>
      <c r="L282" s="361"/>
      <c r="M282" s="361"/>
      <c r="N282" s="361"/>
      <c r="O282" s="361"/>
      <c r="P282" s="361"/>
      <c r="Q282" s="361"/>
      <c r="R282" s="361"/>
      <c r="S282" s="361"/>
      <c r="T282" s="361"/>
      <c r="U282" s="361"/>
      <c r="V282" s="361"/>
      <c r="W282" s="361"/>
      <c r="X282" s="361"/>
      <c r="Y282" s="361"/>
    </row>
    <row r="283" spans="2:25" s="349" customFormat="1" ht="20.100000000000001" customHeight="1">
      <c r="B283" s="361"/>
      <c r="C283" s="361"/>
      <c r="D283" s="361"/>
      <c r="E283" s="361"/>
      <c r="F283" s="361"/>
      <c r="G283" s="361"/>
      <c r="H283" s="361"/>
      <c r="I283" s="361"/>
      <c r="J283" s="361"/>
      <c r="K283" s="361"/>
      <c r="L283" s="361"/>
      <c r="M283" s="361"/>
      <c r="N283" s="361"/>
      <c r="O283" s="361"/>
      <c r="P283" s="361"/>
      <c r="Q283" s="361"/>
      <c r="R283" s="361"/>
      <c r="S283" s="361"/>
      <c r="T283" s="361"/>
      <c r="U283" s="361"/>
      <c r="V283" s="361"/>
      <c r="W283" s="361"/>
      <c r="X283" s="361"/>
      <c r="Y283" s="361"/>
    </row>
    <row r="284" spans="2:25" s="349" customFormat="1" ht="20.100000000000001" customHeight="1">
      <c r="B284" s="361"/>
      <c r="C284" s="361"/>
      <c r="D284" s="361"/>
      <c r="E284" s="361"/>
      <c r="F284" s="361"/>
      <c r="G284" s="361"/>
      <c r="H284" s="361"/>
      <c r="I284" s="361"/>
      <c r="J284" s="361"/>
      <c r="K284" s="361"/>
      <c r="L284" s="361"/>
      <c r="M284" s="361"/>
      <c r="N284" s="361"/>
      <c r="O284" s="361"/>
      <c r="P284" s="361"/>
      <c r="Q284" s="361"/>
      <c r="R284" s="361"/>
      <c r="S284" s="361"/>
      <c r="T284" s="361"/>
      <c r="U284" s="361"/>
      <c r="V284" s="361"/>
      <c r="W284" s="361"/>
      <c r="X284" s="361"/>
      <c r="Y284" s="361"/>
    </row>
    <row r="285" spans="2:25" s="349" customFormat="1" ht="20.100000000000001" customHeight="1">
      <c r="B285" s="361"/>
      <c r="C285" s="361"/>
      <c r="D285" s="361"/>
      <c r="E285" s="361"/>
      <c r="F285" s="361"/>
      <c r="G285" s="361"/>
      <c r="H285" s="361"/>
      <c r="I285" s="361"/>
      <c r="J285" s="361"/>
      <c r="K285" s="361"/>
      <c r="L285" s="361"/>
      <c r="M285" s="361"/>
      <c r="N285" s="361"/>
      <c r="O285" s="361"/>
      <c r="P285" s="361"/>
      <c r="Q285" s="361"/>
      <c r="R285" s="361"/>
      <c r="S285" s="361"/>
      <c r="T285" s="361"/>
      <c r="U285" s="361"/>
      <c r="V285" s="361"/>
      <c r="W285" s="361"/>
      <c r="X285" s="361"/>
      <c r="Y285" s="361"/>
    </row>
    <row r="286" spans="2:25" s="349" customFormat="1" ht="19.899999999999999" customHeight="1">
      <c r="B286" s="361"/>
      <c r="C286" s="361"/>
      <c r="D286" s="361"/>
      <c r="E286" s="361"/>
      <c r="F286" s="361"/>
      <c r="G286" s="361"/>
      <c r="H286" s="361"/>
      <c r="I286" s="361"/>
      <c r="J286" s="361"/>
      <c r="K286" s="361"/>
      <c r="L286" s="361"/>
      <c r="M286" s="361"/>
      <c r="N286" s="361"/>
      <c r="O286" s="361"/>
      <c r="P286" s="361"/>
      <c r="Q286" s="361"/>
      <c r="R286" s="361"/>
      <c r="S286" s="361"/>
      <c r="T286" s="361"/>
      <c r="U286" s="361"/>
      <c r="V286" s="361"/>
      <c r="W286" s="361"/>
      <c r="X286" s="361"/>
      <c r="Y286" s="361"/>
    </row>
    <row r="287" spans="2:25" s="349" customFormat="1" ht="20.100000000000001" customHeight="1">
      <c r="B287" s="361"/>
      <c r="C287" s="361"/>
      <c r="D287" s="361"/>
      <c r="E287" s="361"/>
      <c r="F287" s="361"/>
      <c r="G287" s="361"/>
      <c r="H287" s="361"/>
      <c r="I287" s="361"/>
      <c r="J287" s="361"/>
      <c r="K287" s="361"/>
      <c r="L287" s="361"/>
      <c r="M287" s="361"/>
      <c r="N287" s="361"/>
      <c r="O287" s="361"/>
      <c r="P287" s="361"/>
      <c r="Q287" s="361"/>
      <c r="R287" s="361"/>
      <c r="S287" s="361"/>
      <c r="T287" s="361"/>
      <c r="U287" s="361"/>
      <c r="V287" s="361"/>
      <c r="W287" s="361"/>
      <c r="X287" s="361"/>
      <c r="Y287" s="361"/>
    </row>
    <row r="288" spans="2:25" s="349" customFormat="1" ht="20.100000000000001" customHeight="1">
      <c r="B288" s="361"/>
      <c r="C288" s="361"/>
      <c r="D288" s="361"/>
      <c r="E288" s="361"/>
      <c r="F288" s="361"/>
      <c r="G288" s="361"/>
      <c r="H288" s="361"/>
      <c r="I288" s="361"/>
      <c r="J288" s="361"/>
      <c r="K288" s="361"/>
      <c r="L288" s="361"/>
      <c r="M288" s="361"/>
      <c r="N288" s="361"/>
      <c r="O288" s="361"/>
      <c r="P288" s="361"/>
      <c r="Q288" s="361"/>
      <c r="R288" s="361"/>
      <c r="S288" s="361"/>
      <c r="T288" s="361"/>
      <c r="U288" s="361"/>
      <c r="V288" s="361"/>
      <c r="W288" s="361"/>
      <c r="X288" s="361"/>
      <c r="Y288" s="361"/>
    </row>
    <row r="289" spans="2:25" s="349" customFormat="1" ht="20.100000000000001" customHeight="1">
      <c r="B289" s="361"/>
      <c r="C289" s="361"/>
      <c r="D289" s="361"/>
      <c r="E289" s="361"/>
      <c r="F289" s="361"/>
      <c r="G289" s="361"/>
      <c r="H289" s="361"/>
      <c r="I289" s="361"/>
      <c r="J289" s="361"/>
      <c r="K289" s="361"/>
      <c r="L289" s="361"/>
      <c r="M289" s="361"/>
      <c r="N289" s="361"/>
      <c r="O289" s="361"/>
      <c r="P289" s="361"/>
      <c r="Q289" s="361"/>
      <c r="R289" s="361"/>
      <c r="S289" s="361"/>
      <c r="T289" s="361"/>
      <c r="U289" s="361"/>
      <c r="V289" s="361"/>
      <c r="W289" s="361"/>
      <c r="X289" s="361"/>
      <c r="Y289" s="361"/>
    </row>
    <row r="290" spans="2:25" s="349" customFormat="1" ht="20.100000000000001" customHeight="1">
      <c r="B290" s="361"/>
      <c r="C290" s="361"/>
      <c r="D290" s="361"/>
      <c r="E290" s="361"/>
      <c r="F290" s="361"/>
      <c r="G290" s="361"/>
      <c r="H290" s="361"/>
      <c r="I290" s="361"/>
      <c r="J290" s="361"/>
      <c r="K290" s="361"/>
      <c r="L290" s="361"/>
      <c r="M290" s="361"/>
      <c r="N290" s="361"/>
      <c r="O290" s="361"/>
      <c r="P290" s="361"/>
      <c r="Q290" s="361"/>
      <c r="R290" s="361"/>
      <c r="S290" s="361"/>
      <c r="T290" s="361"/>
      <c r="U290" s="361"/>
      <c r="V290" s="361"/>
      <c r="W290" s="361"/>
      <c r="X290" s="361"/>
      <c r="Y290" s="361"/>
    </row>
    <row r="291" spans="2:25" s="349" customFormat="1" ht="20.100000000000001" customHeight="1">
      <c r="B291" s="361"/>
      <c r="C291" s="361"/>
      <c r="D291" s="361"/>
      <c r="E291" s="361"/>
      <c r="F291" s="361"/>
      <c r="G291" s="361"/>
      <c r="H291" s="361"/>
      <c r="I291" s="361"/>
      <c r="J291" s="361"/>
      <c r="K291" s="361"/>
      <c r="L291" s="361"/>
      <c r="M291" s="361"/>
      <c r="N291" s="361"/>
      <c r="O291" s="361"/>
      <c r="P291" s="361"/>
      <c r="Q291" s="361"/>
      <c r="R291" s="361"/>
      <c r="S291" s="361"/>
      <c r="T291" s="361"/>
      <c r="U291" s="361"/>
      <c r="V291" s="361"/>
      <c r="W291" s="361"/>
      <c r="X291" s="361"/>
      <c r="Y291" s="361"/>
    </row>
    <row r="292" spans="2:25" s="349" customFormat="1" ht="20.100000000000001" customHeight="1">
      <c r="B292" s="361"/>
      <c r="C292" s="361"/>
      <c r="D292" s="361"/>
      <c r="E292" s="361"/>
      <c r="F292" s="361"/>
      <c r="G292" s="361"/>
      <c r="H292" s="361"/>
      <c r="I292" s="361"/>
      <c r="J292" s="361"/>
      <c r="K292" s="361"/>
      <c r="L292" s="361"/>
      <c r="M292" s="361"/>
      <c r="N292" s="361"/>
      <c r="O292" s="361"/>
      <c r="P292" s="361"/>
      <c r="Q292" s="361"/>
      <c r="R292" s="361"/>
      <c r="S292" s="361"/>
      <c r="T292" s="361"/>
      <c r="U292" s="361"/>
      <c r="V292" s="361"/>
      <c r="W292" s="361"/>
      <c r="X292" s="361"/>
      <c r="Y292" s="361"/>
    </row>
    <row r="293" spans="2:25" s="349" customFormat="1" ht="20.100000000000001" customHeight="1">
      <c r="B293" s="361"/>
      <c r="C293" s="361"/>
      <c r="D293" s="361"/>
      <c r="E293" s="361"/>
      <c r="F293" s="361"/>
      <c r="G293" s="361"/>
      <c r="H293" s="361"/>
      <c r="I293" s="361"/>
      <c r="J293" s="361"/>
      <c r="K293" s="361"/>
      <c r="L293" s="361"/>
      <c r="M293" s="361"/>
      <c r="N293" s="361"/>
      <c r="O293" s="361"/>
      <c r="P293" s="361"/>
      <c r="Q293" s="361"/>
      <c r="R293" s="361"/>
      <c r="S293" s="361"/>
      <c r="T293" s="361"/>
      <c r="U293" s="361"/>
      <c r="V293" s="361"/>
      <c r="W293" s="361"/>
      <c r="X293" s="361"/>
      <c r="Y293" s="361"/>
    </row>
    <row r="294" spans="2:25" s="349" customFormat="1" ht="20.100000000000001" customHeight="1">
      <c r="B294" s="361"/>
      <c r="C294" s="361"/>
      <c r="D294" s="361"/>
      <c r="E294" s="361"/>
      <c r="F294" s="361"/>
      <c r="G294" s="361"/>
      <c r="H294" s="361"/>
      <c r="I294" s="361"/>
      <c r="J294" s="361"/>
      <c r="K294" s="361"/>
      <c r="L294" s="361"/>
      <c r="M294" s="361"/>
      <c r="N294" s="361"/>
      <c r="O294" s="361"/>
      <c r="P294" s="361"/>
      <c r="Q294" s="361"/>
      <c r="R294" s="361"/>
      <c r="S294" s="361"/>
      <c r="T294" s="361"/>
      <c r="U294" s="361"/>
      <c r="V294" s="361"/>
      <c r="W294" s="361"/>
      <c r="X294" s="361"/>
      <c r="Y294" s="361"/>
    </row>
    <row r="295" spans="2:25" s="349" customFormat="1" ht="20.100000000000001" customHeight="1">
      <c r="B295" s="361"/>
      <c r="C295" s="361"/>
      <c r="D295" s="361"/>
      <c r="E295" s="361"/>
      <c r="F295" s="361"/>
      <c r="G295" s="361"/>
      <c r="H295" s="361"/>
      <c r="I295" s="361"/>
      <c r="J295" s="361"/>
      <c r="K295" s="361"/>
      <c r="L295" s="361"/>
      <c r="M295" s="361"/>
      <c r="N295" s="361"/>
      <c r="O295" s="361"/>
      <c r="P295" s="361"/>
      <c r="Q295" s="361"/>
      <c r="R295" s="361"/>
      <c r="S295" s="361"/>
      <c r="T295" s="361"/>
      <c r="U295" s="361"/>
      <c r="V295" s="361"/>
      <c r="W295" s="361"/>
      <c r="X295" s="361"/>
      <c r="Y295" s="361"/>
    </row>
    <row r="296" spans="2:25" s="349" customFormat="1" ht="20.100000000000001" customHeight="1">
      <c r="B296" s="361"/>
      <c r="C296" s="361"/>
      <c r="D296" s="361"/>
      <c r="E296" s="361"/>
      <c r="F296" s="361"/>
      <c r="G296" s="361"/>
      <c r="H296" s="361"/>
      <c r="I296" s="361"/>
      <c r="J296" s="361"/>
      <c r="K296" s="361"/>
      <c r="L296" s="361"/>
      <c r="M296" s="361"/>
      <c r="N296" s="361"/>
      <c r="O296" s="361"/>
      <c r="P296" s="361"/>
      <c r="Q296" s="361"/>
      <c r="R296" s="361"/>
      <c r="S296" s="361"/>
      <c r="T296" s="361"/>
      <c r="U296" s="361"/>
      <c r="V296" s="361"/>
      <c r="W296" s="361"/>
      <c r="X296" s="361"/>
      <c r="Y296" s="361"/>
    </row>
    <row r="297" spans="2:25" s="349" customFormat="1" ht="20.100000000000001" customHeight="1">
      <c r="B297" s="361"/>
      <c r="C297" s="361"/>
      <c r="D297" s="361"/>
      <c r="E297" s="361"/>
      <c r="F297" s="361"/>
      <c r="G297" s="361"/>
      <c r="H297" s="361"/>
      <c r="I297" s="361"/>
      <c r="J297" s="361"/>
      <c r="K297" s="361"/>
      <c r="L297" s="361"/>
      <c r="M297" s="361"/>
      <c r="N297" s="361"/>
      <c r="O297" s="361"/>
      <c r="P297" s="361"/>
      <c r="Q297" s="361"/>
      <c r="R297" s="361"/>
      <c r="S297" s="361"/>
      <c r="T297" s="361"/>
      <c r="U297" s="361"/>
      <c r="V297" s="361"/>
      <c r="W297" s="361"/>
      <c r="X297" s="361"/>
      <c r="Y297" s="361"/>
    </row>
    <row r="298" spans="2:25" s="349" customFormat="1" ht="20.100000000000001" customHeight="1">
      <c r="B298" s="361"/>
      <c r="C298" s="361"/>
      <c r="D298" s="361"/>
      <c r="E298" s="361"/>
      <c r="F298" s="361"/>
      <c r="G298" s="361"/>
      <c r="H298" s="361"/>
      <c r="I298" s="361"/>
      <c r="J298" s="361"/>
      <c r="K298" s="361"/>
      <c r="L298" s="361"/>
      <c r="M298" s="361"/>
      <c r="N298" s="361"/>
      <c r="O298" s="361"/>
      <c r="P298" s="361"/>
      <c r="Q298" s="361"/>
      <c r="R298" s="361"/>
      <c r="S298" s="361"/>
      <c r="T298" s="361"/>
      <c r="U298" s="361"/>
      <c r="V298" s="361"/>
      <c r="W298" s="361"/>
      <c r="X298" s="361"/>
      <c r="Y298" s="361"/>
    </row>
    <row r="299" spans="2:25" s="349" customFormat="1" ht="20.100000000000001" customHeight="1">
      <c r="B299" s="361"/>
      <c r="C299" s="361"/>
      <c r="D299" s="361"/>
      <c r="E299" s="361"/>
      <c r="F299" s="361"/>
      <c r="G299" s="361"/>
      <c r="H299" s="361"/>
      <c r="I299" s="361"/>
      <c r="J299" s="361"/>
      <c r="K299" s="361"/>
      <c r="L299" s="361"/>
      <c r="M299" s="361"/>
      <c r="N299" s="361"/>
      <c r="O299" s="361"/>
      <c r="P299" s="361"/>
      <c r="Q299" s="361"/>
      <c r="R299" s="361"/>
      <c r="S299" s="361"/>
      <c r="T299" s="361"/>
      <c r="U299" s="361"/>
      <c r="V299" s="361"/>
      <c r="W299" s="361"/>
      <c r="X299" s="361"/>
      <c r="Y299" s="361"/>
    </row>
    <row r="300" spans="2:25" s="349" customFormat="1" ht="20.100000000000001" customHeight="1">
      <c r="B300" s="361"/>
      <c r="C300" s="361"/>
      <c r="D300" s="361"/>
      <c r="E300" s="361"/>
      <c r="F300" s="361"/>
      <c r="G300" s="361"/>
      <c r="H300" s="361"/>
      <c r="I300" s="361"/>
      <c r="J300" s="361"/>
      <c r="K300" s="361"/>
      <c r="L300" s="361"/>
      <c r="M300" s="361"/>
      <c r="N300" s="361"/>
      <c r="O300" s="361"/>
      <c r="P300" s="361"/>
      <c r="Q300" s="361"/>
      <c r="R300" s="361"/>
      <c r="S300" s="361"/>
      <c r="T300" s="361"/>
      <c r="U300" s="361"/>
      <c r="V300" s="361"/>
      <c r="W300" s="361"/>
      <c r="X300" s="361"/>
      <c r="Y300" s="361"/>
    </row>
    <row r="301" spans="2:25" ht="20.100000000000001" customHeight="1"/>
    <row r="302" spans="2:25" ht="9.9499999999999993" customHeight="1"/>
    <row r="303" spans="2:25" ht="20.100000000000001" customHeight="1"/>
    <row r="304" spans="2:25" ht="20.100000000000001" customHeight="1"/>
    <row r="305" spans="2:25" ht="20.100000000000001" customHeight="1"/>
    <row r="306" spans="2:25" ht="20.100000000000001" customHeight="1"/>
    <row r="307" spans="2:25" s="349" customFormat="1" ht="20.100000000000001" customHeight="1">
      <c r="B307" s="361"/>
      <c r="C307" s="361"/>
      <c r="D307" s="361"/>
      <c r="E307" s="361"/>
      <c r="F307" s="361"/>
      <c r="G307" s="361"/>
      <c r="H307" s="361"/>
      <c r="I307" s="361"/>
      <c r="J307" s="361"/>
      <c r="K307" s="361"/>
      <c r="L307" s="361"/>
      <c r="M307" s="361"/>
      <c r="N307" s="361"/>
      <c r="O307" s="361"/>
      <c r="P307" s="361"/>
      <c r="Q307" s="361"/>
      <c r="R307" s="361"/>
      <c r="S307" s="361"/>
      <c r="T307" s="361"/>
      <c r="U307" s="361"/>
      <c r="V307" s="361"/>
      <c r="W307" s="361"/>
      <c r="X307" s="361"/>
      <c r="Y307" s="361"/>
    </row>
    <row r="308" spans="2:25" s="349" customFormat="1" ht="20.100000000000001" customHeight="1">
      <c r="B308" s="361"/>
      <c r="C308" s="361"/>
      <c r="D308" s="361"/>
      <c r="E308" s="361"/>
      <c r="F308" s="361"/>
      <c r="G308" s="361"/>
      <c r="H308" s="361"/>
      <c r="I308" s="361"/>
      <c r="J308" s="361"/>
      <c r="K308" s="361"/>
      <c r="L308" s="361"/>
      <c r="M308" s="361"/>
      <c r="N308" s="361"/>
      <c r="O308" s="361"/>
      <c r="P308" s="361"/>
      <c r="Q308" s="361"/>
      <c r="R308" s="361"/>
      <c r="S308" s="361"/>
      <c r="T308" s="361"/>
      <c r="U308" s="361"/>
      <c r="V308" s="361"/>
      <c r="W308" s="361"/>
      <c r="X308" s="361"/>
      <c r="Y308" s="361"/>
    </row>
    <row r="309" spans="2:25" s="349" customFormat="1" ht="20.100000000000001" customHeight="1">
      <c r="B309" s="361"/>
      <c r="C309" s="361"/>
      <c r="D309" s="361"/>
      <c r="E309" s="361"/>
      <c r="F309" s="361"/>
      <c r="G309" s="361"/>
      <c r="H309" s="361"/>
      <c r="I309" s="361"/>
      <c r="J309" s="361"/>
      <c r="K309" s="361"/>
      <c r="L309" s="361"/>
      <c r="M309" s="361"/>
      <c r="N309" s="361"/>
      <c r="O309" s="361"/>
      <c r="P309" s="361"/>
      <c r="Q309" s="361"/>
      <c r="R309" s="361"/>
      <c r="S309" s="361"/>
      <c r="T309" s="361"/>
      <c r="U309" s="361"/>
      <c r="V309" s="361"/>
      <c r="W309" s="361"/>
      <c r="X309" s="361"/>
      <c r="Y309" s="361"/>
    </row>
    <row r="310" spans="2:25" s="349" customFormat="1" ht="20.100000000000001" customHeight="1">
      <c r="B310" s="361"/>
      <c r="C310" s="361"/>
      <c r="D310" s="361"/>
      <c r="E310" s="361"/>
      <c r="F310" s="361"/>
      <c r="G310" s="361"/>
      <c r="H310" s="361"/>
      <c r="I310" s="361"/>
      <c r="J310" s="361"/>
      <c r="K310" s="361"/>
      <c r="L310" s="361"/>
      <c r="M310" s="361"/>
      <c r="N310" s="361"/>
      <c r="O310" s="361"/>
      <c r="P310" s="361"/>
      <c r="Q310" s="361"/>
      <c r="R310" s="361"/>
      <c r="S310" s="361"/>
      <c r="T310" s="361"/>
      <c r="U310" s="361"/>
      <c r="V310" s="361"/>
      <c r="W310" s="361"/>
      <c r="X310" s="361"/>
      <c r="Y310" s="361"/>
    </row>
    <row r="311" spans="2:25" s="349" customFormat="1" ht="20.100000000000001" customHeight="1">
      <c r="B311" s="361"/>
      <c r="C311" s="361"/>
      <c r="D311" s="361"/>
      <c r="E311" s="361"/>
      <c r="F311" s="361"/>
      <c r="G311" s="361"/>
      <c r="H311" s="361"/>
      <c r="I311" s="361"/>
      <c r="J311" s="361"/>
      <c r="K311" s="361"/>
      <c r="L311" s="361"/>
      <c r="M311" s="361"/>
      <c r="N311" s="361"/>
      <c r="O311" s="361"/>
      <c r="P311" s="361"/>
      <c r="Q311" s="361"/>
      <c r="R311" s="361"/>
      <c r="S311" s="361"/>
      <c r="T311" s="361"/>
      <c r="U311" s="361"/>
      <c r="V311" s="361"/>
      <c r="W311" s="361"/>
      <c r="X311" s="361"/>
      <c r="Y311" s="361"/>
    </row>
    <row r="312" spans="2:25" s="349" customFormat="1" ht="20.100000000000001" customHeight="1">
      <c r="B312" s="361"/>
      <c r="C312" s="361"/>
      <c r="D312" s="361"/>
      <c r="E312" s="361"/>
      <c r="F312" s="361"/>
      <c r="G312" s="361"/>
      <c r="H312" s="361"/>
      <c r="I312" s="361"/>
      <c r="J312" s="361"/>
      <c r="K312" s="361"/>
      <c r="L312" s="361"/>
      <c r="M312" s="361"/>
      <c r="N312" s="361"/>
      <c r="O312" s="361"/>
      <c r="P312" s="361"/>
      <c r="Q312" s="361"/>
      <c r="R312" s="361"/>
      <c r="S312" s="361"/>
      <c r="T312" s="361"/>
      <c r="U312" s="361"/>
      <c r="V312" s="361"/>
      <c r="W312" s="361"/>
      <c r="X312" s="361"/>
      <c r="Y312" s="361"/>
    </row>
    <row r="313" spans="2:25" s="349" customFormat="1" ht="20.100000000000001" customHeight="1">
      <c r="B313" s="361"/>
      <c r="C313" s="361"/>
      <c r="D313" s="361"/>
      <c r="E313" s="361"/>
      <c r="F313" s="361"/>
      <c r="G313" s="361"/>
      <c r="H313" s="361"/>
      <c r="I313" s="361"/>
      <c r="J313" s="361"/>
      <c r="K313" s="361"/>
      <c r="L313" s="361"/>
      <c r="M313" s="361"/>
      <c r="N313" s="361"/>
      <c r="O313" s="361"/>
      <c r="P313" s="361"/>
      <c r="Q313" s="361"/>
      <c r="R313" s="361"/>
      <c r="S313" s="361"/>
      <c r="T313" s="361"/>
      <c r="U313" s="361"/>
      <c r="V313" s="361"/>
      <c r="W313" s="361"/>
      <c r="X313" s="361"/>
      <c r="Y313" s="361"/>
    </row>
    <row r="314" spans="2:25" s="349" customFormat="1" ht="20.100000000000001" customHeight="1">
      <c r="B314" s="361"/>
      <c r="C314" s="361"/>
      <c r="D314" s="361"/>
      <c r="E314" s="361"/>
      <c r="F314" s="361"/>
      <c r="G314" s="361"/>
      <c r="H314" s="361"/>
      <c r="I314" s="361"/>
      <c r="J314" s="361"/>
      <c r="K314" s="361"/>
      <c r="L314" s="361"/>
      <c r="M314" s="361"/>
      <c r="N314" s="361"/>
      <c r="O314" s="361"/>
      <c r="P314" s="361"/>
      <c r="Q314" s="361"/>
      <c r="R314" s="361"/>
      <c r="S314" s="361"/>
      <c r="T314" s="361"/>
      <c r="U314" s="361"/>
      <c r="V314" s="361"/>
      <c r="W314" s="361"/>
      <c r="X314" s="361"/>
      <c r="Y314" s="361"/>
    </row>
    <row r="315" spans="2:25" s="349" customFormat="1" ht="20.100000000000001" customHeight="1">
      <c r="B315" s="361"/>
      <c r="C315" s="361"/>
      <c r="D315" s="361"/>
      <c r="E315" s="361"/>
      <c r="F315" s="361"/>
      <c r="G315" s="361"/>
      <c r="H315" s="361"/>
      <c r="I315" s="361"/>
      <c r="J315" s="361"/>
      <c r="K315" s="361"/>
      <c r="L315" s="361"/>
      <c r="M315" s="361"/>
      <c r="N315" s="361"/>
      <c r="O315" s="361"/>
      <c r="P315" s="361"/>
      <c r="Q315" s="361"/>
      <c r="R315" s="361"/>
      <c r="S315" s="361"/>
      <c r="T315" s="361"/>
      <c r="U315" s="361"/>
      <c r="V315" s="361"/>
      <c r="W315" s="361"/>
      <c r="X315" s="361"/>
      <c r="Y315" s="361"/>
    </row>
    <row r="316" spans="2:25" s="349" customFormat="1" ht="20.100000000000001" customHeight="1">
      <c r="B316" s="361"/>
      <c r="C316" s="361"/>
      <c r="D316" s="361"/>
      <c r="E316" s="361"/>
      <c r="F316" s="361"/>
      <c r="G316" s="361"/>
      <c r="H316" s="361"/>
      <c r="I316" s="361"/>
      <c r="J316" s="361"/>
      <c r="K316" s="361"/>
      <c r="L316" s="361"/>
      <c r="M316" s="361"/>
      <c r="N316" s="361"/>
      <c r="O316" s="361"/>
      <c r="P316" s="361"/>
      <c r="Q316" s="361"/>
      <c r="R316" s="361"/>
      <c r="S316" s="361"/>
      <c r="T316" s="361"/>
      <c r="U316" s="361"/>
      <c r="V316" s="361"/>
      <c r="W316" s="361"/>
      <c r="X316" s="361"/>
      <c r="Y316" s="361"/>
    </row>
    <row r="317" spans="2:25" s="349" customFormat="1" ht="20.100000000000001" customHeight="1">
      <c r="B317" s="361"/>
      <c r="C317" s="361"/>
      <c r="D317" s="361"/>
      <c r="E317" s="361"/>
      <c r="F317" s="361"/>
      <c r="G317" s="361"/>
      <c r="H317" s="361"/>
      <c r="I317" s="361"/>
      <c r="J317" s="361"/>
      <c r="K317" s="361"/>
      <c r="L317" s="361"/>
      <c r="M317" s="361"/>
      <c r="N317" s="361"/>
      <c r="O317" s="361"/>
      <c r="P317" s="361"/>
      <c r="Q317" s="361"/>
      <c r="R317" s="361"/>
      <c r="S317" s="361"/>
      <c r="T317" s="361"/>
      <c r="U317" s="361"/>
      <c r="V317" s="361"/>
      <c r="W317" s="361"/>
      <c r="X317" s="361"/>
      <c r="Y317" s="361"/>
    </row>
    <row r="318" spans="2:25" s="349" customFormat="1" ht="20.100000000000001" customHeight="1">
      <c r="B318" s="361"/>
      <c r="C318" s="361"/>
      <c r="D318" s="361"/>
      <c r="E318" s="361"/>
      <c r="F318" s="361"/>
      <c r="G318" s="361"/>
      <c r="H318" s="361"/>
      <c r="I318" s="361"/>
      <c r="J318" s="361"/>
      <c r="K318" s="361"/>
      <c r="L318" s="361"/>
      <c r="M318" s="361"/>
      <c r="N318" s="361"/>
      <c r="O318" s="361"/>
      <c r="P318" s="361"/>
      <c r="Q318" s="361"/>
      <c r="R318" s="361"/>
      <c r="S318" s="361"/>
      <c r="T318" s="361"/>
      <c r="U318" s="361"/>
      <c r="V318" s="361"/>
      <c r="W318" s="361"/>
      <c r="X318" s="361"/>
      <c r="Y318" s="361"/>
    </row>
    <row r="319" spans="2:25" s="349" customFormat="1" ht="20.100000000000001" customHeight="1">
      <c r="B319" s="361"/>
      <c r="C319" s="361"/>
      <c r="D319" s="361"/>
      <c r="E319" s="361"/>
      <c r="F319" s="361"/>
      <c r="G319" s="361"/>
      <c r="H319" s="361"/>
      <c r="I319" s="361"/>
      <c r="J319" s="361"/>
      <c r="K319" s="361"/>
      <c r="L319" s="361"/>
      <c r="M319" s="361"/>
      <c r="N319" s="361"/>
      <c r="O319" s="361"/>
      <c r="P319" s="361"/>
      <c r="Q319" s="361"/>
      <c r="R319" s="361"/>
      <c r="S319" s="361"/>
      <c r="T319" s="361"/>
      <c r="U319" s="361"/>
      <c r="V319" s="361"/>
      <c r="W319" s="361"/>
      <c r="X319" s="361"/>
      <c r="Y319" s="361"/>
    </row>
    <row r="320" spans="2:25" s="349" customFormat="1" ht="20.100000000000001" customHeight="1">
      <c r="B320" s="361"/>
      <c r="C320" s="361"/>
      <c r="D320" s="361"/>
      <c r="E320" s="361"/>
      <c r="F320" s="361"/>
      <c r="G320" s="361"/>
      <c r="H320" s="361"/>
      <c r="I320" s="361"/>
      <c r="J320" s="361"/>
      <c r="K320" s="361"/>
      <c r="L320" s="361"/>
      <c r="M320" s="361"/>
      <c r="N320" s="361"/>
      <c r="O320" s="361"/>
      <c r="P320" s="361"/>
      <c r="Q320" s="361"/>
      <c r="R320" s="361"/>
      <c r="S320" s="361"/>
      <c r="T320" s="361"/>
      <c r="U320" s="361"/>
      <c r="V320" s="361"/>
      <c r="W320" s="361"/>
      <c r="X320" s="361"/>
      <c r="Y320" s="361"/>
    </row>
    <row r="321" spans="2:25" s="349" customFormat="1" ht="20.100000000000001" customHeight="1">
      <c r="B321" s="361"/>
      <c r="C321" s="361"/>
      <c r="D321" s="361"/>
      <c r="E321" s="361"/>
      <c r="F321" s="361"/>
      <c r="G321" s="361"/>
      <c r="H321" s="361"/>
      <c r="I321" s="361"/>
      <c r="J321" s="361"/>
      <c r="K321" s="361"/>
      <c r="L321" s="361"/>
      <c r="M321" s="361"/>
      <c r="N321" s="361"/>
      <c r="O321" s="361"/>
      <c r="P321" s="361"/>
      <c r="Q321" s="361"/>
      <c r="R321" s="361"/>
      <c r="S321" s="361"/>
      <c r="T321" s="361"/>
      <c r="U321" s="361"/>
      <c r="V321" s="361"/>
      <c r="W321" s="361"/>
      <c r="X321" s="361"/>
      <c r="Y321" s="361"/>
    </row>
    <row r="322" spans="2:25" s="349" customFormat="1" ht="20.100000000000001" customHeight="1">
      <c r="B322" s="361"/>
      <c r="C322" s="361"/>
      <c r="D322" s="361"/>
      <c r="E322" s="361"/>
      <c r="F322" s="361"/>
      <c r="G322" s="361"/>
      <c r="H322" s="361"/>
      <c r="I322" s="361"/>
      <c r="J322" s="361"/>
      <c r="K322" s="361"/>
      <c r="L322" s="361"/>
      <c r="M322" s="361"/>
      <c r="N322" s="361"/>
      <c r="O322" s="361"/>
      <c r="P322" s="361"/>
      <c r="Q322" s="361"/>
      <c r="R322" s="361"/>
      <c r="S322" s="361"/>
      <c r="T322" s="361"/>
      <c r="U322" s="361"/>
      <c r="V322" s="361"/>
      <c r="W322" s="361"/>
      <c r="X322" s="361"/>
      <c r="Y322" s="361"/>
    </row>
    <row r="323" spans="2:25" s="349" customFormat="1" ht="20.100000000000001" customHeight="1">
      <c r="B323" s="361"/>
      <c r="C323" s="361"/>
      <c r="D323" s="361"/>
      <c r="E323" s="361"/>
      <c r="F323" s="361"/>
      <c r="G323" s="361"/>
      <c r="H323" s="361"/>
      <c r="I323" s="361"/>
      <c r="J323" s="361"/>
      <c r="K323" s="361"/>
      <c r="L323" s="361"/>
      <c r="M323" s="361"/>
      <c r="N323" s="361"/>
      <c r="O323" s="361"/>
      <c r="P323" s="361"/>
      <c r="Q323" s="361"/>
      <c r="R323" s="361"/>
      <c r="S323" s="361"/>
      <c r="T323" s="361"/>
      <c r="U323" s="361"/>
      <c r="V323" s="361"/>
      <c r="W323" s="361"/>
      <c r="X323" s="361"/>
      <c r="Y323" s="361"/>
    </row>
    <row r="324" spans="2:25" s="349" customFormat="1" ht="20.100000000000001" customHeight="1">
      <c r="B324" s="361"/>
      <c r="C324" s="361"/>
      <c r="D324" s="361"/>
      <c r="E324" s="361"/>
      <c r="F324" s="361"/>
      <c r="G324" s="361"/>
      <c r="H324" s="361"/>
      <c r="I324" s="361"/>
      <c r="J324" s="361"/>
      <c r="K324" s="361"/>
      <c r="L324" s="361"/>
      <c r="M324" s="361"/>
      <c r="N324" s="361"/>
      <c r="O324" s="361"/>
      <c r="P324" s="361"/>
      <c r="Q324" s="361"/>
      <c r="R324" s="361"/>
      <c r="S324" s="361"/>
      <c r="T324" s="361"/>
      <c r="U324" s="361"/>
      <c r="V324" s="361"/>
      <c r="W324" s="361"/>
      <c r="X324" s="361"/>
      <c r="Y324" s="361"/>
    </row>
    <row r="325" spans="2:25" s="349" customFormat="1" ht="20.100000000000001" customHeight="1">
      <c r="B325" s="361"/>
      <c r="C325" s="361"/>
      <c r="D325" s="361"/>
      <c r="E325" s="361"/>
      <c r="F325" s="361"/>
      <c r="G325" s="361"/>
      <c r="H325" s="361"/>
      <c r="I325" s="361"/>
      <c r="J325" s="361"/>
      <c r="K325" s="361"/>
      <c r="L325" s="361"/>
      <c r="M325" s="361"/>
      <c r="N325" s="361"/>
      <c r="O325" s="361"/>
      <c r="P325" s="361"/>
      <c r="Q325" s="361"/>
      <c r="R325" s="361"/>
      <c r="S325" s="361"/>
      <c r="T325" s="361"/>
      <c r="U325" s="361"/>
      <c r="V325" s="361"/>
      <c r="W325" s="361"/>
      <c r="X325" s="361"/>
      <c r="Y325" s="361"/>
    </row>
    <row r="326" spans="2:25" s="349" customFormat="1" ht="20.100000000000001" customHeight="1">
      <c r="B326" s="361"/>
      <c r="C326" s="361"/>
      <c r="D326" s="361"/>
      <c r="E326" s="361"/>
      <c r="F326" s="361"/>
      <c r="G326" s="361"/>
      <c r="H326" s="361"/>
      <c r="I326" s="361"/>
      <c r="J326" s="361"/>
      <c r="K326" s="361"/>
      <c r="L326" s="361"/>
      <c r="M326" s="361"/>
      <c r="N326" s="361"/>
      <c r="O326" s="361"/>
      <c r="P326" s="361"/>
      <c r="Q326" s="361"/>
      <c r="R326" s="361"/>
      <c r="S326" s="361"/>
      <c r="T326" s="361"/>
      <c r="U326" s="361"/>
      <c r="V326" s="361"/>
      <c r="W326" s="361"/>
      <c r="X326" s="361"/>
      <c r="Y326" s="361"/>
    </row>
    <row r="327" spans="2:25" s="349" customFormat="1" ht="20.100000000000001" customHeight="1">
      <c r="B327" s="361"/>
      <c r="C327" s="361"/>
      <c r="D327" s="361"/>
      <c r="E327" s="361"/>
      <c r="F327" s="361"/>
      <c r="G327" s="361"/>
      <c r="H327" s="361"/>
      <c r="I327" s="361"/>
      <c r="J327" s="361"/>
      <c r="K327" s="361"/>
      <c r="L327" s="361"/>
      <c r="M327" s="361"/>
      <c r="N327" s="361"/>
      <c r="O327" s="361"/>
      <c r="P327" s="361"/>
      <c r="Q327" s="361"/>
      <c r="R327" s="361"/>
      <c r="S327" s="361"/>
      <c r="T327" s="361"/>
      <c r="U327" s="361"/>
      <c r="V327" s="361"/>
      <c r="W327" s="361"/>
      <c r="X327" s="361"/>
      <c r="Y327" s="361"/>
    </row>
    <row r="328" spans="2:25" s="349" customFormat="1" ht="20.100000000000001" customHeight="1">
      <c r="B328" s="361"/>
      <c r="C328" s="361"/>
      <c r="D328" s="361"/>
      <c r="E328" s="361"/>
      <c r="F328" s="361"/>
      <c r="G328" s="361"/>
      <c r="H328" s="361"/>
      <c r="I328" s="361"/>
      <c r="J328" s="361"/>
      <c r="K328" s="361"/>
      <c r="L328" s="361"/>
      <c r="M328" s="361"/>
      <c r="N328" s="361"/>
      <c r="O328" s="361"/>
      <c r="P328" s="361"/>
      <c r="Q328" s="361"/>
      <c r="R328" s="361"/>
      <c r="S328" s="361"/>
      <c r="T328" s="361"/>
      <c r="U328" s="361"/>
      <c r="V328" s="361"/>
      <c r="W328" s="361"/>
      <c r="X328" s="361"/>
      <c r="Y328" s="361"/>
    </row>
    <row r="329" spans="2:25" s="349" customFormat="1" ht="20.100000000000001" customHeight="1">
      <c r="B329" s="361"/>
      <c r="C329" s="361"/>
      <c r="D329" s="361"/>
      <c r="E329" s="361"/>
      <c r="F329" s="361"/>
      <c r="G329" s="361"/>
      <c r="H329" s="361"/>
      <c r="I329" s="361"/>
      <c r="J329" s="361"/>
      <c r="K329" s="361"/>
      <c r="L329" s="361"/>
      <c r="M329" s="361"/>
      <c r="N329" s="361"/>
      <c r="O329" s="361"/>
      <c r="P329" s="361"/>
      <c r="Q329" s="361"/>
      <c r="R329" s="361"/>
      <c r="S329" s="361"/>
      <c r="T329" s="361"/>
      <c r="U329" s="361"/>
      <c r="V329" s="361"/>
      <c r="W329" s="361"/>
      <c r="X329" s="361"/>
      <c r="Y329" s="361"/>
    </row>
    <row r="330" spans="2:25" s="349" customFormat="1" ht="20.100000000000001" customHeight="1">
      <c r="B330" s="361"/>
      <c r="C330" s="361"/>
      <c r="D330" s="361"/>
      <c r="E330" s="361"/>
      <c r="F330" s="361"/>
      <c r="G330" s="361"/>
      <c r="H330" s="361"/>
      <c r="I330" s="361"/>
      <c r="J330" s="361"/>
      <c r="K330" s="361"/>
      <c r="L330" s="361"/>
      <c r="M330" s="361"/>
      <c r="N330" s="361"/>
      <c r="O330" s="361"/>
      <c r="P330" s="361"/>
      <c r="Q330" s="361"/>
      <c r="R330" s="361"/>
      <c r="S330" s="361"/>
      <c r="T330" s="361"/>
      <c r="U330" s="361"/>
      <c r="V330" s="361"/>
      <c r="W330" s="361"/>
      <c r="X330" s="361"/>
      <c r="Y330" s="361"/>
    </row>
    <row r="331" spans="2:25" s="349" customFormat="1" ht="20.100000000000001" customHeight="1">
      <c r="B331" s="361"/>
      <c r="C331" s="361"/>
      <c r="D331" s="361"/>
      <c r="E331" s="361"/>
      <c r="F331" s="361"/>
      <c r="G331" s="361"/>
      <c r="H331" s="361"/>
      <c r="I331" s="361"/>
      <c r="J331" s="361"/>
      <c r="K331" s="361"/>
      <c r="L331" s="361"/>
      <c r="M331" s="361"/>
      <c r="N331" s="361"/>
      <c r="O331" s="361"/>
      <c r="P331" s="361"/>
      <c r="Q331" s="361"/>
      <c r="R331" s="361"/>
      <c r="S331" s="361"/>
      <c r="T331" s="361"/>
      <c r="U331" s="361"/>
      <c r="V331" s="361"/>
      <c r="W331" s="361"/>
      <c r="X331" s="361"/>
      <c r="Y331" s="361"/>
    </row>
    <row r="332" spans="2:25" s="349" customFormat="1" ht="20.100000000000001" customHeight="1">
      <c r="B332" s="361"/>
      <c r="C332" s="361"/>
      <c r="D332" s="361"/>
      <c r="E332" s="361"/>
      <c r="F332" s="361"/>
      <c r="G332" s="361"/>
      <c r="H332" s="361"/>
      <c r="I332" s="361"/>
      <c r="J332" s="361"/>
      <c r="K332" s="361"/>
      <c r="L332" s="361"/>
      <c r="M332" s="361"/>
      <c r="N332" s="361"/>
      <c r="O332" s="361"/>
      <c r="P332" s="361"/>
      <c r="Q332" s="361"/>
      <c r="R332" s="361"/>
      <c r="S332" s="361"/>
      <c r="T332" s="361"/>
      <c r="U332" s="361"/>
      <c r="V332" s="361"/>
      <c r="W332" s="361"/>
      <c r="X332" s="361"/>
      <c r="Y332" s="361"/>
    </row>
    <row r="333" spans="2:25" s="349" customFormat="1" ht="20.100000000000001" customHeight="1">
      <c r="B333" s="361"/>
      <c r="C333" s="361"/>
      <c r="D333" s="361"/>
      <c r="E333" s="361"/>
      <c r="F333" s="361"/>
      <c r="G333" s="361"/>
      <c r="H333" s="361"/>
      <c r="I333" s="361"/>
      <c r="J333" s="361"/>
      <c r="K333" s="361"/>
      <c r="L333" s="361"/>
      <c r="M333" s="361"/>
      <c r="N333" s="361"/>
      <c r="O333" s="361"/>
      <c r="P333" s="361"/>
      <c r="Q333" s="361"/>
      <c r="R333" s="361"/>
      <c r="S333" s="361"/>
      <c r="T333" s="361"/>
      <c r="U333" s="361"/>
      <c r="V333" s="361"/>
      <c r="W333" s="361"/>
      <c r="X333" s="361"/>
      <c r="Y333" s="361"/>
    </row>
    <row r="334" spans="2:25" s="349" customFormat="1" ht="20.100000000000001" customHeight="1">
      <c r="B334" s="361"/>
      <c r="C334" s="361"/>
      <c r="D334" s="361"/>
      <c r="E334" s="361"/>
      <c r="F334" s="361"/>
      <c r="G334" s="361"/>
      <c r="H334" s="361"/>
      <c r="I334" s="361"/>
      <c r="J334" s="361"/>
      <c r="K334" s="361"/>
      <c r="L334" s="361"/>
      <c r="M334" s="361"/>
      <c r="N334" s="361"/>
      <c r="O334" s="361"/>
      <c r="P334" s="361"/>
      <c r="Q334" s="361"/>
      <c r="R334" s="361"/>
      <c r="S334" s="361"/>
      <c r="T334" s="361"/>
      <c r="U334" s="361"/>
      <c r="V334" s="361"/>
      <c r="W334" s="361"/>
      <c r="X334" s="361"/>
      <c r="Y334" s="361"/>
    </row>
    <row r="335" spans="2:25" s="349" customFormat="1" ht="20.100000000000001" customHeight="1">
      <c r="B335" s="361"/>
      <c r="C335" s="361"/>
      <c r="D335" s="361"/>
      <c r="E335" s="361"/>
      <c r="F335" s="361"/>
      <c r="G335" s="361"/>
      <c r="H335" s="361"/>
      <c r="I335" s="361"/>
      <c r="J335" s="361"/>
      <c r="K335" s="361"/>
      <c r="L335" s="361"/>
      <c r="M335" s="361"/>
      <c r="N335" s="361"/>
      <c r="O335" s="361"/>
      <c r="P335" s="361"/>
      <c r="Q335" s="361"/>
      <c r="R335" s="361"/>
      <c r="S335" s="361"/>
      <c r="T335" s="361"/>
      <c r="U335" s="361"/>
      <c r="V335" s="361"/>
      <c r="W335" s="361"/>
      <c r="X335" s="361"/>
      <c r="Y335" s="361"/>
    </row>
    <row r="336" spans="2:25" s="349" customFormat="1" ht="20.100000000000001" customHeight="1">
      <c r="B336" s="361"/>
      <c r="C336" s="361"/>
      <c r="D336" s="361"/>
      <c r="E336" s="361"/>
      <c r="F336" s="361"/>
      <c r="G336" s="361"/>
      <c r="H336" s="361"/>
      <c r="I336" s="361"/>
      <c r="J336" s="361"/>
      <c r="K336" s="361"/>
      <c r="L336" s="361"/>
      <c r="M336" s="361"/>
      <c r="N336" s="361"/>
      <c r="O336" s="361"/>
      <c r="P336" s="361"/>
      <c r="Q336" s="361"/>
      <c r="R336" s="361"/>
      <c r="S336" s="361"/>
      <c r="T336" s="361"/>
      <c r="U336" s="361"/>
      <c r="V336" s="361"/>
      <c r="W336" s="361"/>
      <c r="X336" s="361"/>
      <c r="Y336" s="361"/>
    </row>
    <row r="337" spans="2:25" s="349" customFormat="1" ht="20.100000000000001" customHeight="1">
      <c r="B337" s="361"/>
      <c r="C337" s="361"/>
      <c r="D337" s="361"/>
      <c r="E337" s="361"/>
      <c r="F337" s="361"/>
      <c r="G337" s="361"/>
      <c r="H337" s="361"/>
      <c r="I337" s="361"/>
      <c r="J337" s="361"/>
      <c r="K337" s="361"/>
      <c r="L337" s="361"/>
      <c r="M337" s="361"/>
      <c r="N337" s="361"/>
      <c r="O337" s="361"/>
      <c r="P337" s="361"/>
      <c r="Q337" s="361"/>
      <c r="R337" s="361"/>
      <c r="S337" s="361"/>
      <c r="T337" s="361"/>
      <c r="U337" s="361"/>
      <c r="V337" s="361"/>
      <c r="W337" s="361"/>
      <c r="X337" s="361"/>
      <c r="Y337" s="361"/>
    </row>
    <row r="338" spans="2:25" s="349" customFormat="1" ht="20.100000000000001" customHeight="1">
      <c r="B338" s="361"/>
      <c r="C338" s="361"/>
      <c r="D338" s="361"/>
      <c r="E338" s="361"/>
      <c r="F338" s="361"/>
      <c r="G338" s="361"/>
      <c r="H338" s="361"/>
      <c r="I338" s="361"/>
      <c r="J338" s="361"/>
      <c r="K338" s="361"/>
      <c r="L338" s="361"/>
      <c r="M338" s="361"/>
      <c r="N338" s="361"/>
      <c r="O338" s="361"/>
      <c r="P338" s="361"/>
      <c r="Q338" s="361"/>
      <c r="R338" s="361"/>
      <c r="S338" s="361"/>
      <c r="T338" s="361"/>
      <c r="U338" s="361"/>
      <c r="V338" s="361"/>
      <c r="W338" s="361"/>
      <c r="X338" s="361"/>
      <c r="Y338" s="361"/>
    </row>
    <row r="339" spans="2:25" s="349" customFormat="1" ht="20.100000000000001" customHeight="1">
      <c r="B339" s="361"/>
      <c r="C339" s="361"/>
      <c r="D339" s="361"/>
      <c r="E339" s="361"/>
      <c r="F339" s="361"/>
      <c r="G339" s="361"/>
      <c r="H339" s="361"/>
      <c r="I339" s="361"/>
      <c r="J339" s="361"/>
      <c r="K339" s="361"/>
      <c r="L339" s="361"/>
      <c r="M339" s="361"/>
      <c r="N339" s="361"/>
      <c r="O339" s="361"/>
      <c r="P339" s="361"/>
      <c r="Q339" s="361"/>
      <c r="R339" s="361"/>
      <c r="S339" s="361"/>
      <c r="T339" s="361"/>
      <c r="U339" s="361"/>
      <c r="V339" s="361"/>
      <c r="W339" s="361"/>
      <c r="X339" s="361"/>
      <c r="Y339" s="361"/>
    </row>
    <row r="340" spans="2:25" s="349" customFormat="1" ht="20.100000000000001" customHeight="1">
      <c r="B340" s="361"/>
      <c r="C340" s="361"/>
      <c r="D340" s="361"/>
      <c r="E340" s="361"/>
      <c r="F340" s="361"/>
      <c r="G340" s="361"/>
      <c r="H340" s="361"/>
      <c r="I340" s="361"/>
      <c r="J340" s="361"/>
      <c r="K340" s="361"/>
      <c r="L340" s="361"/>
      <c r="M340" s="361"/>
      <c r="N340" s="361"/>
      <c r="O340" s="361"/>
      <c r="P340" s="361"/>
      <c r="Q340" s="361"/>
      <c r="R340" s="361"/>
      <c r="S340" s="361"/>
      <c r="T340" s="361"/>
      <c r="U340" s="361"/>
      <c r="V340" s="361"/>
      <c r="W340" s="361"/>
      <c r="X340" s="361"/>
      <c r="Y340" s="361"/>
    </row>
    <row r="341" spans="2:25" s="349" customFormat="1" ht="20.100000000000001" customHeight="1">
      <c r="B341" s="361"/>
      <c r="C341" s="361"/>
      <c r="D341" s="361"/>
      <c r="E341" s="361"/>
      <c r="F341" s="361"/>
      <c r="G341" s="361"/>
      <c r="H341" s="361"/>
      <c r="I341" s="361"/>
      <c r="J341" s="361"/>
      <c r="K341" s="361"/>
      <c r="L341" s="361"/>
      <c r="M341" s="361"/>
      <c r="N341" s="361"/>
      <c r="O341" s="361"/>
      <c r="P341" s="361"/>
      <c r="Q341" s="361"/>
      <c r="R341" s="361"/>
      <c r="S341" s="361"/>
      <c r="T341" s="361"/>
      <c r="U341" s="361"/>
      <c r="V341" s="361"/>
      <c r="W341" s="361"/>
      <c r="X341" s="361"/>
      <c r="Y341" s="361"/>
    </row>
    <row r="342" spans="2:25" s="349" customFormat="1" ht="20.100000000000001" customHeight="1">
      <c r="B342" s="361"/>
      <c r="C342" s="361"/>
      <c r="D342" s="361"/>
      <c r="E342" s="361"/>
      <c r="F342" s="361"/>
      <c r="G342" s="361"/>
      <c r="H342" s="361"/>
      <c r="I342" s="361"/>
      <c r="J342" s="361"/>
      <c r="K342" s="361"/>
      <c r="L342" s="361"/>
      <c r="M342" s="361"/>
      <c r="N342" s="361"/>
      <c r="O342" s="361"/>
      <c r="P342" s="361"/>
      <c r="Q342" s="361"/>
      <c r="R342" s="361"/>
      <c r="S342" s="361"/>
      <c r="T342" s="361"/>
      <c r="U342" s="361"/>
      <c r="V342" s="361"/>
      <c r="W342" s="361"/>
      <c r="X342" s="361"/>
      <c r="Y342" s="361"/>
    </row>
    <row r="343" spans="2:25" s="349" customFormat="1" ht="20.100000000000001" customHeight="1">
      <c r="B343" s="361"/>
      <c r="C343" s="361"/>
      <c r="D343" s="361"/>
      <c r="E343" s="361"/>
      <c r="F343" s="361"/>
      <c r="G343" s="361"/>
      <c r="H343" s="361"/>
      <c r="I343" s="361"/>
      <c r="J343" s="361"/>
      <c r="K343" s="361"/>
      <c r="L343" s="361"/>
      <c r="M343" s="361"/>
      <c r="N343" s="361"/>
      <c r="O343" s="361"/>
      <c r="P343" s="361"/>
      <c r="Q343" s="361"/>
      <c r="R343" s="361"/>
      <c r="S343" s="361"/>
      <c r="T343" s="361"/>
      <c r="U343" s="361"/>
      <c r="V343" s="361"/>
      <c r="W343" s="361"/>
      <c r="X343" s="361"/>
      <c r="Y343" s="361"/>
    </row>
    <row r="344" spans="2:25" ht="20.100000000000001" customHeight="1"/>
    <row r="345" spans="2:25" ht="9.9499999999999993" customHeight="1"/>
    <row r="346" spans="2:25" ht="20.100000000000001" customHeight="1"/>
    <row r="347" spans="2:25" ht="20.100000000000001" customHeight="1"/>
    <row r="348" spans="2:25" ht="20.100000000000001" customHeight="1"/>
    <row r="349" spans="2:25" s="349" customFormat="1" ht="20.100000000000001" customHeight="1">
      <c r="B349" s="361"/>
      <c r="C349" s="361"/>
      <c r="D349" s="361"/>
      <c r="E349" s="361"/>
      <c r="F349" s="361"/>
      <c r="G349" s="361"/>
      <c r="H349" s="361"/>
      <c r="I349" s="361"/>
      <c r="J349" s="361"/>
      <c r="K349" s="361"/>
      <c r="L349" s="361"/>
      <c r="M349" s="361"/>
      <c r="N349" s="361"/>
      <c r="O349" s="361"/>
      <c r="P349" s="361"/>
      <c r="Q349" s="361"/>
      <c r="R349" s="361"/>
      <c r="S349" s="361"/>
      <c r="T349" s="361"/>
      <c r="U349" s="361"/>
      <c r="V349" s="361"/>
      <c r="W349" s="361"/>
      <c r="X349" s="361"/>
      <c r="Y349" s="361"/>
    </row>
    <row r="350" spans="2:25" s="349" customFormat="1" ht="20.100000000000001" customHeight="1">
      <c r="B350" s="361"/>
      <c r="C350" s="361"/>
      <c r="D350" s="361"/>
      <c r="E350" s="361"/>
      <c r="F350" s="361"/>
      <c r="G350" s="361"/>
      <c r="H350" s="361"/>
      <c r="I350" s="361"/>
      <c r="J350" s="361"/>
      <c r="K350" s="361"/>
      <c r="L350" s="361"/>
      <c r="M350" s="361"/>
      <c r="N350" s="361"/>
      <c r="O350" s="361"/>
      <c r="P350" s="361"/>
      <c r="Q350" s="361"/>
      <c r="R350" s="361"/>
      <c r="S350" s="361"/>
      <c r="T350" s="361"/>
      <c r="U350" s="361"/>
      <c r="V350" s="361"/>
      <c r="W350" s="361"/>
      <c r="X350" s="361"/>
      <c r="Y350" s="361"/>
    </row>
    <row r="351" spans="2:25" s="349" customFormat="1" ht="20.100000000000001" customHeight="1">
      <c r="B351" s="361"/>
      <c r="C351" s="361"/>
      <c r="D351" s="361"/>
      <c r="E351" s="361"/>
      <c r="F351" s="361"/>
      <c r="G351" s="361"/>
      <c r="H351" s="361"/>
      <c r="I351" s="361"/>
      <c r="J351" s="361"/>
      <c r="K351" s="361"/>
      <c r="L351" s="361"/>
      <c r="M351" s="361"/>
      <c r="N351" s="361"/>
      <c r="O351" s="361"/>
      <c r="P351" s="361"/>
      <c r="Q351" s="361"/>
      <c r="R351" s="361"/>
      <c r="S351" s="361"/>
      <c r="T351" s="361"/>
      <c r="U351" s="361"/>
      <c r="V351" s="361"/>
      <c r="W351" s="361"/>
      <c r="X351" s="361"/>
      <c r="Y351" s="361"/>
    </row>
    <row r="352" spans="2:25" s="349" customFormat="1" ht="20.100000000000001" customHeight="1">
      <c r="B352" s="361"/>
      <c r="C352" s="361"/>
      <c r="D352" s="361"/>
      <c r="E352" s="361"/>
      <c r="F352" s="361"/>
      <c r="G352" s="361"/>
      <c r="H352" s="361"/>
      <c r="I352" s="361"/>
      <c r="J352" s="361"/>
      <c r="K352" s="361"/>
      <c r="L352" s="361"/>
      <c r="M352" s="361"/>
      <c r="N352" s="361"/>
      <c r="O352" s="361"/>
      <c r="P352" s="361"/>
      <c r="Q352" s="361"/>
      <c r="R352" s="361"/>
      <c r="S352" s="361"/>
      <c r="T352" s="361"/>
      <c r="U352" s="361"/>
      <c r="V352" s="361"/>
      <c r="W352" s="361"/>
      <c r="X352" s="361"/>
      <c r="Y352" s="361"/>
    </row>
    <row r="353" spans="2:25" s="349" customFormat="1" ht="20.100000000000001" customHeight="1">
      <c r="B353" s="361"/>
      <c r="C353" s="361"/>
      <c r="D353" s="361"/>
      <c r="E353" s="361"/>
      <c r="F353" s="361"/>
      <c r="G353" s="361"/>
      <c r="H353" s="361"/>
      <c r="I353" s="361"/>
      <c r="J353" s="361"/>
      <c r="K353" s="361"/>
      <c r="L353" s="361"/>
      <c r="M353" s="361"/>
      <c r="N353" s="361"/>
      <c r="O353" s="361"/>
      <c r="P353" s="361"/>
      <c r="Q353" s="361"/>
      <c r="R353" s="361"/>
      <c r="S353" s="361"/>
      <c r="T353" s="361"/>
      <c r="U353" s="361"/>
      <c r="V353" s="361"/>
      <c r="W353" s="361"/>
      <c r="X353" s="361"/>
      <c r="Y353" s="361"/>
    </row>
    <row r="354" spans="2:25" s="349" customFormat="1" ht="20.100000000000001" customHeight="1">
      <c r="B354" s="361"/>
      <c r="C354" s="361"/>
      <c r="D354" s="361"/>
      <c r="E354" s="361"/>
      <c r="F354" s="361"/>
      <c r="G354" s="361"/>
      <c r="H354" s="361"/>
      <c r="I354" s="361"/>
      <c r="J354" s="361"/>
      <c r="K354" s="361"/>
      <c r="L354" s="361"/>
      <c r="M354" s="361"/>
      <c r="N354" s="361"/>
      <c r="O354" s="361"/>
      <c r="P354" s="361"/>
      <c r="Q354" s="361"/>
      <c r="R354" s="361"/>
      <c r="S354" s="361"/>
      <c r="T354" s="361"/>
      <c r="U354" s="361"/>
      <c r="V354" s="361"/>
      <c r="W354" s="361"/>
      <c r="X354" s="361"/>
      <c r="Y354" s="361"/>
    </row>
    <row r="355" spans="2:25" s="349" customFormat="1" ht="20.100000000000001" customHeight="1">
      <c r="B355" s="361"/>
      <c r="C355" s="361"/>
      <c r="D355" s="361"/>
      <c r="E355" s="361"/>
      <c r="F355" s="361"/>
      <c r="G355" s="361"/>
      <c r="H355" s="361"/>
      <c r="I355" s="361"/>
      <c r="J355" s="361"/>
      <c r="K355" s="361"/>
      <c r="L355" s="361"/>
      <c r="M355" s="361"/>
      <c r="N355" s="361"/>
      <c r="O355" s="361"/>
      <c r="P355" s="361"/>
      <c r="Q355" s="361"/>
      <c r="R355" s="361"/>
      <c r="S355" s="361"/>
      <c r="T355" s="361"/>
      <c r="U355" s="361"/>
      <c r="V355" s="361"/>
      <c r="W355" s="361"/>
      <c r="X355" s="361"/>
      <c r="Y355" s="361"/>
    </row>
    <row r="356" spans="2:25" s="349" customFormat="1" ht="20.100000000000001" customHeight="1">
      <c r="B356" s="361"/>
      <c r="C356" s="361"/>
      <c r="D356" s="361"/>
      <c r="E356" s="361"/>
      <c r="F356" s="361"/>
      <c r="G356" s="361"/>
      <c r="H356" s="361"/>
      <c r="I356" s="361"/>
      <c r="J356" s="361"/>
      <c r="K356" s="361"/>
      <c r="L356" s="361"/>
      <c r="M356" s="361"/>
      <c r="N356" s="361"/>
      <c r="O356" s="361"/>
      <c r="P356" s="361"/>
      <c r="Q356" s="361"/>
      <c r="R356" s="361"/>
      <c r="S356" s="361"/>
      <c r="T356" s="361"/>
      <c r="U356" s="361"/>
      <c r="V356" s="361"/>
      <c r="W356" s="361"/>
      <c r="X356" s="361"/>
      <c r="Y356" s="361"/>
    </row>
    <row r="357" spans="2:25" s="349" customFormat="1" ht="20.100000000000001" customHeight="1">
      <c r="B357" s="361"/>
      <c r="C357" s="361"/>
      <c r="D357" s="361"/>
      <c r="E357" s="361"/>
      <c r="F357" s="361"/>
      <c r="G357" s="361"/>
      <c r="H357" s="361"/>
      <c r="I357" s="361"/>
      <c r="J357" s="361"/>
      <c r="K357" s="361"/>
      <c r="L357" s="361"/>
      <c r="M357" s="361"/>
      <c r="N357" s="361"/>
      <c r="O357" s="361"/>
      <c r="P357" s="361"/>
      <c r="Q357" s="361"/>
      <c r="R357" s="361"/>
      <c r="S357" s="361"/>
      <c r="T357" s="361"/>
      <c r="U357" s="361"/>
      <c r="V357" s="361"/>
      <c r="W357" s="361"/>
      <c r="X357" s="361"/>
      <c r="Y357" s="361"/>
    </row>
    <row r="358" spans="2:25" s="349" customFormat="1" ht="20.100000000000001" customHeight="1">
      <c r="B358" s="361"/>
      <c r="C358" s="361"/>
      <c r="D358" s="361"/>
      <c r="E358" s="361"/>
      <c r="F358" s="361"/>
      <c r="G358" s="361"/>
      <c r="H358" s="361"/>
      <c r="I358" s="361"/>
      <c r="J358" s="361"/>
      <c r="K358" s="361"/>
      <c r="L358" s="361"/>
      <c r="M358" s="361"/>
      <c r="N358" s="361"/>
      <c r="O358" s="361"/>
      <c r="P358" s="361"/>
      <c r="Q358" s="361"/>
      <c r="R358" s="361"/>
      <c r="S358" s="361"/>
      <c r="T358" s="361"/>
      <c r="U358" s="361"/>
      <c r="V358" s="361"/>
      <c r="W358" s="361"/>
      <c r="X358" s="361"/>
      <c r="Y358" s="361"/>
    </row>
    <row r="359" spans="2:25" s="349" customFormat="1" ht="20.100000000000001" customHeight="1">
      <c r="B359" s="361"/>
      <c r="C359" s="361"/>
      <c r="D359" s="361"/>
      <c r="E359" s="361"/>
      <c r="F359" s="361"/>
      <c r="G359" s="361"/>
      <c r="H359" s="361"/>
      <c r="I359" s="361"/>
      <c r="J359" s="361"/>
      <c r="K359" s="361"/>
      <c r="L359" s="361"/>
      <c r="M359" s="361"/>
      <c r="N359" s="361"/>
      <c r="O359" s="361"/>
      <c r="P359" s="361"/>
      <c r="Q359" s="361"/>
      <c r="R359" s="361"/>
      <c r="S359" s="361"/>
      <c r="T359" s="361"/>
      <c r="U359" s="361"/>
      <c r="V359" s="361"/>
      <c r="W359" s="361"/>
      <c r="X359" s="361"/>
      <c r="Y359" s="361"/>
    </row>
    <row r="360" spans="2:25" s="349" customFormat="1" ht="20.100000000000001" customHeight="1">
      <c r="B360" s="361"/>
      <c r="C360" s="361"/>
      <c r="D360" s="361"/>
      <c r="E360" s="361"/>
      <c r="F360" s="361"/>
      <c r="G360" s="361"/>
      <c r="H360" s="361"/>
      <c r="I360" s="361"/>
      <c r="J360" s="361"/>
      <c r="K360" s="361"/>
      <c r="L360" s="361"/>
      <c r="M360" s="361"/>
      <c r="N360" s="361"/>
      <c r="O360" s="361"/>
      <c r="P360" s="361"/>
      <c r="Q360" s="361"/>
      <c r="R360" s="361"/>
      <c r="S360" s="361"/>
      <c r="T360" s="361"/>
      <c r="U360" s="361"/>
      <c r="V360" s="361"/>
      <c r="W360" s="361"/>
      <c r="X360" s="361"/>
      <c r="Y360" s="361"/>
    </row>
    <row r="361" spans="2:25" s="349" customFormat="1" ht="20.100000000000001" customHeight="1">
      <c r="B361" s="361"/>
      <c r="C361" s="361"/>
      <c r="D361" s="361"/>
      <c r="E361" s="361"/>
      <c r="F361" s="361"/>
      <c r="G361" s="361"/>
      <c r="H361" s="361"/>
      <c r="I361" s="361"/>
      <c r="J361" s="361"/>
      <c r="K361" s="361"/>
      <c r="L361" s="361"/>
      <c r="M361" s="361"/>
      <c r="N361" s="361"/>
      <c r="O361" s="361"/>
      <c r="P361" s="361"/>
      <c r="Q361" s="361"/>
      <c r="R361" s="361"/>
      <c r="S361" s="361"/>
      <c r="T361" s="361"/>
      <c r="U361" s="361"/>
      <c r="V361" s="361"/>
      <c r="W361" s="361"/>
      <c r="X361" s="361"/>
      <c r="Y361" s="361"/>
    </row>
    <row r="362" spans="2:25" s="349" customFormat="1" ht="20.100000000000001" customHeight="1">
      <c r="B362" s="361"/>
      <c r="C362" s="361"/>
      <c r="D362" s="361"/>
      <c r="E362" s="361"/>
      <c r="F362" s="361"/>
      <c r="G362" s="361"/>
      <c r="H362" s="361"/>
      <c r="I362" s="361"/>
      <c r="J362" s="361"/>
      <c r="K362" s="361"/>
      <c r="L362" s="361"/>
      <c r="M362" s="361"/>
      <c r="N362" s="361"/>
      <c r="O362" s="361"/>
      <c r="P362" s="361"/>
      <c r="Q362" s="361"/>
      <c r="R362" s="361"/>
      <c r="S362" s="361"/>
      <c r="T362" s="361"/>
      <c r="U362" s="361"/>
      <c r="V362" s="361"/>
      <c r="W362" s="361"/>
      <c r="X362" s="361"/>
      <c r="Y362" s="361"/>
    </row>
    <row r="363" spans="2:25" s="349" customFormat="1" ht="20.100000000000001" customHeight="1">
      <c r="B363" s="361"/>
      <c r="C363" s="361"/>
      <c r="D363" s="361"/>
      <c r="E363" s="361"/>
      <c r="F363" s="361"/>
      <c r="G363" s="361"/>
      <c r="H363" s="361"/>
      <c r="I363" s="361"/>
      <c r="J363" s="361"/>
      <c r="K363" s="361"/>
      <c r="L363" s="361"/>
      <c r="M363" s="361"/>
      <c r="N363" s="361"/>
      <c r="O363" s="361"/>
      <c r="P363" s="361"/>
      <c r="Q363" s="361"/>
      <c r="R363" s="361"/>
      <c r="S363" s="361"/>
      <c r="T363" s="361"/>
      <c r="U363" s="361"/>
      <c r="V363" s="361"/>
      <c r="W363" s="361"/>
      <c r="X363" s="361"/>
      <c r="Y363" s="361"/>
    </row>
    <row r="364" spans="2:25" s="349" customFormat="1" ht="20.100000000000001" customHeight="1">
      <c r="B364" s="361"/>
      <c r="C364" s="361"/>
      <c r="D364" s="361"/>
      <c r="E364" s="361"/>
      <c r="F364" s="361"/>
      <c r="G364" s="361"/>
      <c r="H364" s="361"/>
      <c r="I364" s="361"/>
      <c r="J364" s="361"/>
      <c r="K364" s="361"/>
      <c r="L364" s="361"/>
      <c r="M364" s="361"/>
      <c r="N364" s="361"/>
      <c r="O364" s="361"/>
      <c r="P364" s="361"/>
      <c r="Q364" s="361"/>
      <c r="R364" s="361"/>
      <c r="S364" s="361"/>
      <c r="T364" s="361"/>
      <c r="U364" s="361"/>
      <c r="V364" s="361"/>
      <c r="W364" s="361"/>
      <c r="X364" s="361"/>
      <c r="Y364" s="361"/>
    </row>
    <row r="365" spans="2:25" s="349" customFormat="1" ht="20.100000000000001" customHeight="1">
      <c r="B365" s="361"/>
      <c r="C365" s="361"/>
      <c r="D365" s="361"/>
      <c r="E365" s="361"/>
      <c r="F365" s="361"/>
      <c r="G365" s="361"/>
      <c r="H365" s="361"/>
      <c r="I365" s="361"/>
      <c r="J365" s="361"/>
      <c r="K365" s="361"/>
      <c r="L365" s="361"/>
      <c r="M365" s="361"/>
      <c r="N365" s="361"/>
      <c r="O365" s="361"/>
      <c r="P365" s="361"/>
      <c r="Q365" s="361"/>
      <c r="R365" s="361"/>
      <c r="S365" s="361"/>
      <c r="T365" s="361"/>
      <c r="U365" s="361"/>
      <c r="V365" s="361"/>
      <c r="W365" s="361"/>
      <c r="X365" s="361"/>
      <c r="Y365" s="361"/>
    </row>
    <row r="366" spans="2:25" s="349" customFormat="1" ht="20.100000000000001" customHeight="1">
      <c r="B366" s="361"/>
      <c r="C366" s="361"/>
      <c r="D366" s="361"/>
      <c r="E366" s="361"/>
      <c r="F366" s="361"/>
      <c r="G366" s="361"/>
      <c r="H366" s="361"/>
      <c r="I366" s="361"/>
      <c r="J366" s="361"/>
      <c r="K366" s="361"/>
      <c r="L366" s="361"/>
      <c r="M366" s="361"/>
      <c r="N366" s="361"/>
      <c r="O366" s="361"/>
      <c r="P366" s="361"/>
      <c r="Q366" s="361"/>
      <c r="R366" s="361"/>
      <c r="S366" s="361"/>
      <c r="T366" s="361"/>
      <c r="U366" s="361"/>
      <c r="V366" s="361"/>
      <c r="W366" s="361"/>
      <c r="X366" s="361"/>
      <c r="Y366" s="361"/>
    </row>
    <row r="367" spans="2:25" s="349" customFormat="1" ht="20.100000000000001" customHeight="1">
      <c r="B367" s="361"/>
      <c r="C367" s="361"/>
      <c r="D367" s="361"/>
      <c r="E367" s="361"/>
      <c r="F367" s="361"/>
      <c r="G367" s="361"/>
      <c r="H367" s="361"/>
      <c r="I367" s="361"/>
      <c r="J367" s="361"/>
      <c r="K367" s="361"/>
      <c r="L367" s="361"/>
      <c r="M367" s="361"/>
      <c r="N367" s="361"/>
      <c r="O367" s="361"/>
      <c r="P367" s="361"/>
      <c r="Q367" s="361"/>
      <c r="R367" s="361"/>
      <c r="S367" s="361"/>
      <c r="T367" s="361"/>
      <c r="U367" s="361"/>
      <c r="V367" s="361"/>
      <c r="W367" s="361"/>
      <c r="X367" s="361"/>
      <c r="Y367" s="361"/>
    </row>
    <row r="368" spans="2:25" s="349" customFormat="1" ht="20.100000000000001" customHeight="1">
      <c r="B368" s="361"/>
      <c r="C368" s="361"/>
      <c r="D368" s="361"/>
      <c r="E368" s="361"/>
      <c r="F368" s="361"/>
      <c r="G368" s="361"/>
      <c r="H368" s="361"/>
      <c r="I368" s="361"/>
      <c r="J368" s="361"/>
      <c r="K368" s="361"/>
      <c r="L368" s="361"/>
      <c r="M368" s="361"/>
      <c r="N368" s="361"/>
      <c r="O368" s="361"/>
      <c r="P368" s="361"/>
      <c r="Q368" s="361"/>
      <c r="R368" s="361"/>
      <c r="S368" s="361"/>
      <c r="T368" s="361"/>
      <c r="U368" s="361"/>
      <c r="V368" s="361"/>
      <c r="W368" s="361"/>
      <c r="X368" s="361"/>
      <c r="Y368" s="361"/>
    </row>
    <row r="369" spans="2:25" s="349" customFormat="1" ht="20.100000000000001" customHeight="1">
      <c r="B369" s="361"/>
      <c r="C369" s="361"/>
      <c r="D369" s="361"/>
      <c r="E369" s="361"/>
      <c r="F369" s="361"/>
      <c r="G369" s="361"/>
      <c r="H369" s="361"/>
      <c r="I369" s="361"/>
      <c r="J369" s="361"/>
      <c r="K369" s="361"/>
      <c r="L369" s="361"/>
      <c r="M369" s="361"/>
      <c r="N369" s="361"/>
      <c r="O369" s="361"/>
      <c r="P369" s="361"/>
      <c r="Q369" s="361"/>
      <c r="R369" s="361"/>
      <c r="S369" s="361"/>
      <c r="T369" s="361"/>
      <c r="U369" s="361"/>
      <c r="V369" s="361"/>
      <c r="W369" s="361"/>
      <c r="X369" s="361"/>
      <c r="Y369" s="361"/>
    </row>
    <row r="370" spans="2:25" s="349" customFormat="1" ht="20.100000000000001" customHeight="1">
      <c r="B370" s="361"/>
      <c r="C370" s="361"/>
      <c r="D370" s="361"/>
      <c r="E370" s="361"/>
      <c r="F370" s="361"/>
      <c r="G370" s="361"/>
      <c r="H370" s="361"/>
      <c r="I370" s="361"/>
      <c r="J370" s="361"/>
      <c r="K370" s="361"/>
      <c r="L370" s="361"/>
      <c r="M370" s="361"/>
      <c r="N370" s="361"/>
      <c r="O370" s="361"/>
      <c r="P370" s="361"/>
      <c r="Q370" s="361"/>
      <c r="R370" s="361"/>
      <c r="S370" s="361"/>
      <c r="T370" s="361"/>
      <c r="U370" s="361"/>
      <c r="V370" s="361"/>
      <c r="W370" s="361"/>
      <c r="X370" s="361"/>
      <c r="Y370" s="361"/>
    </row>
    <row r="371" spans="2:25" s="349" customFormat="1" ht="20.100000000000001" customHeight="1">
      <c r="B371" s="361"/>
      <c r="C371" s="361"/>
      <c r="D371" s="361"/>
      <c r="E371" s="361"/>
      <c r="F371" s="361"/>
      <c r="G371" s="361"/>
      <c r="H371" s="361"/>
      <c r="I371" s="361"/>
      <c r="J371" s="361"/>
      <c r="K371" s="361"/>
      <c r="L371" s="361"/>
      <c r="M371" s="361"/>
      <c r="N371" s="361"/>
      <c r="O371" s="361"/>
      <c r="P371" s="361"/>
      <c r="Q371" s="361"/>
      <c r="R371" s="361"/>
      <c r="S371" s="361"/>
      <c r="T371" s="361"/>
      <c r="U371" s="361"/>
      <c r="V371" s="361"/>
      <c r="W371" s="361"/>
      <c r="X371" s="361"/>
      <c r="Y371" s="361"/>
    </row>
    <row r="372" spans="2:25" s="349" customFormat="1" ht="20.100000000000001" customHeight="1">
      <c r="B372" s="361"/>
      <c r="C372" s="361"/>
      <c r="D372" s="361"/>
      <c r="E372" s="361"/>
      <c r="F372" s="361"/>
      <c r="G372" s="361"/>
      <c r="H372" s="361"/>
      <c r="I372" s="361"/>
      <c r="J372" s="361"/>
      <c r="K372" s="361"/>
      <c r="L372" s="361"/>
      <c r="M372" s="361"/>
      <c r="N372" s="361"/>
      <c r="O372" s="361"/>
      <c r="P372" s="361"/>
      <c r="Q372" s="361"/>
      <c r="R372" s="361"/>
      <c r="S372" s="361"/>
      <c r="T372" s="361"/>
      <c r="U372" s="361"/>
      <c r="V372" s="361"/>
      <c r="W372" s="361"/>
      <c r="X372" s="361"/>
      <c r="Y372" s="361"/>
    </row>
    <row r="373" spans="2:25" s="349" customFormat="1" ht="20.100000000000001" customHeight="1">
      <c r="B373" s="361"/>
      <c r="C373" s="361"/>
      <c r="D373" s="361"/>
      <c r="E373" s="361"/>
      <c r="F373" s="361"/>
      <c r="G373" s="361"/>
      <c r="H373" s="361"/>
      <c r="I373" s="361"/>
      <c r="J373" s="361"/>
      <c r="K373" s="361"/>
      <c r="L373" s="361"/>
      <c r="M373" s="361"/>
      <c r="N373" s="361"/>
      <c r="O373" s="361"/>
      <c r="P373" s="361"/>
      <c r="Q373" s="361"/>
      <c r="R373" s="361"/>
      <c r="S373" s="361"/>
      <c r="T373" s="361"/>
      <c r="U373" s="361"/>
      <c r="V373" s="361"/>
      <c r="W373" s="361"/>
      <c r="X373" s="361"/>
      <c r="Y373" s="361"/>
    </row>
    <row r="374" spans="2:25" s="349" customFormat="1" ht="20.100000000000001" customHeight="1">
      <c r="B374" s="361"/>
      <c r="C374" s="361"/>
      <c r="D374" s="361"/>
      <c r="E374" s="361"/>
      <c r="F374" s="361"/>
      <c r="G374" s="361"/>
      <c r="H374" s="361"/>
      <c r="I374" s="361"/>
      <c r="J374" s="361"/>
      <c r="K374" s="361"/>
      <c r="L374" s="361"/>
      <c r="M374" s="361"/>
      <c r="N374" s="361"/>
      <c r="O374" s="361"/>
      <c r="P374" s="361"/>
      <c r="Q374" s="361"/>
      <c r="R374" s="361"/>
      <c r="S374" s="361"/>
      <c r="T374" s="361"/>
      <c r="U374" s="361"/>
      <c r="V374" s="361"/>
      <c r="W374" s="361"/>
      <c r="X374" s="361"/>
      <c r="Y374" s="361"/>
    </row>
    <row r="375" spans="2:25" s="349" customFormat="1" ht="20.100000000000001" customHeight="1">
      <c r="B375" s="361"/>
      <c r="C375" s="361"/>
      <c r="D375" s="361"/>
      <c r="E375" s="361"/>
      <c r="F375" s="361"/>
      <c r="G375" s="361"/>
      <c r="H375" s="361"/>
      <c r="I375" s="361"/>
      <c r="J375" s="361"/>
      <c r="K375" s="361"/>
      <c r="L375" s="361"/>
      <c r="M375" s="361"/>
      <c r="N375" s="361"/>
      <c r="O375" s="361"/>
      <c r="P375" s="361"/>
      <c r="Q375" s="361"/>
      <c r="R375" s="361"/>
      <c r="S375" s="361"/>
      <c r="T375" s="361"/>
      <c r="U375" s="361"/>
      <c r="V375" s="361"/>
      <c r="W375" s="361"/>
      <c r="X375" s="361"/>
      <c r="Y375" s="361"/>
    </row>
    <row r="376" spans="2:25" s="349" customFormat="1" ht="20.100000000000001" customHeight="1">
      <c r="B376" s="361"/>
      <c r="C376" s="36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row>
    <row r="377" spans="2:25" s="349" customFormat="1" ht="20.100000000000001" customHeight="1">
      <c r="B377" s="361"/>
      <c r="C377" s="361"/>
      <c r="D377" s="361"/>
      <c r="E377" s="361"/>
      <c r="F377" s="361"/>
      <c r="G377" s="361"/>
      <c r="H377" s="361"/>
      <c r="I377" s="361"/>
      <c r="J377" s="361"/>
      <c r="K377" s="361"/>
      <c r="L377" s="361"/>
      <c r="M377" s="361"/>
      <c r="N377" s="361"/>
      <c r="O377" s="361"/>
      <c r="P377" s="361"/>
      <c r="Q377" s="361"/>
      <c r="R377" s="361"/>
      <c r="S377" s="361"/>
      <c r="T377" s="361"/>
      <c r="U377" s="361"/>
      <c r="V377" s="361"/>
      <c r="W377" s="361"/>
      <c r="X377" s="361"/>
      <c r="Y377" s="361"/>
    </row>
    <row r="378" spans="2:25" s="349" customFormat="1" ht="20.100000000000001" customHeight="1">
      <c r="B378" s="361"/>
      <c r="C378" s="361"/>
      <c r="D378" s="361"/>
      <c r="E378" s="361"/>
      <c r="F378" s="361"/>
      <c r="G378" s="361"/>
      <c r="H378" s="361"/>
      <c r="I378" s="361"/>
      <c r="J378" s="361"/>
      <c r="K378" s="361"/>
      <c r="L378" s="361"/>
      <c r="M378" s="361"/>
      <c r="N378" s="361"/>
      <c r="O378" s="361"/>
      <c r="P378" s="361"/>
      <c r="Q378" s="361"/>
      <c r="R378" s="361"/>
      <c r="S378" s="361"/>
      <c r="T378" s="361"/>
      <c r="U378" s="361"/>
      <c r="V378" s="361"/>
      <c r="W378" s="361"/>
      <c r="X378" s="361"/>
      <c r="Y378" s="361"/>
    </row>
    <row r="379" spans="2:25" s="349" customFormat="1" ht="20.100000000000001" customHeight="1">
      <c r="B379" s="361"/>
      <c r="C379" s="361"/>
      <c r="D379" s="361"/>
      <c r="E379" s="361"/>
      <c r="F379" s="361"/>
      <c r="G379" s="361"/>
      <c r="H379" s="361"/>
      <c r="I379" s="361"/>
      <c r="J379" s="361"/>
      <c r="K379" s="361"/>
      <c r="L379" s="361"/>
      <c r="M379" s="361"/>
      <c r="N379" s="361"/>
      <c r="O379" s="361"/>
      <c r="P379" s="361"/>
      <c r="Q379" s="361"/>
      <c r="R379" s="361"/>
      <c r="S379" s="361"/>
      <c r="T379" s="361"/>
      <c r="U379" s="361"/>
      <c r="V379" s="361"/>
      <c r="W379" s="361"/>
      <c r="X379" s="361"/>
      <c r="Y379" s="361"/>
    </row>
    <row r="380" spans="2:25" s="349" customFormat="1" ht="20.100000000000001" customHeight="1">
      <c r="B380" s="361"/>
      <c r="C380" s="361"/>
      <c r="D380" s="361"/>
      <c r="E380" s="361"/>
      <c r="F380" s="361"/>
      <c r="G380" s="361"/>
      <c r="H380" s="361"/>
      <c r="I380" s="361"/>
      <c r="J380" s="361"/>
      <c r="K380" s="361"/>
      <c r="L380" s="361"/>
      <c r="M380" s="361"/>
      <c r="N380" s="361"/>
      <c r="O380" s="361"/>
      <c r="P380" s="361"/>
      <c r="Q380" s="361"/>
      <c r="R380" s="361"/>
      <c r="S380" s="361"/>
      <c r="T380" s="361"/>
      <c r="U380" s="361"/>
      <c r="V380" s="361"/>
      <c r="W380" s="361"/>
      <c r="X380" s="361"/>
      <c r="Y380" s="361"/>
    </row>
    <row r="381" spans="2:25" s="349" customFormat="1" ht="20.100000000000001" customHeight="1">
      <c r="B381" s="361"/>
      <c r="C381" s="361"/>
      <c r="D381" s="361"/>
      <c r="E381" s="361"/>
      <c r="F381" s="361"/>
      <c r="G381" s="361"/>
      <c r="H381" s="361"/>
      <c r="I381" s="361"/>
      <c r="J381" s="361"/>
      <c r="K381" s="361"/>
      <c r="L381" s="361"/>
      <c r="M381" s="361"/>
      <c r="N381" s="361"/>
      <c r="O381" s="361"/>
      <c r="P381" s="361"/>
      <c r="Q381" s="361"/>
      <c r="R381" s="361"/>
      <c r="S381" s="361"/>
      <c r="T381" s="361"/>
      <c r="U381" s="361"/>
      <c r="V381" s="361"/>
      <c r="W381" s="361"/>
      <c r="X381" s="361"/>
      <c r="Y381" s="361"/>
    </row>
    <row r="382" spans="2:25" s="349" customFormat="1" ht="20.100000000000001" customHeight="1">
      <c r="B382" s="361"/>
      <c r="C382" s="361"/>
      <c r="D382" s="361"/>
      <c r="E382" s="361"/>
      <c r="F382" s="361"/>
      <c r="G382" s="361"/>
      <c r="H382" s="361"/>
      <c r="I382" s="361"/>
      <c r="J382" s="361"/>
      <c r="K382" s="361"/>
      <c r="L382" s="361"/>
      <c r="M382" s="361"/>
      <c r="N382" s="361"/>
      <c r="O382" s="361"/>
      <c r="P382" s="361"/>
      <c r="Q382" s="361"/>
      <c r="R382" s="361"/>
      <c r="S382" s="361"/>
      <c r="T382" s="361"/>
      <c r="U382" s="361"/>
      <c r="V382" s="361"/>
      <c r="W382" s="361"/>
      <c r="X382" s="361"/>
      <c r="Y382" s="361"/>
    </row>
    <row r="383" spans="2:25" s="349" customFormat="1" ht="20.100000000000001" customHeight="1">
      <c r="B383" s="361"/>
      <c r="C383" s="361"/>
      <c r="D383" s="361"/>
      <c r="E383" s="361"/>
      <c r="F383" s="361"/>
      <c r="G383" s="361"/>
      <c r="H383" s="361"/>
      <c r="I383" s="361"/>
      <c r="J383" s="361"/>
      <c r="K383" s="361"/>
      <c r="L383" s="361"/>
      <c r="M383" s="361"/>
      <c r="N383" s="361"/>
      <c r="O383" s="361"/>
      <c r="P383" s="361"/>
      <c r="Q383" s="361"/>
      <c r="R383" s="361"/>
      <c r="S383" s="361"/>
      <c r="T383" s="361"/>
      <c r="U383" s="361"/>
      <c r="V383" s="361"/>
      <c r="W383" s="361"/>
      <c r="X383" s="361"/>
      <c r="Y383" s="361"/>
    </row>
    <row r="384" spans="2:25" s="349" customFormat="1" ht="20.100000000000001" customHeight="1">
      <c r="B384" s="361"/>
      <c r="C384" s="361"/>
      <c r="D384" s="361"/>
      <c r="E384" s="361"/>
      <c r="F384" s="361"/>
      <c r="G384" s="361"/>
      <c r="H384" s="361"/>
      <c r="I384" s="361"/>
      <c r="J384" s="361"/>
      <c r="K384" s="361"/>
      <c r="L384" s="361"/>
      <c r="M384" s="361"/>
      <c r="N384" s="361"/>
      <c r="O384" s="361"/>
      <c r="P384" s="361"/>
      <c r="Q384" s="361"/>
      <c r="R384" s="361"/>
      <c r="S384" s="361"/>
      <c r="T384" s="361"/>
      <c r="U384" s="361"/>
      <c r="V384" s="361"/>
      <c r="W384" s="361"/>
      <c r="X384" s="361"/>
      <c r="Y384" s="361"/>
    </row>
    <row r="385" spans="2:25" s="349" customFormat="1" ht="20.100000000000001" customHeight="1">
      <c r="B385" s="361"/>
      <c r="C385" s="361"/>
      <c r="D385" s="361"/>
      <c r="E385" s="361"/>
      <c r="F385" s="361"/>
      <c r="G385" s="361"/>
      <c r="H385" s="361"/>
      <c r="I385" s="361"/>
      <c r="J385" s="361"/>
      <c r="K385" s="361"/>
      <c r="L385" s="361"/>
      <c r="M385" s="361"/>
      <c r="N385" s="361"/>
      <c r="O385" s="361"/>
      <c r="P385" s="361"/>
      <c r="Q385" s="361"/>
      <c r="R385" s="361"/>
      <c r="S385" s="361"/>
      <c r="T385" s="361"/>
      <c r="U385" s="361"/>
      <c r="V385" s="361"/>
      <c r="W385" s="361"/>
      <c r="X385" s="361"/>
      <c r="Y385" s="361"/>
    </row>
    <row r="386" spans="2:25" ht="20.100000000000001" customHeight="1"/>
    <row r="387" spans="2:25" ht="9.9499999999999993" customHeight="1"/>
    <row r="388" spans="2:25" ht="20.100000000000001" customHeight="1"/>
    <row r="389" spans="2:25" ht="20.100000000000001" customHeight="1"/>
    <row r="390" spans="2:25" ht="20.100000000000001" customHeight="1"/>
    <row r="391" spans="2:25" s="349" customFormat="1" ht="20.100000000000001" customHeight="1">
      <c r="B391" s="361"/>
      <c r="C391" s="361"/>
      <c r="D391" s="361"/>
      <c r="E391" s="361"/>
      <c r="F391" s="361"/>
      <c r="G391" s="361"/>
      <c r="H391" s="361"/>
      <c r="I391" s="361"/>
      <c r="J391" s="361"/>
      <c r="K391" s="361"/>
      <c r="L391" s="361"/>
      <c r="M391" s="361"/>
      <c r="N391" s="361"/>
      <c r="O391" s="361"/>
      <c r="P391" s="361"/>
      <c r="Q391" s="361"/>
      <c r="R391" s="361"/>
      <c r="S391" s="361"/>
      <c r="T391" s="361"/>
      <c r="U391" s="361"/>
      <c r="V391" s="361"/>
      <c r="W391" s="361"/>
      <c r="X391" s="361"/>
      <c r="Y391" s="361"/>
    </row>
    <row r="392" spans="2:25" s="349" customFormat="1" ht="20.100000000000001" customHeight="1">
      <c r="B392" s="361"/>
      <c r="C392" s="361"/>
      <c r="D392" s="361"/>
      <c r="E392" s="361"/>
      <c r="F392" s="361"/>
      <c r="G392" s="361"/>
      <c r="H392" s="361"/>
      <c r="I392" s="361"/>
      <c r="J392" s="361"/>
      <c r="K392" s="361"/>
      <c r="L392" s="361"/>
      <c r="M392" s="361"/>
      <c r="N392" s="361"/>
      <c r="O392" s="361"/>
      <c r="P392" s="361"/>
      <c r="Q392" s="361"/>
      <c r="R392" s="361"/>
      <c r="S392" s="361"/>
      <c r="T392" s="361"/>
      <c r="U392" s="361"/>
      <c r="V392" s="361"/>
      <c r="W392" s="361"/>
      <c r="X392" s="361"/>
      <c r="Y392" s="361"/>
    </row>
    <row r="393" spans="2:25" s="349" customFormat="1" ht="20.100000000000001" customHeight="1">
      <c r="B393" s="361"/>
      <c r="C393" s="361"/>
      <c r="D393" s="361"/>
      <c r="E393" s="361"/>
      <c r="F393" s="361"/>
      <c r="G393" s="361"/>
      <c r="H393" s="361"/>
      <c r="I393" s="361"/>
      <c r="J393" s="361"/>
      <c r="K393" s="361"/>
      <c r="L393" s="361"/>
      <c r="M393" s="361"/>
      <c r="N393" s="361"/>
      <c r="O393" s="361"/>
      <c r="P393" s="361"/>
      <c r="Q393" s="361"/>
      <c r="R393" s="361"/>
      <c r="S393" s="361"/>
      <c r="T393" s="361"/>
      <c r="U393" s="361"/>
      <c r="V393" s="361"/>
      <c r="W393" s="361"/>
      <c r="X393" s="361"/>
      <c r="Y393" s="361"/>
    </row>
    <row r="394" spans="2:25" s="349" customFormat="1" ht="20.100000000000001" customHeight="1">
      <c r="B394" s="361"/>
      <c r="C394" s="361"/>
      <c r="D394" s="361"/>
      <c r="E394" s="361"/>
      <c r="F394" s="361"/>
      <c r="G394" s="361"/>
      <c r="H394" s="361"/>
      <c r="I394" s="361"/>
      <c r="J394" s="361"/>
      <c r="K394" s="361"/>
      <c r="L394" s="361"/>
      <c r="M394" s="361"/>
      <c r="N394" s="361"/>
      <c r="O394" s="361"/>
      <c r="P394" s="361"/>
      <c r="Q394" s="361"/>
      <c r="R394" s="361"/>
      <c r="S394" s="361"/>
      <c r="T394" s="361"/>
      <c r="U394" s="361"/>
      <c r="V394" s="361"/>
      <c r="W394" s="361"/>
      <c r="X394" s="361"/>
      <c r="Y394" s="361"/>
    </row>
    <row r="395" spans="2:25" s="349" customFormat="1" ht="20.100000000000001" customHeight="1">
      <c r="B395" s="361"/>
      <c r="C395" s="361"/>
      <c r="D395" s="361"/>
      <c r="E395" s="361"/>
      <c r="F395" s="361"/>
      <c r="G395" s="361"/>
      <c r="H395" s="361"/>
      <c r="I395" s="361"/>
      <c r="J395" s="361"/>
      <c r="K395" s="361"/>
      <c r="L395" s="361"/>
      <c r="M395" s="361"/>
      <c r="N395" s="361"/>
      <c r="O395" s="361"/>
      <c r="P395" s="361"/>
      <c r="Q395" s="361"/>
      <c r="R395" s="361"/>
      <c r="S395" s="361"/>
      <c r="T395" s="361"/>
      <c r="U395" s="361"/>
      <c r="V395" s="361"/>
      <c r="W395" s="361"/>
      <c r="X395" s="361"/>
      <c r="Y395" s="361"/>
    </row>
    <row r="396" spans="2:25" s="349" customFormat="1" ht="20.100000000000001" customHeight="1">
      <c r="B396" s="361"/>
      <c r="C396" s="361"/>
      <c r="D396" s="361"/>
      <c r="E396" s="361"/>
      <c r="F396" s="361"/>
      <c r="G396" s="361"/>
      <c r="H396" s="361"/>
      <c r="I396" s="361"/>
      <c r="J396" s="361"/>
      <c r="K396" s="361"/>
      <c r="L396" s="361"/>
      <c r="M396" s="361"/>
      <c r="N396" s="361"/>
      <c r="O396" s="361"/>
      <c r="P396" s="361"/>
      <c r="Q396" s="361"/>
      <c r="R396" s="361"/>
      <c r="S396" s="361"/>
      <c r="T396" s="361"/>
      <c r="U396" s="361"/>
      <c r="V396" s="361"/>
      <c r="W396" s="361"/>
      <c r="X396" s="361"/>
      <c r="Y396" s="361"/>
    </row>
    <row r="397" spans="2:25" s="349" customFormat="1" ht="20.100000000000001" customHeight="1">
      <c r="B397" s="361"/>
      <c r="C397" s="361"/>
      <c r="D397" s="361"/>
      <c r="E397" s="361"/>
      <c r="F397" s="361"/>
      <c r="G397" s="361"/>
      <c r="H397" s="361"/>
      <c r="I397" s="361"/>
      <c r="J397" s="361"/>
      <c r="K397" s="361"/>
      <c r="L397" s="361"/>
      <c r="M397" s="361"/>
      <c r="N397" s="361"/>
      <c r="O397" s="361"/>
      <c r="P397" s="361"/>
      <c r="Q397" s="361"/>
      <c r="R397" s="361"/>
      <c r="S397" s="361"/>
      <c r="T397" s="361"/>
      <c r="U397" s="361"/>
      <c r="V397" s="361"/>
      <c r="W397" s="361"/>
      <c r="X397" s="361"/>
      <c r="Y397" s="361"/>
    </row>
    <row r="398" spans="2:25" s="349" customFormat="1" ht="20.100000000000001" customHeight="1">
      <c r="B398" s="361"/>
      <c r="C398" s="361"/>
      <c r="D398" s="361"/>
      <c r="E398" s="361"/>
      <c r="F398" s="361"/>
      <c r="G398" s="361"/>
      <c r="H398" s="361"/>
      <c r="I398" s="361"/>
      <c r="J398" s="361"/>
      <c r="K398" s="361"/>
      <c r="L398" s="361"/>
      <c r="M398" s="361"/>
      <c r="N398" s="361"/>
      <c r="O398" s="361"/>
      <c r="P398" s="361"/>
      <c r="Q398" s="361"/>
      <c r="R398" s="361"/>
      <c r="S398" s="361"/>
      <c r="T398" s="361"/>
      <c r="U398" s="361"/>
      <c r="V398" s="361"/>
      <c r="W398" s="361"/>
      <c r="X398" s="361"/>
      <c r="Y398" s="361"/>
    </row>
    <row r="399" spans="2:25" s="349" customFormat="1" ht="20.100000000000001" customHeight="1">
      <c r="B399" s="361"/>
      <c r="C399" s="361"/>
      <c r="D399" s="361"/>
      <c r="E399" s="361"/>
      <c r="F399" s="361"/>
      <c r="G399" s="361"/>
      <c r="H399" s="361"/>
      <c r="I399" s="361"/>
      <c r="J399" s="361"/>
      <c r="K399" s="361"/>
      <c r="L399" s="361"/>
      <c r="M399" s="361"/>
      <c r="N399" s="361"/>
      <c r="O399" s="361"/>
      <c r="P399" s="361"/>
      <c r="Q399" s="361"/>
      <c r="R399" s="361"/>
      <c r="S399" s="361"/>
      <c r="T399" s="361"/>
      <c r="U399" s="361"/>
      <c r="V399" s="361"/>
      <c r="W399" s="361"/>
      <c r="X399" s="361"/>
      <c r="Y399" s="361"/>
    </row>
    <row r="400" spans="2:25" s="349" customFormat="1" ht="20.100000000000001" customHeight="1">
      <c r="B400" s="361"/>
      <c r="C400" s="361"/>
      <c r="D400" s="361"/>
      <c r="E400" s="361"/>
      <c r="F400" s="361"/>
      <c r="G400" s="361"/>
      <c r="H400" s="361"/>
      <c r="I400" s="361"/>
      <c r="J400" s="361"/>
      <c r="K400" s="361"/>
      <c r="L400" s="361"/>
      <c r="M400" s="361"/>
      <c r="N400" s="361"/>
      <c r="O400" s="361"/>
      <c r="P400" s="361"/>
      <c r="Q400" s="361"/>
      <c r="R400" s="361"/>
      <c r="S400" s="361"/>
      <c r="T400" s="361"/>
      <c r="U400" s="361"/>
      <c r="V400" s="361"/>
      <c r="W400" s="361"/>
      <c r="X400" s="361"/>
      <c r="Y400" s="361"/>
    </row>
    <row r="401" spans="2:25" s="349" customFormat="1" ht="20.100000000000001" customHeight="1">
      <c r="B401" s="361"/>
      <c r="C401" s="361"/>
      <c r="D401" s="361"/>
      <c r="E401" s="361"/>
      <c r="F401" s="361"/>
      <c r="G401" s="361"/>
      <c r="H401" s="361"/>
      <c r="I401" s="361"/>
      <c r="J401" s="361"/>
      <c r="K401" s="361"/>
      <c r="L401" s="361"/>
      <c r="M401" s="361"/>
      <c r="N401" s="361"/>
      <c r="O401" s="361"/>
      <c r="P401" s="361"/>
      <c r="Q401" s="361"/>
      <c r="R401" s="361"/>
      <c r="S401" s="361"/>
      <c r="T401" s="361"/>
      <c r="U401" s="361"/>
      <c r="V401" s="361"/>
      <c r="W401" s="361"/>
      <c r="X401" s="361"/>
      <c r="Y401" s="361"/>
    </row>
    <row r="402" spans="2:25" s="349" customFormat="1" ht="20.100000000000001" customHeight="1">
      <c r="B402" s="361"/>
      <c r="C402" s="361"/>
      <c r="D402" s="361"/>
      <c r="E402" s="361"/>
      <c r="F402" s="361"/>
      <c r="G402" s="361"/>
      <c r="H402" s="361"/>
      <c r="I402" s="361"/>
      <c r="J402" s="361"/>
      <c r="K402" s="361"/>
      <c r="L402" s="361"/>
      <c r="M402" s="361"/>
      <c r="N402" s="361"/>
      <c r="O402" s="361"/>
      <c r="P402" s="361"/>
      <c r="Q402" s="361"/>
      <c r="R402" s="361"/>
      <c r="S402" s="361"/>
      <c r="T402" s="361"/>
      <c r="U402" s="361"/>
      <c r="V402" s="361"/>
      <c r="W402" s="361"/>
      <c r="X402" s="361"/>
      <c r="Y402" s="361"/>
    </row>
    <row r="403" spans="2:25" s="349" customFormat="1" ht="20.100000000000001" customHeight="1">
      <c r="B403" s="361"/>
      <c r="C403" s="361"/>
      <c r="D403" s="361"/>
      <c r="E403" s="361"/>
      <c r="F403" s="361"/>
      <c r="G403" s="361"/>
      <c r="H403" s="361"/>
      <c r="I403" s="361"/>
      <c r="J403" s="361"/>
      <c r="K403" s="361"/>
      <c r="L403" s="361"/>
      <c r="M403" s="361"/>
      <c r="N403" s="361"/>
      <c r="O403" s="361"/>
      <c r="P403" s="361"/>
      <c r="Q403" s="361"/>
      <c r="R403" s="361"/>
      <c r="S403" s="361"/>
      <c r="T403" s="361"/>
      <c r="U403" s="361"/>
      <c r="V403" s="361"/>
      <c r="W403" s="361"/>
      <c r="X403" s="361"/>
      <c r="Y403" s="361"/>
    </row>
    <row r="404" spans="2:25" s="349" customFormat="1" ht="20.100000000000001" customHeight="1">
      <c r="B404" s="361"/>
      <c r="C404" s="361"/>
      <c r="D404" s="361"/>
      <c r="E404" s="361"/>
      <c r="F404" s="361"/>
      <c r="G404" s="361"/>
      <c r="H404" s="361"/>
      <c r="I404" s="361"/>
      <c r="J404" s="361"/>
      <c r="K404" s="361"/>
      <c r="L404" s="361"/>
      <c r="M404" s="361"/>
      <c r="N404" s="361"/>
      <c r="O404" s="361"/>
      <c r="P404" s="361"/>
      <c r="Q404" s="361"/>
      <c r="R404" s="361"/>
      <c r="S404" s="361"/>
      <c r="T404" s="361"/>
      <c r="U404" s="361"/>
      <c r="V404" s="361"/>
      <c r="W404" s="361"/>
      <c r="X404" s="361"/>
      <c r="Y404" s="361"/>
    </row>
    <row r="405" spans="2:25" s="349" customFormat="1" ht="20.100000000000001" customHeight="1">
      <c r="B405" s="361"/>
      <c r="C405" s="361"/>
      <c r="D405" s="361"/>
      <c r="E405" s="361"/>
      <c r="F405" s="361"/>
      <c r="G405" s="361"/>
      <c r="H405" s="361"/>
      <c r="I405" s="361"/>
      <c r="J405" s="361"/>
      <c r="K405" s="361"/>
      <c r="L405" s="361"/>
      <c r="M405" s="361"/>
      <c r="N405" s="361"/>
      <c r="O405" s="361"/>
      <c r="P405" s="361"/>
      <c r="Q405" s="361"/>
      <c r="R405" s="361"/>
      <c r="S405" s="361"/>
      <c r="T405" s="361"/>
      <c r="U405" s="361"/>
      <c r="V405" s="361"/>
      <c r="W405" s="361"/>
      <c r="X405" s="361"/>
      <c r="Y405" s="361"/>
    </row>
    <row r="406" spans="2:25" s="349" customFormat="1" ht="20.100000000000001" customHeight="1">
      <c r="B406" s="361"/>
      <c r="C406" s="361"/>
      <c r="D406" s="361"/>
      <c r="E406" s="361"/>
      <c r="F406" s="361"/>
      <c r="G406" s="361"/>
      <c r="H406" s="361"/>
      <c r="I406" s="361"/>
      <c r="J406" s="361"/>
      <c r="K406" s="361"/>
      <c r="L406" s="361"/>
      <c r="M406" s="361"/>
      <c r="N406" s="361"/>
      <c r="O406" s="361"/>
      <c r="P406" s="361"/>
      <c r="Q406" s="361"/>
      <c r="R406" s="361"/>
      <c r="S406" s="361"/>
      <c r="T406" s="361"/>
      <c r="U406" s="361"/>
      <c r="V406" s="361"/>
      <c r="W406" s="361"/>
      <c r="X406" s="361"/>
      <c r="Y406" s="361"/>
    </row>
    <row r="407" spans="2:25" s="349" customFormat="1" ht="20.100000000000001" customHeight="1">
      <c r="B407" s="361"/>
      <c r="C407" s="361"/>
      <c r="D407" s="361"/>
      <c r="E407" s="361"/>
      <c r="F407" s="361"/>
      <c r="G407" s="361"/>
      <c r="H407" s="361"/>
      <c r="I407" s="361"/>
      <c r="J407" s="361"/>
      <c r="K407" s="361"/>
      <c r="L407" s="361"/>
      <c r="M407" s="361"/>
      <c r="N407" s="361"/>
      <c r="O407" s="361"/>
      <c r="P407" s="361"/>
      <c r="Q407" s="361"/>
      <c r="R407" s="361"/>
      <c r="S407" s="361"/>
      <c r="T407" s="361"/>
      <c r="U407" s="361"/>
      <c r="V407" s="361"/>
      <c r="W407" s="361"/>
      <c r="X407" s="361"/>
      <c r="Y407" s="361"/>
    </row>
    <row r="408" spans="2:25" s="349" customFormat="1" ht="20.100000000000001" customHeight="1">
      <c r="B408" s="361"/>
      <c r="C408" s="361"/>
      <c r="D408" s="361"/>
      <c r="E408" s="361"/>
      <c r="F408" s="361"/>
      <c r="G408" s="361"/>
      <c r="H408" s="361"/>
      <c r="I408" s="361"/>
      <c r="J408" s="361"/>
      <c r="K408" s="361"/>
      <c r="L408" s="361"/>
      <c r="M408" s="361"/>
      <c r="N408" s="361"/>
      <c r="O408" s="361"/>
      <c r="P408" s="361"/>
      <c r="Q408" s="361"/>
      <c r="R408" s="361"/>
      <c r="S408" s="361"/>
      <c r="T408" s="361"/>
      <c r="U408" s="361"/>
      <c r="V408" s="361"/>
      <c r="W408" s="361"/>
      <c r="X408" s="361"/>
      <c r="Y408" s="361"/>
    </row>
    <row r="409" spans="2:25" s="349" customFormat="1" ht="20.100000000000001" customHeight="1">
      <c r="B409" s="361"/>
      <c r="C409" s="361"/>
      <c r="D409" s="361"/>
      <c r="E409" s="361"/>
      <c r="F409" s="361"/>
      <c r="G409" s="361"/>
      <c r="H409" s="361"/>
      <c r="I409" s="361"/>
      <c r="J409" s="361"/>
      <c r="K409" s="361"/>
      <c r="L409" s="361"/>
      <c r="M409" s="361"/>
      <c r="N409" s="361"/>
      <c r="O409" s="361"/>
      <c r="P409" s="361"/>
      <c r="Q409" s="361"/>
      <c r="R409" s="361"/>
      <c r="S409" s="361"/>
      <c r="T409" s="361"/>
      <c r="U409" s="361"/>
      <c r="V409" s="361"/>
      <c r="W409" s="361"/>
      <c r="X409" s="361"/>
      <c r="Y409" s="361"/>
    </row>
    <row r="410" spans="2:25" s="349" customFormat="1" ht="20.100000000000001" customHeight="1">
      <c r="B410" s="361"/>
      <c r="C410" s="361"/>
      <c r="D410" s="361"/>
      <c r="E410" s="361"/>
      <c r="F410" s="361"/>
      <c r="G410" s="361"/>
      <c r="H410" s="361"/>
      <c r="I410" s="361"/>
      <c r="J410" s="361"/>
      <c r="K410" s="361"/>
      <c r="L410" s="361"/>
      <c r="M410" s="361"/>
      <c r="N410" s="361"/>
      <c r="O410" s="361"/>
      <c r="P410" s="361"/>
      <c r="Q410" s="361"/>
      <c r="R410" s="361"/>
      <c r="S410" s="361"/>
      <c r="T410" s="361"/>
      <c r="U410" s="361"/>
      <c r="V410" s="361"/>
      <c r="W410" s="361"/>
      <c r="X410" s="361"/>
      <c r="Y410" s="361"/>
    </row>
    <row r="411" spans="2:25" s="349" customFormat="1" ht="20.100000000000001" customHeight="1">
      <c r="B411" s="361"/>
      <c r="C411" s="361"/>
      <c r="D411" s="361"/>
      <c r="E411" s="361"/>
      <c r="F411" s="361"/>
      <c r="G411" s="361"/>
      <c r="H411" s="361"/>
      <c r="I411" s="361"/>
      <c r="J411" s="361"/>
      <c r="K411" s="361"/>
      <c r="L411" s="361"/>
      <c r="M411" s="361"/>
      <c r="N411" s="361"/>
      <c r="O411" s="361"/>
      <c r="P411" s="361"/>
      <c r="Q411" s="361"/>
      <c r="R411" s="361"/>
      <c r="S411" s="361"/>
      <c r="T411" s="361"/>
      <c r="U411" s="361"/>
      <c r="V411" s="361"/>
      <c r="W411" s="361"/>
      <c r="X411" s="361"/>
      <c r="Y411" s="361"/>
    </row>
    <row r="412" spans="2:25" s="349" customFormat="1" ht="20.100000000000001" customHeight="1">
      <c r="B412" s="361"/>
      <c r="C412" s="361"/>
      <c r="D412" s="361"/>
      <c r="E412" s="361"/>
      <c r="F412" s="361"/>
      <c r="G412" s="361"/>
      <c r="H412" s="361"/>
      <c r="I412" s="361"/>
      <c r="J412" s="361"/>
      <c r="K412" s="361"/>
      <c r="L412" s="361"/>
      <c r="M412" s="361"/>
      <c r="N412" s="361"/>
      <c r="O412" s="361"/>
      <c r="P412" s="361"/>
      <c r="Q412" s="361"/>
      <c r="R412" s="361"/>
      <c r="S412" s="361"/>
      <c r="T412" s="361"/>
      <c r="U412" s="361"/>
      <c r="V412" s="361"/>
      <c r="W412" s="361"/>
      <c r="X412" s="361"/>
      <c r="Y412" s="361"/>
    </row>
    <row r="413" spans="2:25" s="349" customFormat="1" ht="20.100000000000001" customHeight="1">
      <c r="B413" s="361"/>
      <c r="C413" s="361"/>
      <c r="D413" s="361"/>
      <c r="E413" s="361"/>
      <c r="F413" s="361"/>
      <c r="G413" s="361"/>
      <c r="H413" s="361"/>
      <c r="I413" s="361"/>
      <c r="J413" s="361"/>
      <c r="K413" s="361"/>
      <c r="L413" s="361"/>
      <c r="M413" s="361"/>
      <c r="N413" s="361"/>
      <c r="O413" s="361"/>
      <c r="P413" s="361"/>
      <c r="Q413" s="361"/>
      <c r="R413" s="361"/>
      <c r="S413" s="361"/>
      <c r="T413" s="361"/>
      <c r="U413" s="361"/>
      <c r="V413" s="361"/>
      <c r="W413" s="361"/>
      <c r="X413" s="361"/>
      <c r="Y413" s="361"/>
    </row>
    <row r="414" spans="2:25" s="349" customFormat="1" ht="20.100000000000001" customHeight="1">
      <c r="B414" s="361"/>
      <c r="C414" s="361"/>
      <c r="D414" s="361"/>
      <c r="E414" s="361"/>
      <c r="F414" s="361"/>
      <c r="G414" s="361"/>
      <c r="H414" s="361"/>
      <c r="I414" s="361"/>
      <c r="J414" s="361"/>
      <c r="K414" s="361"/>
      <c r="L414" s="361"/>
      <c r="M414" s="361"/>
      <c r="N414" s="361"/>
      <c r="O414" s="361"/>
      <c r="P414" s="361"/>
      <c r="Q414" s="361"/>
      <c r="R414" s="361"/>
      <c r="S414" s="361"/>
      <c r="T414" s="361"/>
      <c r="U414" s="361"/>
      <c r="V414" s="361"/>
      <c r="W414" s="361"/>
      <c r="X414" s="361"/>
      <c r="Y414" s="361"/>
    </row>
    <row r="415" spans="2:25" s="349" customFormat="1" ht="20.100000000000001" customHeight="1">
      <c r="B415" s="361"/>
      <c r="C415" s="361"/>
      <c r="D415" s="361"/>
      <c r="E415" s="361"/>
      <c r="F415" s="361"/>
      <c r="G415" s="361"/>
      <c r="H415" s="361"/>
      <c r="I415" s="361"/>
      <c r="J415" s="361"/>
      <c r="K415" s="361"/>
      <c r="L415" s="361"/>
      <c r="M415" s="361"/>
      <c r="N415" s="361"/>
      <c r="O415" s="361"/>
      <c r="P415" s="361"/>
      <c r="Q415" s="361"/>
      <c r="R415" s="361"/>
      <c r="S415" s="361"/>
      <c r="T415" s="361"/>
      <c r="U415" s="361"/>
      <c r="V415" s="361"/>
      <c r="W415" s="361"/>
      <c r="X415" s="361"/>
      <c r="Y415" s="361"/>
    </row>
    <row r="416" spans="2:25" s="349" customFormat="1" ht="20.100000000000001" customHeight="1">
      <c r="B416" s="361"/>
      <c r="C416" s="361"/>
      <c r="D416" s="361"/>
      <c r="E416" s="361"/>
      <c r="F416" s="361"/>
      <c r="G416" s="361"/>
      <c r="H416" s="361"/>
      <c r="I416" s="361"/>
      <c r="J416" s="361"/>
      <c r="K416" s="361"/>
      <c r="L416" s="361"/>
      <c r="M416" s="361"/>
      <c r="N416" s="361"/>
      <c r="O416" s="361"/>
      <c r="P416" s="361"/>
      <c r="Q416" s="361"/>
      <c r="R416" s="361"/>
      <c r="S416" s="361"/>
      <c r="T416" s="361"/>
      <c r="U416" s="361"/>
      <c r="V416" s="361"/>
      <c r="W416" s="361"/>
      <c r="X416" s="361"/>
      <c r="Y416" s="361"/>
    </row>
    <row r="417" spans="2:25" s="349" customFormat="1" ht="20.100000000000001" customHeight="1">
      <c r="B417" s="361"/>
      <c r="C417" s="361"/>
      <c r="D417" s="361"/>
      <c r="E417" s="361"/>
      <c r="F417" s="361"/>
      <c r="G417" s="361"/>
      <c r="H417" s="361"/>
      <c r="I417" s="361"/>
      <c r="J417" s="361"/>
      <c r="K417" s="361"/>
      <c r="L417" s="361"/>
      <c r="M417" s="361"/>
      <c r="N417" s="361"/>
      <c r="O417" s="361"/>
      <c r="P417" s="361"/>
      <c r="Q417" s="361"/>
      <c r="R417" s="361"/>
      <c r="S417" s="361"/>
      <c r="T417" s="361"/>
      <c r="U417" s="361"/>
      <c r="V417" s="361"/>
      <c r="W417" s="361"/>
      <c r="X417" s="361"/>
      <c r="Y417" s="361"/>
    </row>
    <row r="418" spans="2:25" s="349" customFormat="1" ht="20.100000000000001" customHeight="1">
      <c r="B418" s="361"/>
      <c r="C418" s="361"/>
      <c r="D418" s="361"/>
      <c r="E418" s="361"/>
      <c r="F418" s="361"/>
      <c r="G418" s="361"/>
      <c r="H418" s="361"/>
      <c r="I418" s="361"/>
      <c r="J418" s="361"/>
      <c r="K418" s="361"/>
      <c r="L418" s="361"/>
      <c r="M418" s="361"/>
      <c r="N418" s="361"/>
      <c r="O418" s="361"/>
      <c r="P418" s="361"/>
      <c r="Q418" s="361"/>
      <c r="R418" s="361"/>
      <c r="S418" s="361"/>
      <c r="T418" s="361"/>
      <c r="U418" s="361"/>
      <c r="V418" s="361"/>
      <c r="W418" s="361"/>
      <c r="X418" s="361"/>
      <c r="Y418" s="361"/>
    </row>
    <row r="419" spans="2:25" s="349" customFormat="1" ht="20.100000000000001" customHeight="1">
      <c r="B419" s="361"/>
      <c r="C419" s="361"/>
      <c r="D419" s="361"/>
      <c r="E419" s="361"/>
      <c r="F419" s="361"/>
      <c r="G419" s="361"/>
      <c r="H419" s="361"/>
      <c r="I419" s="361"/>
      <c r="J419" s="361"/>
      <c r="K419" s="361"/>
      <c r="L419" s="361"/>
      <c r="M419" s="361"/>
      <c r="N419" s="361"/>
      <c r="O419" s="361"/>
      <c r="P419" s="361"/>
      <c r="Q419" s="361"/>
      <c r="R419" s="361"/>
      <c r="S419" s="361"/>
      <c r="T419" s="361"/>
      <c r="U419" s="361"/>
      <c r="V419" s="361"/>
      <c r="W419" s="361"/>
      <c r="X419" s="361"/>
      <c r="Y419" s="361"/>
    </row>
    <row r="420" spans="2:25" s="349" customFormat="1" ht="20.100000000000001" customHeight="1">
      <c r="B420" s="361"/>
      <c r="C420" s="361"/>
      <c r="D420" s="361"/>
      <c r="E420" s="361"/>
      <c r="F420" s="361"/>
      <c r="G420" s="361"/>
      <c r="H420" s="361"/>
      <c r="I420" s="361"/>
      <c r="J420" s="361"/>
      <c r="K420" s="361"/>
      <c r="L420" s="361"/>
      <c r="M420" s="361"/>
      <c r="N420" s="361"/>
      <c r="O420" s="361"/>
      <c r="P420" s="361"/>
      <c r="Q420" s="361"/>
      <c r="R420" s="361"/>
      <c r="S420" s="361"/>
      <c r="T420" s="361"/>
      <c r="U420" s="361"/>
      <c r="V420" s="361"/>
      <c r="W420" s="361"/>
      <c r="X420" s="361"/>
      <c r="Y420" s="361"/>
    </row>
    <row r="421" spans="2:25" s="349" customFormat="1" ht="20.100000000000001" customHeight="1">
      <c r="B421" s="361"/>
      <c r="C421" s="361"/>
      <c r="D421" s="361"/>
      <c r="E421" s="361"/>
      <c r="F421" s="361"/>
      <c r="G421" s="361"/>
      <c r="H421" s="361"/>
      <c r="I421" s="361"/>
      <c r="J421" s="361"/>
      <c r="K421" s="361"/>
      <c r="L421" s="361"/>
      <c r="M421" s="361"/>
      <c r="N421" s="361"/>
      <c r="O421" s="361"/>
      <c r="P421" s="361"/>
      <c r="Q421" s="361"/>
      <c r="R421" s="361"/>
      <c r="S421" s="361"/>
      <c r="T421" s="361"/>
      <c r="U421" s="361"/>
      <c r="V421" s="361"/>
      <c r="W421" s="361"/>
      <c r="X421" s="361"/>
      <c r="Y421" s="361"/>
    </row>
    <row r="422" spans="2:25" s="349" customFormat="1" ht="20.100000000000001" customHeight="1">
      <c r="B422" s="361"/>
      <c r="C422" s="361"/>
      <c r="D422" s="361"/>
      <c r="E422" s="361"/>
      <c r="F422" s="361"/>
      <c r="G422" s="361"/>
      <c r="H422" s="361"/>
      <c r="I422" s="361"/>
      <c r="J422" s="361"/>
      <c r="K422" s="361"/>
      <c r="L422" s="361"/>
      <c r="M422" s="361"/>
      <c r="N422" s="361"/>
      <c r="O422" s="361"/>
      <c r="P422" s="361"/>
      <c r="Q422" s="361"/>
      <c r="R422" s="361"/>
      <c r="S422" s="361"/>
      <c r="T422" s="361"/>
      <c r="U422" s="361"/>
      <c r="V422" s="361"/>
      <c r="W422" s="361"/>
      <c r="X422" s="361"/>
      <c r="Y422" s="361"/>
    </row>
    <row r="423" spans="2:25" s="349" customFormat="1" ht="20.100000000000001" customHeight="1">
      <c r="B423" s="361"/>
      <c r="C423" s="361"/>
      <c r="D423" s="361"/>
      <c r="E423" s="361"/>
      <c r="F423" s="361"/>
      <c r="G423" s="361"/>
      <c r="H423" s="361"/>
      <c r="I423" s="361"/>
      <c r="J423" s="361"/>
      <c r="K423" s="361"/>
      <c r="L423" s="361"/>
      <c r="M423" s="361"/>
      <c r="N423" s="361"/>
      <c r="O423" s="361"/>
      <c r="P423" s="361"/>
      <c r="Q423" s="361"/>
      <c r="R423" s="361"/>
      <c r="S423" s="361"/>
      <c r="T423" s="361"/>
      <c r="U423" s="361"/>
      <c r="V423" s="361"/>
      <c r="W423" s="361"/>
      <c r="X423" s="361"/>
      <c r="Y423" s="361"/>
    </row>
    <row r="424" spans="2:25" s="349" customFormat="1" ht="20.100000000000001" customHeight="1">
      <c r="B424" s="361"/>
      <c r="C424" s="361"/>
      <c r="D424" s="361"/>
      <c r="E424" s="361"/>
      <c r="F424" s="361"/>
      <c r="G424" s="361"/>
      <c r="H424" s="361"/>
      <c r="I424" s="361"/>
      <c r="J424" s="361"/>
      <c r="K424" s="361"/>
      <c r="L424" s="361"/>
      <c r="M424" s="361"/>
      <c r="N424" s="361"/>
      <c r="O424" s="361"/>
      <c r="P424" s="361"/>
      <c r="Q424" s="361"/>
      <c r="R424" s="361"/>
      <c r="S424" s="361"/>
      <c r="T424" s="361"/>
      <c r="U424" s="361"/>
      <c r="V424" s="361"/>
      <c r="W424" s="361"/>
      <c r="X424" s="361"/>
      <c r="Y424" s="361"/>
    </row>
    <row r="425" spans="2:25" s="349" customFormat="1" ht="20.100000000000001" customHeight="1">
      <c r="B425" s="361"/>
      <c r="C425" s="361"/>
      <c r="D425" s="361"/>
      <c r="E425" s="361"/>
      <c r="F425" s="361"/>
      <c r="G425" s="361"/>
      <c r="H425" s="361"/>
      <c r="I425" s="361"/>
      <c r="J425" s="361"/>
      <c r="K425" s="361"/>
      <c r="L425" s="361"/>
      <c r="M425" s="361"/>
      <c r="N425" s="361"/>
      <c r="O425" s="361"/>
      <c r="P425" s="361"/>
      <c r="Q425" s="361"/>
      <c r="R425" s="361"/>
      <c r="S425" s="361"/>
      <c r="T425" s="361"/>
      <c r="U425" s="361"/>
      <c r="V425" s="361"/>
      <c r="W425" s="361"/>
      <c r="X425" s="361"/>
      <c r="Y425" s="361"/>
    </row>
    <row r="426" spans="2:25" s="349" customFormat="1" ht="20.100000000000001" customHeight="1">
      <c r="B426" s="361"/>
      <c r="C426" s="361"/>
      <c r="D426" s="361"/>
      <c r="E426" s="361"/>
      <c r="F426" s="361"/>
      <c r="G426" s="361"/>
      <c r="H426" s="361"/>
      <c r="I426" s="361"/>
      <c r="J426" s="361"/>
      <c r="K426" s="361"/>
      <c r="L426" s="361"/>
      <c r="M426" s="361"/>
      <c r="N426" s="361"/>
      <c r="O426" s="361"/>
      <c r="P426" s="361"/>
      <c r="Q426" s="361"/>
      <c r="R426" s="361"/>
      <c r="S426" s="361"/>
      <c r="T426" s="361"/>
      <c r="U426" s="361"/>
      <c r="V426" s="361"/>
      <c r="W426" s="361"/>
      <c r="X426" s="361"/>
      <c r="Y426" s="361"/>
    </row>
    <row r="427" spans="2:25" s="349" customFormat="1" ht="20.100000000000001" customHeight="1">
      <c r="B427" s="361"/>
      <c r="C427" s="361"/>
      <c r="D427" s="361"/>
      <c r="E427" s="361"/>
      <c r="F427" s="361"/>
      <c r="G427" s="361"/>
      <c r="H427" s="361"/>
      <c r="I427" s="361"/>
      <c r="J427" s="361"/>
      <c r="K427" s="361"/>
      <c r="L427" s="361"/>
      <c r="M427" s="361"/>
      <c r="N427" s="361"/>
      <c r="O427" s="361"/>
      <c r="P427" s="361"/>
      <c r="Q427" s="361"/>
      <c r="R427" s="361"/>
      <c r="S427" s="361"/>
      <c r="T427" s="361"/>
      <c r="U427" s="361"/>
      <c r="V427" s="361"/>
      <c r="W427" s="361"/>
      <c r="X427" s="361"/>
      <c r="Y427" s="361"/>
    </row>
    <row r="428" spans="2:25" ht="20.100000000000001" customHeight="1"/>
    <row r="429" spans="2:25" ht="9.9499999999999993" customHeight="1"/>
    <row r="430" spans="2:25" ht="20.100000000000001" customHeight="1"/>
    <row r="431" spans="2:25" ht="20.100000000000001" customHeight="1"/>
    <row r="432" spans="2:25" ht="20.100000000000001" customHeight="1"/>
    <row r="433" spans="2:25" s="349" customFormat="1" ht="20.100000000000001" customHeight="1">
      <c r="B433" s="361"/>
      <c r="C433" s="361"/>
      <c r="D433" s="361"/>
      <c r="E433" s="361"/>
      <c r="F433" s="361"/>
      <c r="G433" s="361"/>
      <c r="H433" s="361"/>
      <c r="I433" s="361"/>
      <c r="J433" s="361"/>
      <c r="K433" s="361"/>
      <c r="L433" s="361"/>
      <c r="M433" s="361"/>
      <c r="N433" s="361"/>
      <c r="O433" s="361"/>
      <c r="P433" s="361"/>
      <c r="Q433" s="361"/>
      <c r="R433" s="361"/>
      <c r="S433" s="361"/>
      <c r="T433" s="361"/>
      <c r="U433" s="361"/>
      <c r="V433" s="361"/>
      <c r="W433" s="361"/>
      <c r="X433" s="361"/>
      <c r="Y433" s="361"/>
    </row>
    <row r="434" spans="2:25" s="349" customFormat="1" ht="20.100000000000001" customHeight="1">
      <c r="B434" s="361"/>
      <c r="C434" s="361"/>
      <c r="D434" s="361"/>
      <c r="E434" s="361"/>
      <c r="F434" s="361"/>
      <c r="G434" s="361"/>
      <c r="H434" s="361"/>
      <c r="I434" s="361"/>
      <c r="J434" s="361"/>
      <c r="K434" s="361"/>
      <c r="L434" s="361"/>
      <c r="M434" s="361"/>
      <c r="N434" s="361"/>
      <c r="O434" s="361"/>
      <c r="P434" s="361"/>
      <c r="Q434" s="361"/>
      <c r="R434" s="361"/>
      <c r="S434" s="361"/>
      <c r="T434" s="361"/>
      <c r="U434" s="361"/>
      <c r="V434" s="361"/>
      <c r="W434" s="361"/>
      <c r="X434" s="361"/>
      <c r="Y434" s="361"/>
    </row>
    <row r="435" spans="2:25" s="349" customFormat="1" ht="20.100000000000001" customHeight="1">
      <c r="B435" s="361"/>
      <c r="C435" s="361"/>
      <c r="D435" s="361"/>
      <c r="E435" s="361"/>
      <c r="F435" s="361"/>
      <c r="G435" s="361"/>
      <c r="H435" s="361"/>
      <c r="I435" s="361"/>
      <c r="J435" s="361"/>
      <c r="K435" s="361"/>
      <c r="L435" s="361"/>
      <c r="M435" s="361"/>
      <c r="N435" s="361"/>
      <c r="O435" s="361"/>
      <c r="P435" s="361"/>
      <c r="Q435" s="361"/>
      <c r="R435" s="361"/>
      <c r="S435" s="361"/>
      <c r="T435" s="361"/>
      <c r="U435" s="361"/>
      <c r="V435" s="361"/>
      <c r="W435" s="361"/>
      <c r="X435" s="361"/>
      <c r="Y435" s="361"/>
    </row>
    <row r="436" spans="2:25" s="349" customFormat="1" ht="20.100000000000001" customHeight="1">
      <c r="B436" s="361"/>
      <c r="C436" s="361"/>
      <c r="D436" s="361"/>
      <c r="E436" s="361"/>
      <c r="F436" s="361"/>
      <c r="G436" s="361"/>
      <c r="H436" s="361"/>
      <c r="I436" s="361"/>
      <c r="J436" s="361"/>
      <c r="K436" s="361"/>
      <c r="L436" s="361"/>
      <c r="M436" s="361"/>
      <c r="N436" s="361"/>
      <c r="O436" s="361"/>
      <c r="P436" s="361"/>
      <c r="Q436" s="361"/>
      <c r="R436" s="361"/>
      <c r="S436" s="361"/>
      <c r="T436" s="361"/>
      <c r="U436" s="361"/>
      <c r="V436" s="361"/>
      <c r="W436" s="361"/>
      <c r="X436" s="361"/>
      <c r="Y436" s="361"/>
    </row>
    <row r="437" spans="2:25" s="349" customFormat="1" ht="20.100000000000001" customHeight="1">
      <c r="B437" s="361"/>
      <c r="C437" s="361"/>
      <c r="D437" s="361"/>
      <c r="E437" s="361"/>
      <c r="F437" s="361"/>
      <c r="G437" s="361"/>
      <c r="H437" s="361"/>
      <c r="I437" s="361"/>
      <c r="J437" s="361"/>
      <c r="K437" s="361"/>
      <c r="L437" s="361"/>
      <c r="M437" s="361"/>
      <c r="N437" s="361"/>
      <c r="O437" s="361"/>
      <c r="P437" s="361"/>
      <c r="Q437" s="361"/>
      <c r="R437" s="361"/>
      <c r="S437" s="361"/>
      <c r="T437" s="361"/>
      <c r="U437" s="361"/>
      <c r="V437" s="361"/>
      <c r="W437" s="361"/>
      <c r="X437" s="361"/>
      <c r="Y437" s="361"/>
    </row>
    <row r="438" spans="2:25" s="349" customFormat="1" ht="20.100000000000001" customHeight="1">
      <c r="B438" s="361"/>
      <c r="C438" s="361"/>
      <c r="D438" s="361"/>
      <c r="E438" s="361"/>
      <c r="F438" s="361"/>
      <c r="G438" s="361"/>
      <c r="H438" s="361"/>
      <c r="I438" s="361"/>
      <c r="J438" s="361"/>
      <c r="K438" s="361"/>
      <c r="L438" s="361"/>
      <c r="M438" s="361"/>
      <c r="N438" s="361"/>
      <c r="O438" s="361"/>
      <c r="P438" s="361"/>
      <c r="Q438" s="361"/>
      <c r="R438" s="361"/>
      <c r="S438" s="361"/>
      <c r="T438" s="361"/>
      <c r="U438" s="361"/>
      <c r="V438" s="361"/>
      <c r="W438" s="361"/>
      <c r="X438" s="361"/>
      <c r="Y438" s="361"/>
    </row>
    <row r="439" spans="2:25" s="349" customFormat="1" ht="20.100000000000001" customHeight="1">
      <c r="B439" s="361"/>
      <c r="C439" s="361"/>
      <c r="D439" s="361"/>
      <c r="E439" s="361"/>
      <c r="F439" s="361"/>
      <c r="G439" s="361"/>
      <c r="H439" s="361"/>
      <c r="I439" s="361"/>
      <c r="J439" s="361"/>
      <c r="K439" s="361"/>
      <c r="L439" s="361"/>
      <c r="M439" s="361"/>
      <c r="N439" s="361"/>
      <c r="O439" s="361"/>
      <c r="P439" s="361"/>
      <c r="Q439" s="361"/>
      <c r="R439" s="361"/>
      <c r="S439" s="361"/>
      <c r="T439" s="361"/>
      <c r="U439" s="361"/>
      <c r="V439" s="361"/>
      <c r="W439" s="361"/>
      <c r="X439" s="361"/>
      <c r="Y439" s="361"/>
    </row>
    <row r="440" spans="2:25" s="349" customFormat="1" ht="20.100000000000001" customHeight="1">
      <c r="B440" s="361"/>
      <c r="C440" s="361"/>
      <c r="D440" s="361"/>
      <c r="E440" s="361"/>
      <c r="F440" s="361"/>
      <c r="G440" s="361"/>
      <c r="H440" s="361"/>
      <c r="I440" s="361"/>
      <c r="J440" s="361"/>
      <c r="K440" s="361"/>
      <c r="L440" s="361"/>
      <c r="M440" s="361"/>
      <c r="N440" s="361"/>
      <c r="O440" s="361"/>
      <c r="P440" s="361"/>
      <c r="Q440" s="361"/>
      <c r="R440" s="361"/>
      <c r="S440" s="361"/>
      <c r="T440" s="361"/>
      <c r="U440" s="361"/>
      <c r="V440" s="361"/>
      <c r="W440" s="361"/>
      <c r="X440" s="361"/>
      <c r="Y440" s="361"/>
    </row>
    <row r="441" spans="2:25" s="349" customFormat="1" ht="20.100000000000001" customHeight="1">
      <c r="B441" s="361"/>
      <c r="C441" s="361"/>
      <c r="D441" s="361"/>
      <c r="E441" s="361"/>
      <c r="F441" s="361"/>
      <c r="G441" s="361"/>
      <c r="H441" s="361"/>
      <c r="I441" s="361"/>
      <c r="J441" s="361"/>
      <c r="K441" s="361"/>
      <c r="L441" s="361"/>
      <c r="M441" s="361"/>
      <c r="N441" s="361"/>
      <c r="O441" s="361"/>
      <c r="P441" s="361"/>
      <c r="Q441" s="361"/>
      <c r="R441" s="361"/>
      <c r="S441" s="361"/>
      <c r="T441" s="361"/>
      <c r="U441" s="361"/>
      <c r="V441" s="361"/>
      <c r="W441" s="361"/>
      <c r="X441" s="361"/>
      <c r="Y441" s="361"/>
    </row>
    <row r="442" spans="2:25" s="349" customFormat="1" ht="20.100000000000001" customHeight="1">
      <c r="B442" s="361"/>
      <c r="C442" s="361"/>
      <c r="D442" s="361"/>
      <c r="E442" s="361"/>
      <c r="F442" s="361"/>
      <c r="G442" s="361"/>
      <c r="H442" s="361"/>
      <c r="I442" s="361"/>
      <c r="J442" s="361"/>
      <c r="K442" s="361"/>
      <c r="L442" s="361"/>
      <c r="M442" s="361"/>
      <c r="N442" s="361"/>
      <c r="O442" s="361"/>
      <c r="P442" s="361"/>
      <c r="Q442" s="361"/>
      <c r="R442" s="361"/>
      <c r="S442" s="361"/>
      <c r="T442" s="361"/>
      <c r="U442" s="361"/>
      <c r="V442" s="361"/>
      <c r="W442" s="361"/>
      <c r="X442" s="361"/>
      <c r="Y442" s="361"/>
    </row>
    <row r="443" spans="2:25" s="349" customFormat="1" ht="20.100000000000001" customHeight="1">
      <c r="B443" s="361"/>
      <c r="C443" s="361"/>
      <c r="D443" s="361"/>
      <c r="E443" s="361"/>
      <c r="F443" s="361"/>
      <c r="G443" s="361"/>
      <c r="H443" s="361"/>
      <c r="I443" s="361"/>
      <c r="J443" s="361"/>
      <c r="K443" s="361"/>
      <c r="L443" s="361"/>
      <c r="M443" s="361"/>
      <c r="N443" s="361"/>
      <c r="O443" s="361"/>
      <c r="P443" s="361"/>
      <c r="Q443" s="361"/>
      <c r="R443" s="361"/>
      <c r="S443" s="361"/>
      <c r="T443" s="361"/>
      <c r="U443" s="361"/>
      <c r="V443" s="361"/>
      <c r="W443" s="361"/>
      <c r="X443" s="361"/>
      <c r="Y443" s="361"/>
    </row>
    <row r="444" spans="2:25" s="349" customFormat="1" ht="20.100000000000001" customHeight="1">
      <c r="B444" s="361"/>
      <c r="C444" s="361"/>
      <c r="D444" s="361"/>
      <c r="E444" s="361"/>
      <c r="F444" s="361"/>
      <c r="G444" s="361"/>
      <c r="H444" s="361"/>
      <c r="I444" s="361"/>
      <c r="J444" s="361"/>
      <c r="K444" s="361"/>
      <c r="L444" s="361"/>
      <c r="M444" s="361"/>
      <c r="N444" s="361"/>
      <c r="O444" s="361"/>
      <c r="P444" s="361"/>
      <c r="Q444" s="361"/>
      <c r="R444" s="361"/>
      <c r="S444" s="361"/>
      <c r="T444" s="361"/>
      <c r="U444" s="361"/>
      <c r="V444" s="361"/>
      <c r="W444" s="361"/>
      <c r="X444" s="361"/>
      <c r="Y444" s="361"/>
    </row>
    <row r="445" spans="2:25" s="349" customFormat="1" ht="20.100000000000001" customHeight="1">
      <c r="B445" s="361"/>
      <c r="C445" s="361"/>
      <c r="D445" s="361"/>
      <c r="E445" s="361"/>
      <c r="F445" s="361"/>
      <c r="G445" s="361"/>
      <c r="H445" s="361"/>
      <c r="I445" s="361"/>
      <c r="J445" s="361"/>
      <c r="K445" s="361"/>
      <c r="L445" s="361"/>
      <c r="M445" s="361"/>
      <c r="N445" s="361"/>
      <c r="O445" s="361"/>
      <c r="P445" s="361"/>
      <c r="Q445" s="361"/>
      <c r="R445" s="361"/>
      <c r="S445" s="361"/>
      <c r="T445" s="361"/>
      <c r="U445" s="361"/>
      <c r="V445" s="361"/>
      <c r="W445" s="361"/>
      <c r="X445" s="361"/>
      <c r="Y445" s="361"/>
    </row>
    <row r="446" spans="2:25" s="349" customFormat="1" ht="20.100000000000001" customHeight="1">
      <c r="B446" s="361"/>
      <c r="C446" s="361"/>
      <c r="D446" s="361"/>
      <c r="E446" s="361"/>
      <c r="F446" s="361"/>
      <c r="G446" s="361"/>
      <c r="H446" s="361"/>
      <c r="I446" s="361"/>
      <c r="J446" s="361"/>
      <c r="K446" s="361"/>
      <c r="L446" s="361"/>
      <c r="M446" s="361"/>
      <c r="N446" s="361"/>
      <c r="O446" s="361"/>
      <c r="P446" s="361"/>
      <c r="Q446" s="361"/>
      <c r="R446" s="361"/>
      <c r="S446" s="361"/>
      <c r="T446" s="361"/>
      <c r="U446" s="361"/>
      <c r="V446" s="361"/>
      <c r="W446" s="361"/>
      <c r="X446" s="361"/>
      <c r="Y446" s="361"/>
    </row>
    <row r="447" spans="2:25" s="349" customFormat="1" ht="20.100000000000001" customHeight="1">
      <c r="B447" s="361"/>
      <c r="C447" s="361"/>
      <c r="D447" s="361"/>
      <c r="E447" s="361"/>
      <c r="F447" s="361"/>
      <c r="G447" s="361"/>
      <c r="H447" s="361"/>
      <c r="I447" s="361"/>
      <c r="J447" s="361"/>
      <c r="K447" s="361"/>
      <c r="L447" s="361"/>
      <c r="M447" s="361"/>
      <c r="N447" s="361"/>
      <c r="O447" s="361"/>
      <c r="P447" s="361"/>
      <c r="Q447" s="361"/>
      <c r="R447" s="361"/>
      <c r="S447" s="361"/>
      <c r="T447" s="361"/>
      <c r="U447" s="361"/>
      <c r="V447" s="361"/>
      <c r="W447" s="361"/>
      <c r="X447" s="361"/>
      <c r="Y447" s="361"/>
    </row>
    <row r="448" spans="2:25" s="349" customFormat="1" ht="20.100000000000001" customHeight="1">
      <c r="B448" s="361"/>
      <c r="C448" s="361"/>
      <c r="D448" s="361"/>
      <c r="E448" s="361"/>
      <c r="F448" s="361"/>
      <c r="G448" s="361"/>
      <c r="H448" s="361"/>
      <c r="I448" s="361"/>
      <c r="J448" s="361"/>
      <c r="K448" s="361"/>
      <c r="L448" s="361"/>
      <c r="M448" s="361"/>
      <c r="N448" s="361"/>
      <c r="O448" s="361"/>
      <c r="P448" s="361"/>
      <c r="Q448" s="361"/>
      <c r="R448" s="361"/>
      <c r="S448" s="361"/>
      <c r="T448" s="361"/>
      <c r="U448" s="361"/>
      <c r="V448" s="361"/>
      <c r="W448" s="361"/>
      <c r="X448" s="361"/>
      <c r="Y448" s="361"/>
    </row>
    <row r="449" spans="2:25" s="349" customFormat="1" ht="20.100000000000001" customHeight="1">
      <c r="B449" s="361"/>
      <c r="C449" s="361"/>
      <c r="D449" s="361"/>
      <c r="E449" s="361"/>
      <c r="F449" s="361"/>
      <c r="G449" s="361"/>
      <c r="H449" s="361"/>
      <c r="I449" s="361"/>
      <c r="J449" s="361"/>
      <c r="K449" s="361"/>
      <c r="L449" s="361"/>
      <c r="M449" s="361"/>
      <c r="N449" s="361"/>
      <c r="O449" s="361"/>
      <c r="P449" s="361"/>
      <c r="Q449" s="361"/>
      <c r="R449" s="361"/>
      <c r="S449" s="361"/>
      <c r="T449" s="361"/>
      <c r="U449" s="361"/>
      <c r="V449" s="361"/>
      <c r="W449" s="361"/>
      <c r="X449" s="361"/>
      <c r="Y449" s="361"/>
    </row>
    <row r="450" spans="2:25" s="349" customFormat="1" ht="20.100000000000001" customHeight="1">
      <c r="B450" s="361"/>
      <c r="C450" s="361"/>
      <c r="D450" s="361"/>
      <c r="E450" s="361"/>
      <c r="F450" s="361"/>
      <c r="G450" s="361"/>
      <c r="H450" s="361"/>
      <c r="I450" s="361"/>
      <c r="J450" s="361"/>
      <c r="K450" s="361"/>
      <c r="L450" s="361"/>
      <c r="M450" s="361"/>
      <c r="N450" s="361"/>
      <c r="O450" s="361"/>
      <c r="P450" s="361"/>
      <c r="Q450" s="361"/>
      <c r="R450" s="361"/>
      <c r="S450" s="361"/>
      <c r="T450" s="361"/>
      <c r="U450" s="361"/>
      <c r="V450" s="361"/>
      <c r="W450" s="361"/>
      <c r="X450" s="361"/>
      <c r="Y450" s="361"/>
    </row>
    <row r="451" spans="2:25" s="349" customFormat="1" ht="20.100000000000001" customHeight="1">
      <c r="B451" s="361"/>
      <c r="C451" s="361"/>
      <c r="D451" s="361"/>
      <c r="E451" s="361"/>
      <c r="F451" s="361"/>
      <c r="G451" s="361"/>
      <c r="H451" s="361"/>
      <c r="I451" s="361"/>
      <c r="J451" s="361"/>
      <c r="K451" s="361"/>
      <c r="L451" s="361"/>
      <c r="M451" s="361"/>
      <c r="N451" s="361"/>
      <c r="O451" s="361"/>
      <c r="P451" s="361"/>
      <c r="Q451" s="361"/>
      <c r="R451" s="361"/>
      <c r="S451" s="361"/>
      <c r="T451" s="361"/>
      <c r="U451" s="361"/>
      <c r="V451" s="361"/>
      <c r="W451" s="361"/>
      <c r="X451" s="361"/>
      <c r="Y451" s="361"/>
    </row>
    <row r="452" spans="2:25" s="349" customFormat="1" ht="20.100000000000001" customHeight="1">
      <c r="B452" s="361"/>
      <c r="C452" s="361"/>
      <c r="D452" s="361"/>
      <c r="E452" s="361"/>
      <c r="F452" s="361"/>
      <c r="G452" s="361"/>
      <c r="H452" s="361"/>
      <c r="I452" s="361"/>
      <c r="J452" s="361"/>
      <c r="K452" s="361"/>
      <c r="L452" s="361"/>
      <c r="M452" s="361"/>
      <c r="N452" s="361"/>
      <c r="O452" s="361"/>
      <c r="P452" s="361"/>
      <c r="Q452" s="361"/>
      <c r="R452" s="361"/>
      <c r="S452" s="361"/>
      <c r="T452" s="361"/>
      <c r="U452" s="361"/>
      <c r="V452" s="361"/>
      <c r="W452" s="361"/>
      <c r="X452" s="361"/>
      <c r="Y452" s="361"/>
    </row>
    <row r="453" spans="2:25" s="349" customFormat="1" ht="20.100000000000001" customHeight="1">
      <c r="B453" s="361"/>
      <c r="C453" s="361"/>
      <c r="D453" s="361"/>
      <c r="E453" s="361"/>
      <c r="F453" s="361"/>
      <c r="G453" s="361"/>
      <c r="H453" s="361"/>
      <c r="I453" s="361"/>
      <c r="J453" s="361"/>
      <c r="K453" s="361"/>
      <c r="L453" s="361"/>
      <c r="M453" s="361"/>
      <c r="N453" s="361"/>
      <c r="O453" s="361"/>
      <c r="P453" s="361"/>
      <c r="Q453" s="361"/>
      <c r="R453" s="361"/>
      <c r="S453" s="361"/>
      <c r="T453" s="361"/>
      <c r="U453" s="361"/>
      <c r="V453" s="361"/>
      <c r="W453" s="361"/>
      <c r="X453" s="361"/>
      <c r="Y453" s="361"/>
    </row>
    <row r="454" spans="2:25" s="349" customFormat="1" ht="20.100000000000001" customHeight="1">
      <c r="B454" s="361"/>
      <c r="C454" s="361"/>
      <c r="D454" s="361"/>
      <c r="E454" s="361"/>
      <c r="F454" s="361"/>
      <c r="G454" s="361"/>
      <c r="H454" s="361"/>
      <c r="I454" s="361"/>
      <c r="J454" s="361"/>
      <c r="K454" s="361"/>
      <c r="L454" s="361"/>
      <c r="M454" s="361"/>
      <c r="N454" s="361"/>
      <c r="O454" s="361"/>
      <c r="P454" s="361"/>
      <c r="Q454" s="361"/>
      <c r="R454" s="361"/>
      <c r="S454" s="361"/>
      <c r="T454" s="361"/>
      <c r="U454" s="361"/>
      <c r="V454" s="361"/>
      <c r="W454" s="361"/>
      <c r="X454" s="361"/>
      <c r="Y454" s="361"/>
    </row>
    <row r="455" spans="2:25" s="349" customFormat="1" ht="20.100000000000001" customHeight="1">
      <c r="B455" s="361"/>
      <c r="C455" s="361"/>
      <c r="D455" s="361"/>
      <c r="E455" s="361"/>
      <c r="F455" s="361"/>
      <c r="G455" s="361"/>
      <c r="H455" s="361"/>
      <c r="I455" s="361"/>
      <c r="J455" s="361"/>
      <c r="K455" s="361"/>
      <c r="L455" s="361"/>
      <c r="M455" s="361"/>
      <c r="N455" s="361"/>
      <c r="O455" s="361"/>
      <c r="P455" s="361"/>
      <c r="Q455" s="361"/>
      <c r="R455" s="361"/>
      <c r="S455" s="361"/>
      <c r="T455" s="361"/>
      <c r="U455" s="361"/>
      <c r="V455" s="361"/>
      <c r="W455" s="361"/>
      <c r="X455" s="361"/>
      <c r="Y455" s="361"/>
    </row>
    <row r="456" spans="2:25" s="349" customFormat="1" ht="20.100000000000001" customHeight="1">
      <c r="B456" s="361"/>
      <c r="C456" s="361"/>
      <c r="D456" s="361"/>
      <c r="E456" s="361"/>
      <c r="F456" s="361"/>
      <c r="G456" s="361"/>
      <c r="H456" s="361"/>
      <c r="I456" s="361"/>
      <c r="J456" s="361"/>
      <c r="K456" s="361"/>
      <c r="L456" s="361"/>
      <c r="M456" s="361"/>
      <c r="N456" s="361"/>
      <c r="O456" s="361"/>
      <c r="P456" s="361"/>
      <c r="Q456" s="361"/>
      <c r="R456" s="361"/>
      <c r="S456" s="361"/>
      <c r="T456" s="361"/>
      <c r="U456" s="361"/>
      <c r="V456" s="361"/>
      <c r="W456" s="361"/>
      <c r="X456" s="361"/>
      <c r="Y456" s="361"/>
    </row>
    <row r="457" spans="2:25" s="349" customFormat="1" ht="20.100000000000001" customHeight="1">
      <c r="B457" s="361"/>
      <c r="C457" s="361"/>
      <c r="D457" s="361"/>
      <c r="E457" s="361"/>
      <c r="F457" s="361"/>
      <c r="G457" s="361"/>
      <c r="H457" s="361"/>
      <c r="I457" s="361"/>
      <c r="J457" s="361"/>
      <c r="K457" s="361"/>
      <c r="L457" s="361"/>
      <c r="M457" s="361"/>
      <c r="N457" s="361"/>
      <c r="O457" s="361"/>
      <c r="P457" s="361"/>
      <c r="Q457" s="361"/>
      <c r="R457" s="361"/>
      <c r="S457" s="361"/>
      <c r="T457" s="361"/>
      <c r="U457" s="361"/>
      <c r="V457" s="361"/>
      <c r="W457" s="361"/>
      <c r="X457" s="361"/>
      <c r="Y457" s="361"/>
    </row>
    <row r="458" spans="2:25" s="349" customFormat="1" ht="20.100000000000001" customHeight="1">
      <c r="B458" s="361"/>
      <c r="C458" s="361"/>
      <c r="D458" s="361"/>
      <c r="E458" s="361"/>
      <c r="F458" s="361"/>
      <c r="G458" s="361"/>
      <c r="H458" s="361"/>
      <c r="I458" s="361"/>
      <c r="J458" s="361"/>
      <c r="K458" s="361"/>
      <c r="L458" s="361"/>
      <c r="M458" s="361"/>
      <c r="N458" s="361"/>
      <c r="O458" s="361"/>
      <c r="P458" s="361"/>
      <c r="Q458" s="361"/>
      <c r="R458" s="361"/>
      <c r="S458" s="361"/>
      <c r="T458" s="361"/>
      <c r="U458" s="361"/>
      <c r="V458" s="361"/>
      <c r="W458" s="361"/>
      <c r="X458" s="361"/>
      <c r="Y458" s="361"/>
    </row>
    <row r="459" spans="2:25" s="349" customFormat="1" ht="20.100000000000001" customHeight="1">
      <c r="B459" s="361"/>
      <c r="C459" s="361"/>
      <c r="D459" s="361"/>
      <c r="E459" s="361"/>
      <c r="F459" s="361"/>
      <c r="G459" s="361"/>
      <c r="H459" s="361"/>
      <c r="I459" s="361"/>
      <c r="J459" s="361"/>
      <c r="K459" s="361"/>
      <c r="L459" s="361"/>
      <c r="M459" s="361"/>
      <c r="N459" s="361"/>
      <c r="O459" s="361"/>
      <c r="P459" s="361"/>
      <c r="Q459" s="361"/>
      <c r="R459" s="361"/>
      <c r="S459" s="361"/>
      <c r="T459" s="361"/>
      <c r="U459" s="361"/>
      <c r="V459" s="361"/>
      <c r="W459" s="361"/>
      <c r="X459" s="361"/>
      <c r="Y459" s="361"/>
    </row>
    <row r="460" spans="2:25" s="349" customFormat="1" ht="20.100000000000001" customHeight="1">
      <c r="B460" s="361"/>
      <c r="C460" s="361"/>
      <c r="D460" s="361"/>
      <c r="E460" s="361"/>
      <c r="F460" s="361"/>
      <c r="G460" s="361"/>
      <c r="H460" s="361"/>
      <c r="I460" s="361"/>
      <c r="J460" s="361"/>
      <c r="K460" s="361"/>
      <c r="L460" s="361"/>
      <c r="M460" s="361"/>
      <c r="N460" s="361"/>
      <c r="O460" s="361"/>
      <c r="P460" s="361"/>
      <c r="Q460" s="361"/>
      <c r="R460" s="361"/>
      <c r="S460" s="361"/>
      <c r="T460" s="361"/>
      <c r="U460" s="361"/>
      <c r="V460" s="361"/>
      <c r="W460" s="361"/>
      <c r="X460" s="361"/>
      <c r="Y460" s="361"/>
    </row>
    <row r="461" spans="2:25" s="349" customFormat="1" ht="20.100000000000001" customHeight="1">
      <c r="B461" s="361"/>
      <c r="C461" s="361"/>
      <c r="D461" s="361"/>
      <c r="E461" s="361"/>
      <c r="F461" s="361"/>
      <c r="G461" s="361"/>
      <c r="H461" s="361"/>
      <c r="I461" s="361"/>
      <c r="J461" s="361"/>
      <c r="K461" s="361"/>
      <c r="L461" s="361"/>
      <c r="M461" s="361"/>
      <c r="N461" s="361"/>
      <c r="O461" s="361"/>
      <c r="P461" s="361"/>
      <c r="Q461" s="361"/>
      <c r="R461" s="361"/>
      <c r="S461" s="361"/>
      <c r="T461" s="361"/>
      <c r="U461" s="361"/>
      <c r="V461" s="361"/>
      <c r="W461" s="361"/>
      <c r="X461" s="361"/>
      <c r="Y461" s="361"/>
    </row>
    <row r="462" spans="2:25" s="349" customFormat="1" ht="20.100000000000001" customHeight="1">
      <c r="B462" s="361"/>
      <c r="C462" s="361"/>
      <c r="D462" s="361"/>
      <c r="E462" s="361"/>
      <c r="F462" s="361"/>
      <c r="G462" s="361"/>
      <c r="H462" s="361"/>
      <c r="I462" s="361"/>
      <c r="J462" s="361"/>
      <c r="K462" s="361"/>
      <c r="L462" s="361"/>
      <c r="M462" s="361"/>
      <c r="N462" s="361"/>
      <c r="O462" s="361"/>
      <c r="P462" s="361"/>
      <c r="Q462" s="361"/>
      <c r="R462" s="361"/>
      <c r="S462" s="361"/>
      <c r="T462" s="361"/>
      <c r="U462" s="361"/>
      <c r="V462" s="361"/>
      <c r="W462" s="361"/>
      <c r="X462" s="361"/>
      <c r="Y462" s="361"/>
    </row>
    <row r="463" spans="2:25" s="349" customFormat="1" ht="20.100000000000001" customHeight="1">
      <c r="B463" s="361"/>
      <c r="C463" s="361"/>
      <c r="D463" s="361"/>
      <c r="E463" s="361"/>
      <c r="F463" s="361"/>
      <c r="G463" s="361"/>
      <c r="H463" s="361"/>
      <c r="I463" s="361"/>
      <c r="J463" s="361"/>
      <c r="K463" s="361"/>
      <c r="L463" s="361"/>
      <c r="M463" s="361"/>
      <c r="N463" s="361"/>
      <c r="O463" s="361"/>
      <c r="P463" s="361"/>
      <c r="Q463" s="361"/>
      <c r="R463" s="361"/>
      <c r="S463" s="361"/>
      <c r="T463" s="361"/>
      <c r="U463" s="361"/>
      <c r="V463" s="361"/>
      <c r="W463" s="361"/>
      <c r="X463" s="361"/>
      <c r="Y463" s="361"/>
    </row>
    <row r="464" spans="2:25" s="349" customFormat="1" ht="20.100000000000001" customHeight="1">
      <c r="B464" s="361"/>
      <c r="C464" s="361"/>
      <c r="D464" s="361"/>
      <c r="E464" s="361"/>
      <c r="F464" s="361"/>
      <c r="G464" s="361"/>
      <c r="H464" s="361"/>
      <c r="I464" s="361"/>
      <c r="J464" s="361"/>
      <c r="K464" s="361"/>
      <c r="L464" s="361"/>
      <c r="M464" s="361"/>
      <c r="N464" s="361"/>
      <c r="O464" s="361"/>
      <c r="P464" s="361"/>
      <c r="Q464" s="361"/>
      <c r="R464" s="361"/>
      <c r="S464" s="361"/>
      <c r="T464" s="361"/>
      <c r="U464" s="361"/>
      <c r="V464" s="361"/>
      <c r="W464" s="361"/>
      <c r="X464" s="361"/>
      <c r="Y464" s="361"/>
    </row>
    <row r="465" spans="2:25" s="349" customFormat="1" ht="20.100000000000001" customHeight="1">
      <c r="B465" s="361"/>
      <c r="C465" s="361"/>
      <c r="D465" s="361"/>
      <c r="E465" s="361"/>
      <c r="F465" s="361"/>
      <c r="G465" s="361"/>
      <c r="H465" s="361"/>
      <c r="I465" s="361"/>
      <c r="J465" s="361"/>
      <c r="K465" s="361"/>
      <c r="L465" s="361"/>
      <c r="M465" s="361"/>
      <c r="N465" s="361"/>
      <c r="O465" s="361"/>
      <c r="P465" s="361"/>
      <c r="Q465" s="361"/>
      <c r="R465" s="361"/>
      <c r="S465" s="361"/>
      <c r="T465" s="361"/>
      <c r="U465" s="361"/>
      <c r="V465" s="361"/>
      <c r="W465" s="361"/>
      <c r="X465" s="361"/>
      <c r="Y465" s="361"/>
    </row>
    <row r="466" spans="2:25" s="349" customFormat="1" ht="20.100000000000001" customHeight="1">
      <c r="B466" s="361"/>
      <c r="C466" s="361"/>
      <c r="D466" s="361"/>
      <c r="E466" s="361"/>
      <c r="F466" s="361"/>
      <c r="G466" s="361"/>
      <c r="H466" s="361"/>
      <c r="I466" s="361"/>
      <c r="J466" s="361"/>
      <c r="K466" s="361"/>
      <c r="L466" s="361"/>
      <c r="M466" s="361"/>
      <c r="N466" s="361"/>
      <c r="O466" s="361"/>
      <c r="P466" s="361"/>
      <c r="Q466" s="361"/>
      <c r="R466" s="361"/>
      <c r="S466" s="361"/>
      <c r="T466" s="361"/>
      <c r="U466" s="361"/>
      <c r="V466" s="361"/>
      <c r="W466" s="361"/>
      <c r="X466" s="361"/>
      <c r="Y466" s="361"/>
    </row>
    <row r="467" spans="2:25" s="349" customFormat="1" ht="20.100000000000001" customHeight="1">
      <c r="B467" s="361"/>
      <c r="C467" s="361"/>
      <c r="D467" s="361"/>
      <c r="E467" s="361"/>
      <c r="F467" s="361"/>
      <c r="G467" s="361"/>
      <c r="H467" s="361"/>
      <c r="I467" s="361"/>
      <c r="J467" s="361"/>
      <c r="K467" s="361"/>
      <c r="L467" s="361"/>
      <c r="M467" s="361"/>
      <c r="N467" s="361"/>
      <c r="O467" s="361"/>
      <c r="P467" s="361"/>
      <c r="Q467" s="361"/>
      <c r="R467" s="361"/>
      <c r="S467" s="361"/>
      <c r="T467" s="361"/>
      <c r="U467" s="361"/>
      <c r="V467" s="361"/>
      <c r="W467" s="361"/>
      <c r="X467" s="361"/>
      <c r="Y467" s="361"/>
    </row>
    <row r="468" spans="2:25" s="349" customFormat="1" ht="20.100000000000001" customHeight="1">
      <c r="B468" s="361"/>
      <c r="C468" s="361"/>
      <c r="D468" s="361"/>
      <c r="E468" s="361"/>
      <c r="F468" s="361"/>
      <c r="G468" s="361"/>
      <c r="H468" s="361"/>
      <c r="I468" s="361"/>
      <c r="J468" s="361"/>
      <c r="K468" s="361"/>
      <c r="L468" s="361"/>
      <c r="M468" s="361"/>
      <c r="N468" s="361"/>
      <c r="O468" s="361"/>
      <c r="P468" s="361"/>
      <c r="Q468" s="361"/>
      <c r="R468" s="361"/>
      <c r="S468" s="361"/>
      <c r="T468" s="361"/>
      <c r="U468" s="361"/>
      <c r="V468" s="361"/>
      <c r="W468" s="361"/>
      <c r="X468" s="361"/>
      <c r="Y468" s="361"/>
    </row>
    <row r="469" spans="2:25" s="349" customFormat="1" ht="20.100000000000001" customHeight="1">
      <c r="B469" s="361"/>
      <c r="C469" s="361"/>
      <c r="D469" s="361"/>
      <c r="E469" s="361"/>
      <c r="F469" s="361"/>
      <c r="G469" s="361"/>
      <c r="H469" s="361"/>
      <c r="I469" s="361"/>
      <c r="J469" s="361"/>
      <c r="K469" s="361"/>
      <c r="L469" s="361"/>
      <c r="M469" s="361"/>
      <c r="N469" s="361"/>
      <c r="O469" s="361"/>
      <c r="P469" s="361"/>
      <c r="Q469" s="361"/>
      <c r="R469" s="361"/>
      <c r="S469" s="361"/>
      <c r="T469" s="361"/>
      <c r="U469" s="361"/>
      <c r="V469" s="361"/>
      <c r="W469" s="361"/>
      <c r="X469" s="361"/>
      <c r="Y469" s="361"/>
    </row>
    <row r="470" spans="2:25" ht="20.100000000000001" customHeight="1"/>
    <row r="471" spans="2:25" ht="9.9499999999999993" customHeight="1"/>
    <row r="472" spans="2:25" ht="20.100000000000001" customHeight="1"/>
    <row r="473" spans="2:25" ht="20.100000000000001" customHeight="1"/>
    <row r="474" spans="2:25" ht="20.100000000000001" customHeight="1"/>
    <row r="475" spans="2:25" s="349" customFormat="1" ht="20.100000000000001" customHeight="1">
      <c r="B475" s="361"/>
      <c r="C475" s="361"/>
      <c r="D475" s="361"/>
      <c r="E475" s="361"/>
      <c r="F475" s="361"/>
      <c r="G475" s="361"/>
      <c r="H475" s="361"/>
      <c r="I475" s="361"/>
      <c r="J475" s="361"/>
      <c r="K475" s="361"/>
      <c r="L475" s="361"/>
      <c r="M475" s="361"/>
      <c r="N475" s="361"/>
      <c r="O475" s="361"/>
      <c r="P475" s="361"/>
      <c r="Q475" s="361"/>
      <c r="R475" s="361"/>
      <c r="S475" s="361"/>
      <c r="T475" s="361"/>
      <c r="U475" s="361"/>
      <c r="V475" s="361"/>
      <c r="W475" s="361"/>
      <c r="X475" s="361"/>
      <c r="Y475" s="361"/>
    </row>
    <row r="476" spans="2:25" s="349" customFormat="1" ht="20.100000000000001" customHeight="1">
      <c r="B476" s="361"/>
      <c r="C476" s="361"/>
      <c r="D476" s="361"/>
      <c r="E476" s="361"/>
      <c r="F476" s="361"/>
      <c r="G476" s="361"/>
      <c r="H476" s="361"/>
      <c r="I476" s="361"/>
      <c r="J476" s="361"/>
      <c r="K476" s="361"/>
      <c r="L476" s="361"/>
      <c r="M476" s="361"/>
      <c r="N476" s="361"/>
      <c r="O476" s="361"/>
      <c r="P476" s="361"/>
      <c r="Q476" s="361"/>
      <c r="R476" s="361"/>
      <c r="S476" s="361"/>
      <c r="T476" s="361"/>
      <c r="U476" s="361"/>
      <c r="V476" s="361"/>
      <c r="W476" s="361"/>
      <c r="X476" s="361"/>
      <c r="Y476" s="361"/>
    </row>
    <row r="477" spans="2:25" s="349" customFormat="1" ht="20.100000000000001" customHeight="1">
      <c r="B477" s="361"/>
      <c r="C477" s="361"/>
      <c r="D477" s="361"/>
      <c r="E477" s="361"/>
      <c r="F477" s="361"/>
      <c r="G477" s="361"/>
      <c r="H477" s="361"/>
      <c r="I477" s="361"/>
      <c r="J477" s="361"/>
      <c r="K477" s="361"/>
      <c r="L477" s="361"/>
      <c r="M477" s="361"/>
      <c r="N477" s="361"/>
      <c r="O477" s="361"/>
      <c r="P477" s="361"/>
      <c r="Q477" s="361"/>
      <c r="R477" s="361"/>
      <c r="S477" s="361"/>
      <c r="T477" s="361"/>
      <c r="U477" s="361"/>
      <c r="V477" s="361"/>
      <c r="W477" s="361"/>
      <c r="X477" s="361"/>
      <c r="Y477" s="361"/>
    </row>
    <row r="478" spans="2:25" s="349" customFormat="1" ht="20.100000000000001" customHeight="1">
      <c r="B478" s="361"/>
      <c r="C478" s="361"/>
      <c r="D478" s="361"/>
      <c r="E478" s="361"/>
      <c r="F478" s="361"/>
      <c r="G478" s="361"/>
      <c r="H478" s="361"/>
      <c r="I478" s="361"/>
      <c r="J478" s="361"/>
      <c r="K478" s="361"/>
      <c r="L478" s="361"/>
      <c r="M478" s="361"/>
      <c r="N478" s="361"/>
      <c r="O478" s="361"/>
      <c r="P478" s="361"/>
      <c r="Q478" s="361"/>
      <c r="R478" s="361"/>
      <c r="S478" s="361"/>
      <c r="T478" s="361"/>
      <c r="U478" s="361"/>
      <c r="V478" s="361"/>
      <c r="W478" s="361"/>
      <c r="X478" s="361"/>
      <c r="Y478" s="361"/>
    </row>
    <row r="479" spans="2:25" s="349" customFormat="1" ht="20.100000000000001" customHeight="1">
      <c r="B479" s="361"/>
      <c r="C479" s="361"/>
      <c r="D479" s="361"/>
      <c r="E479" s="361"/>
      <c r="F479" s="361"/>
      <c r="G479" s="361"/>
      <c r="H479" s="361"/>
      <c r="I479" s="361"/>
      <c r="J479" s="361"/>
      <c r="K479" s="361"/>
      <c r="L479" s="361"/>
      <c r="M479" s="361"/>
      <c r="N479" s="361"/>
      <c r="O479" s="361"/>
      <c r="P479" s="361"/>
      <c r="Q479" s="361"/>
      <c r="R479" s="361"/>
      <c r="S479" s="361"/>
      <c r="T479" s="361"/>
      <c r="U479" s="361"/>
      <c r="V479" s="361"/>
      <c r="W479" s="361"/>
      <c r="X479" s="361"/>
      <c r="Y479" s="361"/>
    </row>
    <row r="480" spans="2:25" s="349" customFormat="1" ht="20.100000000000001" customHeight="1">
      <c r="B480" s="361"/>
      <c r="C480" s="361"/>
      <c r="D480" s="361"/>
      <c r="E480" s="361"/>
      <c r="F480" s="361"/>
      <c r="G480" s="361"/>
      <c r="H480" s="361"/>
      <c r="I480" s="361"/>
      <c r="J480" s="361"/>
      <c r="K480" s="361"/>
      <c r="L480" s="361"/>
      <c r="M480" s="361"/>
      <c r="N480" s="361"/>
      <c r="O480" s="361"/>
      <c r="P480" s="361"/>
      <c r="Q480" s="361"/>
      <c r="R480" s="361"/>
      <c r="S480" s="361"/>
      <c r="T480" s="361"/>
      <c r="U480" s="361"/>
      <c r="V480" s="361"/>
      <c r="W480" s="361"/>
      <c r="X480" s="361"/>
      <c r="Y480" s="361"/>
    </row>
    <row r="481" spans="2:25" s="349" customFormat="1" ht="20.100000000000001" customHeight="1">
      <c r="B481" s="361"/>
      <c r="C481" s="361"/>
      <c r="D481" s="361"/>
      <c r="E481" s="361"/>
      <c r="F481" s="361"/>
      <c r="G481" s="361"/>
      <c r="H481" s="361"/>
      <c r="I481" s="361"/>
      <c r="J481" s="361"/>
      <c r="K481" s="361"/>
      <c r="L481" s="361"/>
      <c r="M481" s="361"/>
      <c r="N481" s="361"/>
      <c r="O481" s="361"/>
      <c r="P481" s="361"/>
      <c r="Q481" s="361"/>
      <c r="R481" s="361"/>
      <c r="S481" s="361"/>
      <c r="T481" s="361"/>
      <c r="U481" s="361"/>
      <c r="V481" s="361"/>
      <c r="W481" s="361"/>
      <c r="X481" s="361"/>
      <c r="Y481" s="361"/>
    </row>
    <row r="482" spans="2:25" s="349" customFormat="1" ht="20.100000000000001" customHeight="1">
      <c r="B482" s="361"/>
      <c r="C482" s="361"/>
      <c r="D482" s="361"/>
      <c r="E482" s="361"/>
      <c r="F482" s="361"/>
      <c r="G482" s="361"/>
      <c r="H482" s="361"/>
      <c r="I482" s="361"/>
      <c r="J482" s="361"/>
      <c r="K482" s="361"/>
      <c r="L482" s="361"/>
      <c r="M482" s="361"/>
      <c r="N482" s="361"/>
      <c r="O482" s="361"/>
      <c r="P482" s="361"/>
      <c r="Q482" s="361"/>
      <c r="R482" s="361"/>
      <c r="S482" s="361"/>
      <c r="T482" s="361"/>
      <c r="U482" s="361"/>
      <c r="V482" s="361"/>
      <c r="W482" s="361"/>
      <c r="X482" s="361"/>
      <c r="Y482" s="361"/>
    </row>
    <row r="483" spans="2:25" s="349" customFormat="1" ht="20.100000000000001" customHeight="1">
      <c r="B483" s="361"/>
      <c r="C483" s="361"/>
      <c r="D483" s="361"/>
      <c r="E483" s="361"/>
      <c r="F483" s="361"/>
      <c r="G483" s="361"/>
      <c r="H483" s="361"/>
      <c r="I483" s="361"/>
      <c r="J483" s="361"/>
      <c r="K483" s="361"/>
      <c r="L483" s="361"/>
      <c r="M483" s="361"/>
      <c r="N483" s="361"/>
      <c r="O483" s="361"/>
      <c r="P483" s="361"/>
      <c r="Q483" s="361"/>
      <c r="R483" s="361"/>
      <c r="S483" s="361"/>
      <c r="T483" s="361"/>
      <c r="U483" s="361"/>
      <c r="V483" s="361"/>
      <c r="W483" s="361"/>
      <c r="X483" s="361"/>
      <c r="Y483" s="361"/>
    </row>
    <row r="484" spans="2:25" s="349" customFormat="1" ht="20.100000000000001" customHeight="1">
      <c r="B484" s="361"/>
      <c r="C484" s="361"/>
      <c r="D484" s="361"/>
      <c r="E484" s="361"/>
      <c r="F484" s="361"/>
      <c r="G484" s="361"/>
      <c r="H484" s="361"/>
      <c r="I484" s="361"/>
      <c r="J484" s="361"/>
      <c r="K484" s="361"/>
      <c r="L484" s="361"/>
      <c r="M484" s="361"/>
      <c r="N484" s="361"/>
      <c r="O484" s="361"/>
      <c r="P484" s="361"/>
      <c r="Q484" s="361"/>
      <c r="R484" s="361"/>
      <c r="S484" s="361"/>
      <c r="T484" s="361"/>
      <c r="U484" s="361"/>
      <c r="V484" s="361"/>
      <c r="W484" s="361"/>
      <c r="X484" s="361"/>
      <c r="Y484" s="361"/>
    </row>
    <row r="485" spans="2:25" s="349" customFormat="1" ht="20.100000000000001" customHeight="1">
      <c r="B485" s="361"/>
      <c r="C485" s="361"/>
      <c r="D485" s="361"/>
      <c r="E485" s="361"/>
      <c r="F485" s="361"/>
      <c r="G485" s="361"/>
      <c r="H485" s="361"/>
      <c r="I485" s="361"/>
      <c r="J485" s="361"/>
      <c r="K485" s="361"/>
      <c r="L485" s="361"/>
      <c r="M485" s="361"/>
      <c r="N485" s="361"/>
      <c r="O485" s="361"/>
      <c r="P485" s="361"/>
      <c r="Q485" s="361"/>
      <c r="R485" s="361"/>
      <c r="S485" s="361"/>
      <c r="T485" s="361"/>
      <c r="U485" s="361"/>
      <c r="V485" s="361"/>
      <c r="W485" s="361"/>
      <c r="X485" s="361"/>
      <c r="Y485" s="361"/>
    </row>
    <row r="486" spans="2:25" s="349" customFormat="1" ht="20.100000000000001" customHeight="1">
      <c r="B486" s="361"/>
      <c r="C486" s="361"/>
      <c r="D486" s="361"/>
      <c r="E486" s="361"/>
      <c r="F486" s="361"/>
      <c r="G486" s="361"/>
      <c r="H486" s="361"/>
      <c r="I486" s="361"/>
      <c r="J486" s="361"/>
      <c r="K486" s="361"/>
      <c r="L486" s="361"/>
      <c r="M486" s="361"/>
      <c r="N486" s="361"/>
      <c r="O486" s="361"/>
      <c r="P486" s="361"/>
      <c r="Q486" s="361"/>
      <c r="R486" s="361"/>
      <c r="S486" s="361"/>
      <c r="T486" s="361"/>
      <c r="U486" s="361"/>
      <c r="V486" s="361"/>
      <c r="W486" s="361"/>
      <c r="X486" s="361"/>
      <c r="Y486" s="361"/>
    </row>
    <row r="487" spans="2:25" s="349" customFormat="1" ht="20.100000000000001" customHeight="1">
      <c r="B487" s="361"/>
      <c r="C487" s="361"/>
      <c r="D487" s="361"/>
      <c r="E487" s="361"/>
      <c r="F487" s="361"/>
      <c r="G487" s="361"/>
      <c r="H487" s="361"/>
      <c r="I487" s="361"/>
      <c r="J487" s="361"/>
      <c r="K487" s="361"/>
      <c r="L487" s="361"/>
      <c r="M487" s="361"/>
      <c r="N487" s="361"/>
      <c r="O487" s="361"/>
      <c r="P487" s="361"/>
      <c r="Q487" s="361"/>
      <c r="R487" s="361"/>
      <c r="S487" s="361"/>
      <c r="T487" s="361"/>
      <c r="U487" s="361"/>
      <c r="V487" s="361"/>
      <c r="W487" s="361"/>
      <c r="X487" s="361"/>
      <c r="Y487" s="361"/>
    </row>
    <row r="488" spans="2:25" s="349" customFormat="1" ht="20.100000000000001" customHeight="1">
      <c r="B488" s="361"/>
      <c r="C488" s="361"/>
      <c r="D488" s="361"/>
      <c r="E488" s="361"/>
      <c r="F488" s="361"/>
      <c r="G488" s="361"/>
      <c r="H488" s="361"/>
      <c r="I488" s="361"/>
      <c r="J488" s="361"/>
      <c r="K488" s="361"/>
      <c r="L488" s="361"/>
      <c r="M488" s="361"/>
      <c r="N488" s="361"/>
      <c r="O488" s="361"/>
      <c r="P488" s="361"/>
      <c r="Q488" s="361"/>
      <c r="R488" s="361"/>
      <c r="S488" s="361"/>
      <c r="T488" s="361"/>
      <c r="U488" s="361"/>
      <c r="V488" s="361"/>
      <c r="W488" s="361"/>
      <c r="X488" s="361"/>
      <c r="Y488" s="361"/>
    </row>
    <row r="489" spans="2:25" s="349" customFormat="1" ht="20.100000000000001" customHeight="1">
      <c r="B489" s="361"/>
      <c r="C489" s="361"/>
      <c r="D489" s="361"/>
      <c r="E489" s="361"/>
      <c r="F489" s="361"/>
      <c r="G489" s="361"/>
      <c r="H489" s="361"/>
      <c r="I489" s="361"/>
      <c r="J489" s="361"/>
      <c r="K489" s="361"/>
      <c r="L489" s="361"/>
      <c r="M489" s="361"/>
      <c r="N489" s="361"/>
      <c r="O489" s="361"/>
      <c r="P489" s="361"/>
      <c r="Q489" s="361"/>
      <c r="R489" s="361"/>
      <c r="S489" s="361"/>
      <c r="T489" s="361"/>
      <c r="U489" s="361"/>
      <c r="V489" s="361"/>
      <c r="W489" s="361"/>
      <c r="X489" s="361"/>
      <c r="Y489" s="361"/>
    </row>
    <row r="490" spans="2:25" s="349" customFormat="1" ht="20.100000000000001" customHeight="1">
      <c r="B490" s="361"/>
      <c r="C490" s="361"/>
      <c r="D490" s="361"/>
      <c r="E490" s="361"/>
      <c r="F490" s="361"/>
      <c r="G490" s="361"/>
      <c r="H490" s="361"/>
      <c r="I490" s="361"/>
      <c r="J490" s="361"/>
      <c r="K490" s="361"/>
      <c r="L490" s="361"/>
      <c r="M490" s="361"/>
      <c r="N490" s="361"/>
      <c r="O490" s="361"/>
      <c r="P490" s="361"/>
      <c r="Q490" s="361"/>
      <c r="R490" s="361"/>
      <c r="S490" s="361"/>
      <c r="T490" s="361"/>
      <c r="U490" s="361"/>
      <c r="V490" s="361"/>
      <c r="W490" s="361"/>
      <c r="X490" s="361"/>
      <c r="Y490" s="361"/>
    </row>
    <row r="491" spans="2:25" s="349" customFormat="1" ht="20.100000000000001" customHeight="1">
      <c r="B491" s="361"/>
      <c r="C491" s="361"/>
      <c r="D491" s="361"/>
      <c r="E491" s="361"/>
      <c r="F491" s="361"/>
      <c r="G491" s="361"/>
      <c r="H491" s="361"/>
      <c r="I491" s="361"/>
      <c r="J491" s="361"/>
      <c r="K491" s="361"/>
      <c r="L491" s="361"/>
      <c r="M491" s="361"/>
      <c r="N491" s="361"/>
      <c r="O491" s="361"/>
      <c r="P491" s="361"/>
      <c r="Q491" s="361"/>
      <c r="R491" s="361"/>
      <c r="S491" s="361"/>
      <c r="T491" s="361"/>
      <c r="U491" s="361"/>
      <c r="V491" s="361"/>
      <c r="W491" s="361"/>
      <c r="X491" s="361"/>
      <c r="Y491" s="361"/>
    </row>
    <row r="492" spans="2:25" s="349" customFormat="1" ht="20.100000000000001" customHeight="1">
      <c r="B492" s="361"/>
      <c r="C492" s="361"/>
      <c r="D492" s="361"/>
      <c r="E492" s="361"/>
      <c r="F492" s="361"/>
      <c r="G492" s="361"/>
      <c r="H492" s="361"/>
      <c r="I492" s="361"/>
      <c r="J492" s="361"/>
      <c r="K492" s="361"/>
      <c r="L492" s="361"/>
      <c r="M492" s="361"/>
      <c r="N492" s="361"/>
      <c r="O492" s="361"/>
      <c r="P492" s="361"/>
      <c r="Q492" s="361"/>
      <c r="R492" s="361"/>
      <c r="S492" s="361"/>
      <c r="T492" s="361"/>
      <c r="U492" s="361"/>
      <c r="V492" s="361"/>
      <c r="W492" s="361"/>
      <c r="X492" s="361"/>
      <c r="Y492" s="361"/>
    </row>
    <row r="493" spans="2:25" s="349" customFormat="1" ht="20.100000000000001" customHeight="1">
      <c r="B493" s="361"/>
      <c r="C493" s="361"/>
      <c r="D493" s="361"/>
      <c r="E493" s="361"/>
      <c r="F493" s="361"/>
      <c r="G493" s="361"/>
      <c r="H493" s="361"/>
      <c r="I493" s="361"/>
      <c r="J493" s="361"/>
      <c r="K493" s="361"/>
      <c r="L493" s="361"/>
      <c r="M493" s="361"/>
      <c r="N493" s="361"/>
      <c r="O493" s="361"/>
      <c r="P493" s="361"/>
      <c r="Q493" s="361"/>
      <c r="R493" s="361"/>
      <c r="S493" s="361"/>
      <c r="T493" s="361"/>
      <c r="U493" s="361"/>
      <c r="V493" s="361"/>
      <c r="W493" s="361"/>
      <c r="X493" s="361"/>
      <c r="Y493" s="361"/>
    </row>
    <row r="494" spans="2:25" s="349" customFormat="1" ht="20.100000000000001" customHeight="1">
      <c r="B494" s="361"/>
      <c r="C494" s="361"/>
      <c r="D494" s="361"/>
      <c r="E494" s="361"/>
      <c r="F494" s="361"/>
      <c r="G494" s="361"/>
      <c r="H494" s="361"/>
      <c r="I494" s="361"/>
      <c r="J494" s="361"/>
      <c r="K494" s="361"/>
      <c r="L494" s="361"/>
      <c r="M494" s="361"/>
      <c r="N494" s="361"/>
      <c r="O494" s="361"/>
      <c r="P494" s="361"/>
      <c r="Q494" s="361"/>
      <c r="R494" s="361"/>
      <c r="S494" s="361"/>
      <c r="T494" s="361"/>
      <c r="U494" s="361"/>
      <c r="V494" s="361"/>
      <c r="W494" s="361"/>
      <c r="X494" s="361"/>
      <c r="Y494" s="361"/>
    </row>
    <row r="495" spans="2:25" s="349" customFormat="1" ht="20.100000000000001" customHeight="1">
      <c r="B495" s="361"/>
      <c r="C495" s="361"/>
      <c r="D495" s="361"/>
      <c r="E495" s="361"/>
      <c r="F495" s="361"/>
      <c r="G495" s="361"/>
      <c r="H495" s="361"/>
      <c r="I495" s="361"/>
      <c r="J495" s="361"/>
      <c r="K495" s="361"/>
      <c r="L495" s="361"/>
      <c r="M495" s="361"/>
      <c r="N495" s="361"/>
      <c r="O495" s="361"/>
      <c r="P495" s="361"/>
      <c r="Q495" s="361"/>
      <c r="R495" s="361"/>
      <c r="S495" s="361"/>
      <c r="T495" s="361"/>
      <c r="U495" s="361"/>
      <c r="V495" s="361"/>
      <c r="W495" s="361"/>
      <c r="X495" s="361"/>
      <c r="Y495" s="361"/>
    </row>
    <row r="496" spans="2:25" s="349" customFormat="1" ht="20.100000000000001" customHeight="1">
      <c r="B496" s="361"/>
      <c r="C496" s="361"/>
      <c r="D496" s="361"/>
      <c r="E496" s="361"/>
      <c r="F496" s="361"/>
      <c r="G496" s="361"/>
      <c r="H496" s="361"/>
      <c r="I496" s="361"/>
      <c r="J496" s="361"/>
      <c r="K496" s="361"/>
      <c r="L496" s="361"/>
      <c r="M496" s="361"/>
      <c r="N496" s="361"/>
      <c r="O496" s="361"/>
      <c r="P496" s="361"/>
      <c r="Q496" s="361"/>
      <c r="R496" s="361"/>
      <c r="S496" s="361"/>
      <c r="T496" s="361"/>
      <c r="U496" s="361"/>
      <c r="V496" s="361"/>
      <c r="W496" s="361"/>
      <c r="X496" s="361"/>
      <c r="Y496" s="361"/>
    </row>
    <row r="497" spans="2:25" s="349" customFormat="1" ht="20.100000000000001" customHeight="1">
      <c r="B497" s="361"/>
      <c r="C497" s="361"/>
      <c r="D497" s="361"/>
      <c r="E497" s="361"/>
      <c r="F497" s="361"/>
      <c r="G497" s="361"/>
      <c r="H497" s="361"/>
      <c r="I497" s="361"/>
      <c r="J497" s="361"/>
      <c r="K497" s="361"/>
      <c r="L497" s="361"/>
      <c r="M497" s="361"/>
      <c r="N497" s="361"/>
      <c r="O497" s="361"/>
      <c r="P497" s="361"/>
      <c r="Q497" s="361"/>
      <c r="R497" s="361"/>
      <c r="S497" s="361"/>
      <c r="T497" s="361"/>
      <c r="U497" s="361"/>
      <c r="V497" s="361"/>
      <c r="W497" s="361"/>
      <c r="X497" s="361"/>
      <c r="Y497" s="361"/>
    </row>
    <row r="498" spans="2:25" s="349" customFormat="1" ht="20.100000000000001" customHeight="1">
      <c r="B498" s="361"/>
      <c r="C498" s="361"/>
      <c r="D498" s="361"/>
      <c r="E498" s="361"/>
      <c r="F498" s="361"/>
      <c r="G498" s="361"/>
      <c r="H498" s="361"/>
      <c r="I498" s="361"/>
      <c r="J498" s="361"/>
      <c r="K498" s="361"/>
      <c r="L498" s="361"/>
      <c r="M498" s="361"/>
      <c r="N498" s="361"/>
      <c r="O498" s="361"/>
      <c r="P498" s="361"/>
      <c r="Q498" s="361"/>
      <c r="R498" s="361"/>
      <c r="S498" s="361"/>
      <c r="T498" s="361"/>
      <c r="U498" s="361"/>
      <c r="V498" s="361"/>
      <c r="W498" s="361"/>
      <c r="X498" s="361"/>
      <c r="Y498" s="361"/>
    </row>
    <row r="499" spans="2:25" s="349" customFormat="1" ht="20.100000000000001" customHeight="1">
      <c r="B499" s="361"/>
      <c r="C499" s="361"/>
      <c r="D499" s="361"/>
      <c r="E499" s="361"/>
      <c r="F499" s="361"/>
      <c r="G499" s="361"/>
      <c r="H499" s="361"/>
      <c r="I499" s="361"/>
      <c r="J499" s="361"/>
      <c r="K499" s="361"/>
      <c r="L499" s="361"/>
      <c r="M499" s="361"/>
      <c r="N499" s="361"/>
      <c r="O499" s="361"/>
      <c r="P499" s="361"/>
      <c r="Q499" s="361"/>
      <c r="R499" s="361"/>
      <c r="S499" s="361"/>
      <c r="T499" s="361"/>
      <c r="U499" s="361"/>
      <c r="V499" s="361"/>
      <c r="W499" s="361"/>
      <c r="X499" s="361"/>
      <c r="Y499" s="361"/>
    </row>
    <row r="500" spans="2:25" s="349" customFormat="1" ht="20.100000000000001" customHeight="1">
      <c r="B500" s="361"/>
      <c r="C500" s="361"/>
      <c r="D500" s="361"/>
      <c r="E500" s="361"/>
      <c r="F500" s="361"/>
      <c r="G500" s="361"/>
      <c r="H500" s="361"/>
      <c r="I500" s="361"/>
      <c r="J500" s="361"/>
      <c r="K500" s="361"/>
      <c r="L500" s="361"/>
      <c r="M500" s="361"/>
      <c r="N500" s="361"/>
      <c r="O500" s="361"/>
      <c r="P500" s="361"/>
      <c r="Q500" s="361"/>
      <c r="R500" s="361"/>
      <c r="S500" s="361"/>
      <c r="T500" s="361"/>
      <c r="U500" s="361"/>
      <c r="V500" s="361"/>
      <c r="W500" s="361"/>
      <c r="X500" s="361"/>
      <c r="Y500" s="361"/>
    </row>
    <row r="501" spans="2:25" s="349" customFormat="1" ht="20.100000000000001" customHeight="1">
      <c r="B501" s="361"/>
      <c r="C501" s="361"/>
      <c r="D501" s="361"/>
      <c r="E501" s="361"/>
      <c r="F501" s="361"/>
      <c r="G501" s="361"/>
      <c r="H501" s="361"/>
      <c r="I501" s="361"/>
      <c r="J501" s="361"/>
      <c r="K501" s="361"/>
      <c r="L501" s="361"/>
      <c r="M501" s="361"/>
      <c r="N501" s="361"/>
      <c r="O501" s="361"/>
      <c r="P501" s="361"/>
      <c r="Q501" s="361"/>
      <c r="R501" s="361"/>
      <c r="S501" s="361"/>
      <c r="T501" s="361"/>
      <c r="U501" s="361"/>
      <c r="V501" s="361"/>
      <c r="W501" s="361"/>
      <c r="X501" s="361"/>
      <c r="Y501" s="361"/>
    </row>
    <row r="502" spans="2:25" s="349" customFormat="1" ht="20.100000000000001" customHeight="1">
      <c r="B502" s="361"/>
      <c r="C502" s="361"/>
      <c r="D502" s="361"/>
      <c r="E502" s="361"/>
      <c r="F502" s="361"/>
      <c r="G502" s="361"/>
      <c r="H502" s="361"/>
      <c r="I502" s="361"/>
      <c r="J502" s="361"/>
      <c r="K502" s="361"/>
      <c r="L502" s="361"/>
      <c r="M502" s="361"/>
      <c r="N502" s="361"/>
      <c r="O502" s="361"/>
      <c r="P502" s="361"/>
      <c r="Q502" s="361"/>
      <c r="R502" s="361"/>
      <c r="S502" s="361"/>
      <c r="T502" s="361"/>
      <c r="U502" s="361"/>
      <c r="V502" s="361"/>
      <c r="W502" s="361"/>
      <c r="X502" s="361"/>
      <c r="Y502" s="361"/>
    </row>
    <row r="503" spans="2:25" s="349" customFormat="1" ht="20.100000000000001" customHeight="1">
      <c r="B503" s="361"/>
      <c r="C503" s="361"/>
      <c r="D503" s="361"/>
      <c r="E503" s="361"/>
      <c r="F503" s="361"/>
      <c r="G503" s="361"/>
      <c r="H503" s="361"/>
      <c r="I503" s="361"/>
      <c r="J503" s="361"/>
      <c r="K503" s="361"/>
      <c r="L503" s="361"/>
      <c r="M503" s="361"/>
      <c r="N503" s="361"/>
      <c r="O503" s="361"/>
      <c r="P503" s="361"/>
      <c r="Q503" s="361"/>
      <c r="R503" s="361"/>
      <c r="S503" s="361"/>
      <c r="T503" s="361"/>
      <c r="U503" s="361"/>
      <c r="V503" s="361"/>
      <c r="W503" s="361"/>
      <c r="X503" s="361"/>
      <c r="Y503" s="361"/>
    </row>
    <row r="504" spans="2:25" s="349" customFormat="1" ht="20.100000000000001" customHeight="1">
      <c r="B504" s="361"/>
      <c r="C504" s="361"/>
      <c r="D504" s="361"/>
      <c r="E504" s="361"/>
      <c r="F504" s="361"/>
      <c r="G504" s="361"/>
      <c r="H504" s="361"/>
      <c r="I504" s="361"/>
      <c r="J504" s="361"/>
      <c r="K504" s="361"/>
      <c r="L504" s="361"/>
      <c r="M504" s="361"/>
      <c r="N504" s="361"/>
      <c r="O504" s="361"/>
      <c r="P504" s="361"/>
      <c r="Q504" s="361"/>
      <c r="R504" s="361"/>
      <c r="S504" s="361"/>
      <c r="T504" s="361"/>
      <c r="U504" s="361"/>
      <c r="V504" s="361"/>
      <c r="W504" s="361"/>
      <c r="X504" s="361"/>
      <c r="Y504" s="361"/>
    </row>
    <row r="505" spans="2:25" s="349" customFormat="1" ht="20.100000000000001" customHeight="1">
      <c r="B505" s="361"/>
      <c r="C505" s="361"/>
      <c r="D505" s="361"/>
      <c r="E505" s="361"/>
      <c r="F505" s="361"/>
      <c r="G505" s="361"/>
      <c r="H505" s="361"/>
      <c r="I505" s="361"/>
      <c r="J505" s="361"/>
      <c r="K505" s="361"/>
      <c r="L505" s="361"/>
      <c r="M505" s="361"/>
      <c r="N505" s="361"/>
      <c r="O505" s="361"/>
      <c r="P505" s="361"/>
      <c r="Q505" s="361"/>
      <c r="R505" s="361"/>
      <c r="S505" s="361"/>
      <c r="T505" s="361"/>
      <c r="U505" s="361"/>
      <c r="V505" s="361"/>
      <c r="W505" s="361"/>
      <c r="X505" s="361"/>
      <c r="Y505" s="361"/>
    </row>
    <row r="506" spans="2:25" s="349" customFormat="1" ht="20.100000000000001" customHeight="1">
      <c r="B506" s="361"/>
      <c r="C506" s="361"/>
      <c r="D506" s="361"/>
      <c r="E506" s="361"/>
      <c r="F506" s="361"/>
      <c r="G506" s="361"/>
      <c r="H506" s="361"/>
      <c r="I506" s="361"/>
      <c r="J506" s="361"/>
      <c r="K506" s="361"/>
      <c r="L506" s="361"/>
      <c r="M506" s="361"/>
      <c r="N506" s="361"/>
      <c r="O506" s="361"/>
      <c r="P506" s="361"/>
      <c r="Q506" s="361"/>
      <c r="R506" s="361"/>
      <c r="S506" s="361"/>
      <c r="T506" s="361"/>
      <c r="U506" s="361"/>
      <c r="V506" s="361"/>
      <c r="W506" s="361"/>
      <c r="X506" s="361"/>
      <c r="Y506" s="361"/>
    </row>
    <row r="507" spans="2:25" s="349" customFormat="1" ht="20.100000000000001" customHeight="1">
      <c r="B507" s="361"/>
      <c r="C507" s="361"/>
      <c r="D507" s="361"/>
      <c r="E507" s="361"/>
      <c r="F507" s="361"/>
      <c r="G507" s="361"/>
      <c r="H507" s="361"/>
      <c r="I507" s="361"/>
      <c r="J507" s="361"/>
      <c r="K507" s="361"/>
      <c r="L507" s="361"/>
      <c r="M507" s="361"/>
      <c r="N507" s="361"/>
      <c r="O507" s="361"/>
      <c r="P507" s="361"/>
      <c r="Q507" s="361"/>
      <c r="R507" s="361"/>
      <c r="S507" s="361"/>
      <c r="T507" s="361"/>
      <c r="U507" s="361"/>
      <c r="V507" s="361"/>
      <c r="W507" s="361"/>
      <c r="X507" s="361"/>
      <c r="Y507" s="361"/>
    </row>
    <row r="508" spans="2:25" s="349" customFormat="1" ht="20.100000000000001" customHeight="1">
      <c r="B508" s="361"/>
      <c r="C508" s="361"/>
      <c r="D508" s="361"/>
      <c r="E508" s="361"/>
      <c r="F508" s="361"/>
      <c r="G508" s="361"/>
      <c r="H508" s="361"/>
      <c r="I508" s="361"/>
      <c r="J508" s="361"/>
      <c r="K508" s="361"/>
      <c r="L508" s="361"/>
      <c r="M508" s="361"/>
      <c r="N508" s="361"/>
      <c r="O508" s="361"/>
      <c r="P508" s="361"/>
      <c r="Q508" s="361"/>
      <c r="R508" s="361"/>
      <c r="S508" s="361"/>
      <c r="T508" s="361"/>
      <c r="U508" s="361"/>
      <c r="V508" s="361"/>
      <c r="W508" s="361"/>
      <c r="X508" s="361"/>
      <c r="Y508" s="361"/>
    </row>
    <row r="509" spans="2:25" s="349" customFormat="1" ht="20.100000000000001" customHeight="1">
      <c r="B509" s="361"/>
      <c r="C509" s="361"/>
      <c r="D509" s="361"/>
      <c r="E509" s="361"/>
      <c r="F509" s="361"/>
      <c r="G509" s="361"/>
      <c r="H509" s="361"/>
      <c r="I509" s="361"/>
      <c r="J509" s="361"/>
      <c r="K509" s="361"/>
      <c r="L509" s="361"/>
      <c r="M509" s="361"/>
      <c r="N509" s="361"/>
      <c r="O509" s="361"/>
      <c r="P509" s="361"/>
      <c r="Q509" s="361"/>
      <c r="R509" s="361"/>
      <c r="S509" s="361"/>
      <c r="T509" s="361"/>
      <c r="U509" s="361"/>
      <c r="V509" s="361"/>
      <c r="W509" s="361"/>
      <c r="X509" s="361"/>
      <c r="Y509" s="361"/>
    </row>
    <row r="510" spans="2:25" s="349" customFormat="1" ht="20.100000000000001" customHeight="1">
      <c r="B510" s="361"/>
      <c r="C510" s="361"/>
      <c r="D510" s="361"/>
      <c r="E510" s="361"/>
      <c r="F510" s="361"/>
      <c r="G510" s="361"/>
      <c r="H510" s="361"/>
      <c r="I510" s="361"/>
      <c r="J510" s="361"/>
      <c r="K510" s="361"/>
      <c r="L510" s="361"/>
      <c r="M510" s="361"/>
      <c r="N510" s="361"/>
      <c r="O510" s="361"/>
      <c r="P510" s="361"/>
      <c r="Q510" s="361"/>
      <c r="R510" s="361"/>
      <c r="S510" s="361"/>
      <c r="T510" s="361"/>
      <c r="U510" s="361"/>
      <c r="V510" s="361"/>
      <c r="W510" s="361"/>
      <c r="X510" s="361"/>
      <c r="Y510" s="361"/>
    </row>
    <row r="511" spans="2:25" s="349" customFormat="1" ht="20.100000000000001" customHeight="1">
      <c r="B511" s="361"/>
      <c r="C511" s="361"/>
      <c r="D511" s="361"/>
      <c r="E511" s="361"/>
      <c r="F511" s="361"/>
      <c r="G511" s="361"/>
      <c r="H511" s="361"/>
      <c r="I511" s="361"/>
      <c r="J511" s="361"/>
      <c r="K511" s="361"/>
      <c r="L511" s="361"/>
      <c r="M511" s="361"/>
      <c r="N511" s="361"/>
      <c r="O511" s="361"/>
      <c r="P511" s="361"/>
      <c r="Q511" s="361"/>
      <c r="R511" s="361"/>
      <c r="S511" s="361"/>
      <c r="T511" s="361"/>
      <c r="U511" s="361"/>
      <c r="V511" s="361"/>
      <c r="W511" s="361"/>
      <c r="X511" s="361"/>
      <c r="Y511" s="361"/>
    </row>
    <row r="512" spans="2:25" ht="20.100000000000001" customHeight="1"/>
    <row r="513" ht="9.9499999999999993" customHeight="1"/>
  </sheetData>
  <sheetProtection formatCells="0" formatColumns="0" formatRows="0" insertColumns="0" insertRows="0" insertHyperlinks="0" deleteColumns="0" deleteRows="0" sort="0" autoFilter="0" pivotTables="0"/>
  <mergeCells count="22">
    <mergeCell ref="A12:Y12"/>
    <mergeCell ref="X1:Y1"/>
    <mergeCell ref="A2:Y2"/>
    <mergeCell ref="A3:Y3"/>
    <mergeCell ref="A4:Y4"/>
    <mergeCell ref="A5:Y5"/>
    <mergeCell ref="A6:Y6"/>
    <mergeCell ref="A7:Y7"/>
    <mergeCell ref="A8:Y8"/>
    <mergeCell ref="C9:Y9"/>
    <mergeCell ref="X10:Y10"/>
    <mergeCell ref="A11:Y11"/>
    <mergeCell ref="O13:Y13"/>
    <mergeCell ref="O14:S14"/>
    <mergeCell ref="T14:Y14"/>
    <mergeCell ref="A17:A18"/>
    <mergeCell ref="B17:B18"/>
    <mergeCell ref="A97:B97"/>
    <mergeCell ref="A13:B15"/>
    <mergeCell ref="C13:C17"/>
    <mergeCell ref="D13:D17"/>
    <mergeCell ref="E13:M14"/>
  </mergeCells>
  <conditionalFormatting sqref="A17:B17">
    <cfRule type="cellIs" dxfId="10" priority="43" operator="equal">
      <formula>0</formula>
    </cfRule>
  </conditionalFormatting>
  <conditionalFormatting sqref="B20:Y96">
    <cfRule type="cellIs" dxfId="9" priority="1" operator="equal">
      <formula>0</formula>
    </cfRule>
  </conditionalFormatting>
  <conditionalFormatting sqref="C18:D18">
    <cfRule type="cellIs" dxfId="8" priority="40" operator="equal">
      <formula>0</formula>
    </cfRule>
  </conditionalFormatting>
  <conditionalFormatting sqref="E17:Y18">
    <cfRule type="cellIs" dxfId="7" priority="23" operator="equal">
      <formula>0</formula>
    </cfRule>
  </conditionalFormatting>
  <pageMargins left="0.19" right="0.12" top="0.7" bottom="0.78740157499999996" header="0.31496062000000002" footer="0.31496062000000002"/>
  <pageSetup paperSize="9" scale="1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33</vt:i4>
      </vt:variant>
      <vt:variant>
        <vt:lpstr>Intervalos Nomeados</vt:lpstr>
      </vt:variant>
      <vt:variant>
        <vt:i4>25</vt:i4>
      </vt:variant>
    </vt:vector>
  </HeadingPairs>
  <TitlesOfParts>
    <vt:vector size="58" baseType="lpstr">
      <vt:lpstr>DADOS (F)</vt:lpstr>
      <vt:lpstr>Lista Amoras</vt:lpstr>
      <vt:lpstr>QCI </vt:lpstr>
      <vt:lpstr>RESUMO</vt:lpstr>
      <vt:lpstr>ORÇAMENTO (F)</vt:lpstr>
      <vt:lpstr>ORÇAMENTO</vt:lpstr>
      <vt:lpstr>CRONOGRAMA GERAL</vt:lpstr>
      <vt:lpstr>MC-DRE</vt:lpstr>
      <vt:lpstr>MC-TER</vt:lpstr>
      <vt:lpstr>MC-PAV e DREN SUPER</vt:lpstr>
      <vt:lpstr>MC- URBANIZAÇÃO </vt:lpstr>
      <vt:lpstr>MC-SINALIZAÇÃO</vt:lpstr>
      <vt:lpstr>DADOS PROJETO ÁGUA</vt:lpstr>
      <vt:lpstr>MC - ÁGUA PARTE 1</vt:lpstr>
      <vt:lpstr>MC ÁGUA PARTE 2</vt:lpstr>
      <vt:lpstr>MC-PONTE</vt:lpstr>
      <vt:lpstr>Orç PONTE</vt:lpstr>
      <vt:lpstr>CPU I</vt:lpstr>
      <vt:lpstr>CPU Ia</vt:lpstr>
      <vt:lpstr>CPU II</vt:lpstr>
      <vt:lpstr>CPU III</vt:lpstr>
      <vt:lpstr>CPU IV</vt:lpstr>
      <vt:lpstr>CPU V</vt:lpstr>
      <vt:lpstr>CPU VI</vt:lpstr>
      <vt:lpstr>CPU-VII</vt:lpstr>
      <vt:lpstr>CPU VII</vt:lpstr>
      <vt:lpstr>CPU VIII</vt:lpstr>
      <vt:lpstr>CPU IX</vt:lpstr>
      <vt:lpstr>LS</vt:lpstr>
      <vt:lpstr>BDI</vt:lpstr>
      <vt:lpstr>BDI EQUIPAMENTO</vt:lpstr>
      <vt:lpstr>CPU-cbuq</vt:lpstr>
      <vt:lpstr>PV PARA REDE 600</vt:lpstr>
      <vt:lpstr>BDI!Area_de_impressao</vt:lpstr>
      <vt:lpstr>'CPU I'!Area_de_impressao</vt:lpstr>
      <vt:lpstr>'CPU Ia'!Area_de_impressao</vt:lpstr>
      <vt:lpstr>'CPU II'!Area_de_impressao</vt:lpstr>
      <vt:lpstr>'CPU III'!Area_de_impressao</vt:lpstr>
      <vt:lpstr>'CPU IV'!Area_de_impressao</vt:lpstr>
      <vt:lpstr>'CPU V'!Area_de_impressao</vt:lpstr>
      <vt:lpstr>'CPU VI'!Area_de_impressao</vt:lpstr>
      <vt:lpstr>'CPU VII'!Area_de_impressao</vt:lpstr>
      <vt:lpstr>'CPU VIII'!Area_de_impressao</vt:lpstr>
      <vt:lpstr>'CPU-cbuq'!Area_de_impressao</vt:lpstr>
      <vt:lpstr>'CPU-VII'!Area_de_impressao</vt:lpstr>
      <vt:lpstr>'CRONOGRAMA GERAL'!Area_de_impressao</vt:lpstr>
      <vt:lpstr>'DADOS (F)'!Area_de_impressao</vt:lpstr>
      <vt:lpstr>'MC-DRE'!Area_de_impressao</vt:lpstr>
      <vt:lpstr>'MC-PAV e DREN SUPER'!Area_de_impressao</vt:lpstr>
      <vt:lpstr>'MC-TER'!Area_de_impressao</vt:lpstr>
      <vt:lpstr>ORÇAMENTO!Area_de_impressao</vt:lpstr>
      <vt:lpstr>'ORÇAMENTO (F)'!Area_de_impressao</vt:lpstr>
      <vt:lpstr>'QCI '!Area_de_impressao</vt:lpstr>
      <vt:lpstr>'CPU Ia'!Titulos_de_impressao</vt:lpstr>
      <vt:lpstr>'MC-DRE'!Titulos_de_impressao</vt:lpstr>
      <vt:lpstr>'MC-PAV e DREN SUPER'!Titulos_de_impressao</vt:lpstr>
      <vt:lpstr>ORÇAMENTO!Titulos_de_impressao</vt:lpstr>
      <vt:lpstr>'ORÇAMENTO (F)'!Titulos_de_impressao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juliana</cp:lastModifiedBy>
  <cp:lastPrinted>2024-07-19T14:12:16Z</cp:lastPrinted>
  <dcterms:created xsi:type="dcterms:W3CDTF">2005-01-22T11:41:57Z</dcterms:created>
  <dcterms:modified xsi:type="dcterms:W3CDTF">2024-07-22T21:10:45Z</dcterms:modified>
</cp:coreProperties>
</file>